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4.xml" ContentType="application/vnd.openxmlformats-officedocument.drawing+xml"/>
  <Override PartName="/xl/drawings/drawing2.xml" ContentType="application/vnd.openxmlformats-officedocument.drawing+xml"/>
  <Override PartName="/xl/drawings/vmlDrawing2.vml" ContentType="application/vnd.openxmlformats-officedocument.vmlDrawing"/>
  <Override PartName="/xl/drawings/drawing5.xml" ContentType="application/vnd.openxmlformats-officedocument.drawing+xml"/>
  <Override PartName="/xl/drawings/drawing3.xml" ContentType="application/vnd.openxmlformats-officedocument.drawing+xml"/>
  <Override PartName="/xl/drawings/drawing6.xml" ContentType="application/vnd.openxmlformats-officedocument.drawing+xml"/>
  <Override PartName="/xl/drawings/vmlDrawing3.vml" ContentType="application/vnd.openxmlformats-officedocument.vmlDrawing"/>
  <Override PartName="/xl/drawings/drawing7.xml" ContentType="application/vnd.openxmlformats-officedocument.drawing+xml"/>
  <Override PartName="/xl/drawings/vmlDrawing4.vml" ContentType="application/vnd.openxmlformats-officedocument.vmlDrawing"/>
  <Override PartName="/xl/drawings/drawing8.xml" ContentType="application/vnd.openxmlformats-officedocument.drawing+xml"/>
  <Override PartName="/xl/drawings/_rels/drawing1.xml.rels" ContentType="application/vnd.openxmlformats-package.relationships+xml"/>
  <Override PartName="/xl/drawings/_rels/drawing4.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sharedStrings.xml" ContentType="application/vnd.openxmlformats-officedocument.spreadsheetml.sharedStrings+xml"/>
  <Override PartName="/xl/comments1.xml" ContentType="application/vnd.openxmlformats-officedocument.spreadsheetml.comments+xml"/>
  <Override PartName="/xl/media/image1.png" ContentType="image/png"/>
  <Override PartName="/xl/media/image2.png" ContentType="image/png"/>
  <Override PartName="/xl/media/image3.png" ContentType="image/png"/>
  <Override PartName="/xl/media/image6.jpeg" ContentType="image/jpeg"/>
  <Override PartName="/xl/media/image4.png" ContentType="image/png"/>
  <Override PartName="/xl/media/image5.png" ContentType="image/png"/>
  <Override PartName="/xl/media/image7.png" ContentType="image/p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abilito" sheetId="1" state="visible" r:id="rId2"/>
    <sheet name="Trajecto" sheetId="2" state="visible" r:id="rId3"/>
    <sheet name="Courbes" sheetId="3" state="visible" r:id="rId4"/>
    <sheet name="Propu" sheetId="4" state="visible" r:id="rId5"/>
    <sheet name="Calculs" sheetId="5" state="visible" r:id="rId6"/>
    <sheet name="Abaco" sheetId="6" state="visible" r:id="rId7"/>
    <sheet name="Info" sheetId="7" state="visible" r:id="rId8"/>
    <sheet name="Controle" sheetId="8" state="visible" r:id="rId9"/>
  </sheets>
  <definedNames>
    <definedName function="false" hidden="false" localSheetId="5" name="_xlnm.Print_Area" vbProcedure="false">Abaco!$A$1:$M$35</definedName>
    <definedName function="false" hidden="false" localSheetId="2" name="_xlnm.Print_Area" vbProcedure="false">Courbes!$A$1:$K$78</definedName>
    <definedName function="false" hidden="false" localSheetId="0" name="_xlnm.Print_Area" vbProcedure="false">Stabilito!$A$1:$Q$37</definedName>
    <definedName function="false" hidden="false" localSheetId="1" name="_xlnm.Print_Area" vbProcedure="false">Trajecto!$A$1:$N$35</definedName>
    <definedName function="false" hidden="false" name="Acc_max" vbProcedure="false">Trajecto!$L$24</definedName>
    <definedName function="false" hidden="false" name="acc_x" vbProcedure="false">Calculs!$D$4:$D$1004</definedName>
    <definedName function="false" hidden="false" name="acc_xz" vbProcedure="false">Calculs!$F$4:$F$1004</definedName>
    <definedName function="false" hidden="false" name="acc_z" vbProcedure="false">Calculs!$E$4:$E$1004</definedName>
    <definedName function="false" hidden="false" name="Altitude_culmi" vbProcedure="false">Trajecto!$I$26</definedName>
    <definedName function="false" hidden="false" name="Alt_para" vbProcedure="false">Trajecto!$I$27</definedName>
    <definedName function="false" hidden="false" name="alt_prop" vbProcedure="false">Abaco!$J$41:$J$67</definedName>
    <definedName function="false" hidden="false" name="Alt_rampe" vbProcedure="false">Trajecto!$C$20</definedName>
    <definedName function="false" hidden="false" name="Alt_sat" vbProcedure="false">Trajecto!$I$25</definedName>
    <definedName function="false" hidden="false" name="a_prop" vbProcedure="false">Abaco!$G$41:$G$67</definedName>
    <definedName function="false" hidden="false" name="Beta" vbProcedure="false">Calculs!$M$4:$M$1004</definedName>
    <definedName function="false" hidden="false" name="BetaD" vbProcedure="false">Calculs!$N$4:$N$1004</definedName>
    <definedName function="false" hidden="false" name="Beta_rampe" vbProcedure="false">Trajecto!$C$19</definedName>
    <definedName function="false" hidden="false" name="b_bal" vbProcedure="false">Abaco!$I$41:$I$67</definedName>
    <definedName function="false" hidden="false" name="b_prop" vbProcedure="false">Abaco!$H$41:$H$67</definedName>
    <definedName function="false" hidden="false" name="CdP" vbProcedure="false">Propu!$B$3:$Y$4</definedName>
    <definedName function="false" hidden="false" name="CdP_P" vbProcedure="false">Propu!$B$4:$Y$4</definedName>
    <definedName function="false" hidden="false" name="CdP_t" vbProcedure="false">Propu!$B$3:$Y$3</definedName>
    <definedName function="false" hidden="false" name="Club" vbProcedure="false">Stabilito!$C$9</definedName>
    <definedName function="false" hidden="false" name="Cn" vbProcedure="false">Stabilito!$H$28</definedName>
    <definedName function="false" hidden="false" name="Cn0" vbProcedure="false">Stabilito!$I$28</definedName>
    <definedName function="false" hidden="false" name="Cnai0" vbProcedure="false">Stabilito!$P$19</definedName>
    <definedName function="false" hidden="false" name="Cni0" vbProcedure="false">Stabilito!$P$22</definedName>
    <definedName function="false" hidden="false" name="Combustion" vbProcedure="false">Propu!$X$2</definedName>
    <definedName function="false" hidden="false" name="Cx" vbProcedure="false">Trajecto!$C$15</definedName>
    <definedName function="false" hidden="false" name="Cx_para" vbProcedure="false">Trajecto!$C$28</definedName>
    <definedName function="false" hidden="false" name="Cx_satellite" vbProcedure="false">Trajecto!$D$28</definedName>
    <definedName function="false" hidden="false" name="D1j" vbProcedure="false">Stabilito!$M$7</definedName>
    <definedName function="false" hidden="false" name="D1r" vbProcedure="false">Stabilito!$O$7</definedName>
    <definedName function="false" hidden="false" name="D2j" vbProcedure="false">Stabilito!$M$8</definedName>
    <definedName function="false" hidden="false" name="D2r" vbProcedure="false">Stabilito!$O$8</definedName>
    <definedName function="false" hidden="false" name="Depotage" vbProcedure="false">Propu!$Z$2</definedName>
    <definedName function="false" hidden="false" name="Diam_propu" vbProcedure="false">Propu!$T$2</definedName>
    <definedName function="false" hidden="false" name="Dt_para" vbProcedure="false">Trajecto!$C$31</definedName>
    <definedName function="false" hidden="false" name="Dt_satellite" vbProcedure="false">Trajecto!$D$31</definedName>
    <definedName function="false" hidden="false" name="Dx_para" vbProcedure="false">Trajecto!$C$33</definedName>
    <definedName function="false" hidden="false" name="Dx_sat" vbProcedure="false">Trajecto!$D$33</definedName>
    <definedName function="false" hidden="false" name="D_ail" vbProcedure="false">Stabilito!$C$34</definedName>
    <definedName function="false" hidden="false" name="D_og" vbProcedure="false">Stabilito!$C$23</definedName>
    <definedName function="false" hidden="false" name="D_ref" vbProcedure="false">Stabilito!$C$14</definedName>
    <definedName function="false" hidden="false" name="D_var" vbProcedure="false">Abaco!$B$41:$B$67</definedName>
    <definedName function="false" hidden="false" name="Débit" vbProcedure="false">Calculs!$R$4:$R$1004</definedName>
    <definedName function="false" hidden="false" name="ep_ail" vbProcedure="false">Stabilito!$C$31</definedName>
    <definedName function="false" hidden="false" name="ep_can" vbProcedure="false">Stabilito!$D$31</definedName>
    <definedName function="false" hidden="false" name="Event" vbProcedure="false">Calculs!$Y$4:$Y$1004</definedName>
    <definedName function="false" hidden="false" name="Event_para" vbProcedure="false">Calculs!$Z$4:$Z$1004</definedName>
    <definedName function="false" hidden="false" name="Event_sat" vbProcedure="false">Calculs!$AA$4:$AA$1004</definedName>
    <definedName function="false" hidden="false" name="E_ail" vbProcedure="false">Stabilito!$C$30</definedName>
    <definedName function="false" hidden="false" name="E_can" vbProcedure="false">Stabilito!$D$30</definedName>
    <definedName function="false" hidden="false" name="Finesse" vbProcedure="false">Stabilito!$H$27</definedName>
    <definedName function="false" hidden="false" name="Forme_ogive" vbProcedure="false">Stabilito!$C$21</definedName>
    <definedName function="false" hidden="false" name="g" vbProcedure="false">Info!$E$52</definedName>
    <definedName function="false" hidden="false" name="ISP" vbProcedure="false">Propu!$F$2</definedName>
    <definedName function="false" hidden="false" name="i_P" vbProcedure="false">Calculs!$P$4:$P$1004</definedName>
    <definedName function="false" hidden="false" name="I_total" vbProcedure="false">Propu!$D$2</definedName>
    <definedName function="false" hidden="false" name="Lang" vbProcedure="false">Stabilito!$M$2</definedName>
    <definedName function="false" hidden="false" name="Liste_fusex" vbProcedure="false">Propu!$R$317:$R$346</definedName>
    <definedName function="false" hidden="false" name="Liste_H2O" vbProcedure="false">Propu!$C$317:$D$346</definedName>
    <definedName function="false" hidden="false" name="Liste_minif" vbProcedure="false">Propu!$L$317:$M$346</definedName>
    <definedName function="false" hidden="false" name="Liste_minifT" vbProcedure="false">Propu!$O$317:$O$346</definedName>
    <definedName function="false" hidden="false" name="Liste_propu" vbProcedure="false">Propu!$A$317:$A$330</definedName>
    <definedName function="false" hidden="false" name="Liste_RC" vbProcedure="false">Propu!$I$317:$J$346</definedName>
    <definedName function="false" hidden="false" name="Liste_µfu" vbProcedure="false">Propu!$F$317:$F$346</definedName>
    <definedName function="false" hidden="false" name="Long_ogive" vbProcedure="false">Stabilito!$C$22</definedName>
    <definedName function="false" hidden="false" name="Long_propu" vbProcedure="false">Propu!$R$2</definedName>
    <definedName function="false" hidden="false" name="Long_tot" vbProcedure="false">Stabilito!$C$13</definedName>
    <definedName function="false" hidden="false" name="l_j" vbProcedure="false">Stabilito!$M$6</definedName>
    <definedName function="false" hidden="false" name="l_r" vbProcedure="false">Stabilito!$O$6</definedName>
    <definedName function="false" hidden="false" name="L_rampe" vbProcedure="false">Trajecto!$C$18</definedName>
    <definedName function="false" hidden="false" name="m" vbProcedure="false">Calculs!$S$4:$S$1004</definedName>
    <definedName function="false" hidden="false" name="MassePlein" vbProcedure="false">Stabilito!$M$14</definedName>
    <definedName function="false" hidden="false" name="MasseSans" vbProcedure="false">Stabilito!$P$14</definedName>
    <definedName function="false" hidden="false" name="MasseVide" vbProcedure="false">Stabilito!$N$14</definedName>
    <definedName function="false" hidden="false" name="Masse_ail" vbProcedure="false">Controle!$H$63</definedName>
    <definedName function="false" hidden="false" name="Menu_Empennage" vbProcedure="false">Stabilito!$B$111:$B$112</definedName>
    <definedName function="false" hidden="false" name="Menu_Lang" vbProcedure="false">Stabilito!$B$93:$B$94</definedName>
    <definedName function="false" hidden="false" name="Menu_Ogive" vbProcedure="false">Stabilito!$B$107:$B$109</definedName>
    <definedName function="false" hidden="false" name="Menu_sat" vbProcedure="false">Trajecto!$B$104:$B$105</definedName>
    <definedName function="false" hidden="false" name="Menu_Transitions" vbProcedure="false">Stabilito!$B$114:$B$115</definedName>
    <definedName function="false" hidden="false" name="Menu_Type" vbProcedure="false">Stabilito!$B$96:$B$100</definedName>
    <definedName function="false" hidden="false" name="Menu_with_motor" vbProcedure="false">Stabilito!$B$103:$B$105</definedName>
    <definedName function="false" hidden="false" name="MpropuPlein" vbProcedure="false">Propu!$H$2</definedName>
    <definedName function="false" hidden="false" name="MpropuVide" vbProcedure="false">Propu!$L$2</definedName>
    <definedName function="false" hidden="false" name="MS_Cn_max" vbProcedure="false">Stabilito!$I$30</definedName>
    <definedName function="false" hidden="false" name="MS_Cn_max0" vbProcedure="false">stabilito!#ref!</definedName>
    <definedName function="false" hidden="false" name="MS_Cn_min" vbProcedure="false">Stabilito!$H$30</definedName>
    <definedName function="false" hidden="false" name="MS_Cn_min0" vbProcedure="false">stabilito!#ref!</definedName>
    <definedName function="false" hidden="false" name="MS_max" vbProcedure="false">Stabilito!$I$29</definedName>
    <definedName function="false" hidden="false" name="MS_max0" vbProcedure="false">stabilito!#ref!</definedName>
    <definedName function="false" hidden="false" name="MS_min" vbProcedure="false">Stabilito!$H$29</definedName>
    <definedName function="false" hidden="false" name="MS_min0" vbProcedure="false">stabilito!#ref!</definedName>
    <definedName function="false" hidden="false" name="m_ail" vbProcedure="false">Stabilito!$C$27</definedName>
    <definedName function="false" hidden="false" name="m_bal" vbProcedure="false">Abaco!$F$41:$F$67</definedName>
    <definedName function="false" hidden="false" name="m_can" vbProcedure="false">Stabilito!$D$27</definedName>
    <definedName function="false" hidden="false" name="m_poudre" vbProcedure="false">Propu!$J$2</definedName>
    <definedName function="false" hidden="false" name="m_prop" vbProcedure="false">Abaco!$E$41:$E$67</definedName>
    <definedName function="false" hidden="false" name="m_satellite" vbProcedure="false">Trajecto!$D$24</definedName>
    <definedName function="false" hidden="false" name="m_tot" vbProcedure="false">Trajecto!$C$10</definedName>
    <definedName function="false" hidden="false" name="m_var" vbProcedure="false">Abaco!$D$41:$D$67</definedName>
    <definedName function="false" hidden="false" name="m_vide" vbProcedure="false">Trajecto!$C$24</definedName>
    <definedName function="false" hidden="false" name="Nb_diam" vbProcedure="false">Stabilito!$M$4</definedName>
    <definedName function="false" hidden="false" name="Nb_sat" vbProcedure="false">Trajecto!$D$23</definedName>
    <definedName function="false" hidden="false" name="Nom" vbProcedure="false">Stabilito!$C$8</definedName>
    <definedName function="false" hidden="false" name="n_ail" vbProcedure="false">Stabilito!$C$28</definedName>
    <definedName function="false" hidden="false" name="n_can" vbProcedure="false">Stabilito!$D$28</definedName>
    <definedName function="false" hidden="false" name="pas" vbProcedure="false">Calculs!$A$4:$A$1004</definedName>
    <definedName function="false" hidden="false" name="Poids" vbProcedure="false">Calculs!$T$4:$T$1004</definedName>
    <definedName function="false" hidden="false" name="Portee_balistique" vbProcedure="false">Trajecto!$J$28</definedName>
    <definedName function="false" hidden="false" name="pos_x" vbProcedure="false">Calculs!$J$4:$J$1004</definedName>
    <definedName function="false" hidden="false" name="pos_xz" vbProcedure="false">Calculs!$L$4:$L$1004</definedName>
    <definedName function="false" hidden="false" name="pos_z" vbProcedure="false">Calculs!$K$4:$K$1004</definedName>
    <definedName function="false" hidden="false" name="pos_z_montant" vbProcedure="false">Calculs!$AE$4:$AE$1004</definedName>
    <definedName function="false" hidden="false" name="Poussee" vbProcedure="false">Calculs!$Q$4:$Q$1004</definedName>
    <definedName function="false" hidden="false" name="Propu" vbProcedure="false">Stabilito!$C$17</definedName>
    <definedName function="false" hidden="false" name="p_ail" vbProcedure="false">Stabilito!$C$29</definedName>
    <definedName function="false" hidden="false" name="p_can" vbProcedure="false">Stabilito!$D$29</definedName>
    <definedName function="false" hidden="false" name="Q_ail" vbProcedure="false">Stabilito!$C$32</definedName>
    <definedName function="false" hidden="false" name="Q_can" vbProcedure="false">Stabilito!$D$32</definedName>
    <definedName function="false" hidden="false" name="Q_var" vbProcedure="false">Abaco!$C$41:$C$67</definedName>
    <definedName function="false" hidden="false" name="Rho" vbProcedure="false">Calculs!$V$4:$V$1004</definedName>
    <definedName function="false" hidden="false" name="Rho_moyen" vbProcedure="false">Info!$E$53</definedName>
    <definedName function="false" hidden="false" name="R_rampe" vbProcedure="false">Calculs!$U$4:$U$1004</definedName>
    <definedName function="false" hidden="false" name="Sref" vbProcedure="false">Trajecto!$C$14</definedName>
    <definedName function="false" hidden="false" name="sS" vbProcedure="false">Trajecto!$F$132</definedName>
    <definedName function="false" hidden="false" name="S_ail" vbProcedure="false">Controle!$H$64</definedName>
    <definedName function="false" hidden="false" name="S_para" vbProcedure="false">Trajecto!$C$27</definedName>
    <definedName function="false" hidden="false" name="S_para_croix" vbProcedure="false">Trajecto!$B$47</definedName>
    <definedName function="false" hidden="false" name="S_para_rond" vbProcedure="false">Trajecto!$B$55</definedName>
    <definedName function="false" hidden="false" name="S_satellite" vbProcedure="false">Trajecto!$D$27</definedName>
    <definedName function="false" hidden="false" name="t" vbProcedure="false">Calculs!$B$4:$B$1004</definedName>
    <definedName function="false" hidden="false" name="Temps_culmi" vbProcedure="false">Trajecto!$H$26</definedName>
    <definedName function="false" hidden="false" name="Temps_fin_propu" vbProcedure="false">Propu!$X$3</definedName>
    <definedName function="false" hidden="false" name="Trainee" vbProcedure="false">Calculs!$W$4:$W$1004</definedName>
    <definedName function="false" hidden="false" name="tT_fus" vbProcedure="false">Trajecto!$F$133</definedName>
    <definedName function="false" hidden="false" name="tT_sat" vbProcedure="false">Trajecto!$F$150</definedName>
    <definedName function="false" hidden="false" name="Type_fusee" vbProcedure="false">Stabilito!$C$10</definedName>
    <definedName function="false" hidden="false" name="Type_propu" vbProcedure="false">Propu!$V$2</definedName>
    <definedName function="false" hidden="false" name="T_balistique" vbProcedure="false">Trajecto!$H$28</definedName>
    <definedName function="false" hidden="false" name="T_ini" vbProcedure="false">Trajecto!$H$40</definedName>
    <definedName function="false" hidden="false" name="T_para" vbProcedure="false">Trajecto!$C$113</definedName>
    <definedName function="false" hidden="false" name="T_satellite" vbProcedure="false">Trajecto!$D$26</definedName>
    <definedName function="false" hidden="false" name="Vit_culmi" vbProcedure="false">Trajecto!$K$26</definedName>
    <definedName function="false" hidden="false" name="Vit_max" vbProcedure="false">Trajecto!$K$24</definedName>
    <definedName function="false" hidden="false" name="vit_x" vbProcedure="false">Calculs!$G$4:$G$1004</definedName>
    <definedName function="false" hidden="false" name="vit_xz" vbProcedure="false">Calculs!$I$4:$I$1004</definedName>
    <definedName function="false" hidden="false" name="vit_z" vbProcedure="false">Calculs!$H$4:$H$1004</definedName>
    <definedName function="false" hidden="false" name="Vsortie_de_rampe" vbProcedure="false">Trajecto!$K$23</definedName>
    <definedName function="false" hidden="false" name="V_ini" vbProcedure="false">Trajecto!$K$40</definedName>
    <definedName function="false" hidden="false" name="V_ouverture" vbProcedure="false">Trajecto!$K$27</definedName>
    <definedName function="false" hidden="false" name="V_ouv_sat" vbProcedure="false">Trajecto!$K$25</definedName>
    <definedName function="false" hidden="false" name="V_para" vbProcedure="false">Trajecto!$C$30</definedName>
    <definedName function="false" hidden="false" name="V_prop" vbProcedure="false">Abaco!$K$41:$K$67</definedName>
    <definedName function="false" hidden="false" name="V_satellite" vbProcedure="false">Trajecto!$D$30</definedName>
    <definedName function="false" hidden="false" name="V_vent" vbProcedure="false">Trajecto!$C$29</definedName>
    <definedName function="false" hidden="false" name="V_vent_sat" vbProcedure="false">Trajecto!$D$29</definedName>
    <definedName function="false" hidden="false" name="XcgPlein" vbProcedure="false">Stabilito!$M$15</definedName>
    <definedName function="false" hidden="false" name="XcgSans" vbProcedure="false">Stabilito!$P$15</definedName>
    <definedName function="false" hidden="false" name="XcgVide" vbProcedure="false">Stabilito!$N$15</definedName>
    <definedName function="false" hidden="false" name="XCp0" vbProcedure="false">Stabilito!$I$31</definedName>
    <definedName function="false" hidden="false" name="XCpai0" vbProcedure="false">Stabilito!$N$19</definedName>
    <definedName function="false" hidden="false" name="XCpi0" vbProcedure="false">Stabilito!$N$22</definedName>
    <definedName function="false" hidden="false" name="XpropuPlein" vbProcedure="false">Propu!$N$2</definedName>
    <definedName function="false" hidden="false" name="XpropuRef" vbProcedure="false">Stabilito!$C$18</definedName>
    <definedName function="false" hidden="false" name="XpropuVide" vbProcedure="false">Propu!$P$2</definedName>
    <definedName function="false" hidden="false" name="X_ail" vbProcedure="false">Stabilito!$C$33</definedName>
    <definedName function="false" hidden="false" name="X_can" vbProcedure="false">Stabilito!$D$33</definedName>
    <definedName function="false" hidden="false" name="X_culmi" vbProcedure="false">Trajecto!$J$26</definedName>
    <definedName function="false" hidden="false" name="X_ini" vbProcedure="false">Trajecto!$J$40</definedName>
    <definedName function="false" hidden="false" name="X_j" vbProcedure="false">Stabilito!$M$9</definedName>
    <definedName function="false" hidden="false" name="X_para" vbProcedure="false">Trajecto!$J$27</definedName>
    <definedName function="false" hidden="false" name="X_r" vbProcedure="false">Stabilito!$O$9</definedName>
    <definedName function="false" hidden="false" name="X_satellite" vbProcedure="false">Trajecto!$J$25</definedName>
    <definedName function="false" hidden="false" name="zZ_fus" vbProcedure="false">Trajecto!$F$134</definedName>
    <definedName function="false" hidden="false" name="zZ_sat" vbProcedure="false">Trajecto!$F$151</definedName>
    <definedName function="false" hidden="false" name="Z_ini" vbProcedure="false">Trajecto!$I$40</definedName>
    <definedName function="false" hidden="false" localSheetId="0" name="Cnai" vbProcedure="false">Stabilito!$O$19</definedName>
    <definedName function="false" hidden="false" localSheetId="0" name="Cnail" vbProcedure="false">Stabilito!$O$20</definedName>
    <definedName function="false" hidden="false" localSheetId="0" name="Cnc" vbProcedure="false">Stabilito!$O$21</definedName>
    <definedName function="false" hidden="false" localSheetId="0" name="Cni" vbProcedure="false">Stabilito!$O$22</definedName>
    <definedName function="false" hidden="false" localSheetId="0" name="Cnj" vbProcedure="false">Stabilito!$O$23</definedName>
    <definedName function="false" hidden="false" localSheetId="0" name="Cno" vbProcedure="false">Stabilito!$O$18</definedName>
    <definedName function="false" hidden="false" localSheetId="0" name="Cnr" vbProcedure="false">Stabilito!$O$24</definedName>
    <definedName function="false" hidden="false" localSheetId="0" name="CritCnmax" vbProcedure="false">Stabilito!$J$28</definedName>
    <definedName function="false" hidden="false" localSheetId="0" name="CritCnmin" vbProcedure="false">Stabilito!$G$28</definedName>
    <definedName function="false" hidden="false" localSheetId="0" name="CritFinessemax" vbProcedure="false">Stabilito!$J$27</definedName>
    <definedName function="false" hidden="false" localSheetId="0" name="CritFinessemin" vbProcedure="false">Stabilito!$G$27</definedName>
    <definedName function="false" hidden="false" localSheetId="0" name="CritMsCnmax" vbProcedure="false">Stabilito!$J$30</definedName>
    <definedName function="false" hidden="false" localSheetId="0" name="CritMsCnmin" vbProcedure="false">Stabilito!$G$30</definedName>
    <definedName function="false" hidden="false" localSheetId="0" name="CritMsmax" vbProcedure="false">Stabilito!$J$29</definedName>
    <definedName function="false" hidden="false" localSheetId="0" name="CritMsmin" vbProcedure="false">Stabilito!$G$29</definedName>
    <definedName function="false" hidden="false" localSheetId="0" name="D_can" vbProcedure="false">Stabilito!$D$34</definedName>
    <definedName function="false" hidden="false" localSheetId="0" name="D_int" vbProcedure="false">Stabilito!$E$34</definedName>
    <definedName function="false" hidden="false" localSheetId="0" name="ep_int" vbProcedure="false">Stabilito!$E$31</definedName>
    <definedName function="false" hidden="false" localSheetId="0" name="E_int" vbProcedure="false">Stabilito!$E$30</definedName>
    <definedName function="false" hidden="false" localSheetId="0" name="f_ail" vbProcedure="false">Stabilito!$C$35</definedName>
    <definedName function="false" hidden="false" localSheetId="0" name="f_can" vbProcedure="false">Stabilito!$D$35</definedName>
    <definedName function="false" hidden="false" localSheetId="0" name="f_int" vbProcedure="false">Stabilito!$E$35</definedName>
    <definedName function="false" hidden="false" localSheetId="0" name="m_int" vbProcedure="false">Stabilito!$E$27</definedName>
    <definedName function="false" hidden="false" localSheetId="0" name="n_int" vbProcedure="false">Stabilito!$E$28</definedName>
    <definedName function="false" hidden="false" localSheetId="0" name="p_int" vbProcedure="false">Stabilito!$E$29</definedName>
    <definedName function="false" hidden="false" localSheetId="0" name="Q_int" vbProcedure="false">Stabilito!$E$32</definedName>
    <definedName function="false" hidden="false" localSheetId="0" name="Type_masquage" vbProcedure="false">Stabilito!$C$26</definedName>
    <definedName function="false" hidden="false" localSheetId="0" name="Version" vbProcedure="false">Stabilito!$Q$36</definedName>
    <definedName function="false" hidden="false" localSheetId="0" name="XCp" vbProcedure="false">Stabilito!$H$31</definedName>
    <definedName function="false" hidden="false" localSheetId="0" name="XCpa" vbProcedure="false">Stabilito!$M$20</definedName>
    <definedName function="false" hidden="false" localSheetId="0" name="XCpai" vbProcedure="false">Stabilito!$M$19</definedName>
    <definedName function="false" hidden="false" localSheetId="0" name="XCpc" vbProcedure="false">Stabilito!$M$21</definedName>
    <definedName function="false" hidden="false" localSheetId="0" name="XCpi" vbProcedure="false">Stabilito!$M$22</definedName>
    <definedName function="false" hidden="false" localSheetId="0" name="XCpj" vbProcedure="false">Stabilito!$M$23</definedName>
    <definedName function="false" hidden="false" localSheetId="0" name="XCpo" vbProcedure="false">Stabilito!$M$18</definedName>
    <definedName function="false" hidden="false" localSheetId="0" name="XCpr" vbProcedure="false">Stabilito!$M$24</definedName>
    <definedName function="false" hidden="false" localSheetId="0" name="X_int" vbProcedure="false">Stabilito!$E$33</definedName>
    <definedName function="false" hidden="false" localSheetId="1" name="Version" vbProcedure="false">Trajecto!$N$35</definedName>
    <definedName function="false" hidden="false" localSheetId="5" name="Type_masquage" vbProcedure="false">Stabilito!$C$26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2" authorId="0">
      <text>
        <r>
          <rPr>
            <sz val="10"/>
            <rFont val="Arial"/>
            <family val="2"/>
            <charset val="1"/>
          </rPr>
          <t xml:space="preserve">Position du </t>
        </r>
        <r>
          <rPr>
            <b val="true"/>
            <sz val="8"/>
            <color rgb="FF000000"/>
            <rFont val="Tahoma"/>
            <family val="2"/>
            <charset val="1"/>
          </rPr>
          <t xml:space="preserve">Centre de Masse</t>
        </r>
        <r>
          <rPr>
            <sz val="8"/>
            <color rgb="FF000000"/>
            <rFont val="Tahoma"/>
            <family val="2"/>
            <charset val="1"/>
          </rPr>
          <t xml:space="preserve"> (CdG) par rapport à la pointe de l'ogive,
à mesurer ou estimer sur votre fusée.
</t>
        </r>
        <r>
          <rPr>
            <i val="true"/>
            <sz val="8"/>
            <color rgb="FF000000"/>
            <rFont val="Tahoma"/>
            <family val="2"/>
            <charset val="1"/>
          </rPr>
          <t xml:space="preserve">Position of Center of Mass (CoG) from the top of the nose cone.</t>
        </r>
      </text>
    </comment>
    <comment ref="B13" authorId="0">
      <text>
        <r>
          <rPr>
            <sz val="10"/>
            <rFont val="Arial"/>
            <family val="2"/>
            <charset val="1"/>
          </rPr>
          <t xml:space="preserve">Longueur totale du fuselage avec l'ogive,
hors propu hors antenne hors ailerons.
</t>
        </r>
        <r>
          <rPr>
            <i val="true"/>
            <sz val="8"/>
            <color rgb="FF000000"/>
            <rFont val="Tahoma"/>
            <family val="2"/>
            <charset val="1"/>
          </rPr>
          <t xml:space="preserve">Total length of the body including nose cone.</t>
        </r>
      </text>
    </comment>
    <comment ref="B14" authorId="0">
      <text>
        <r>
          <rPr>
            <sz val="10"/>
            <rFont val="Arial"/>
            <family val="2"/>
            <charset val="1"/>
          </rPr>
          <t xml:space="preserve">Diamètre de référence, utilisé pour calculer : Cnα, Finesse, Marge Statique.
Par défaut D_réf = D_ogive ; on peux écraser avec le diamètre "principal".
</t>
        </r>
        <r>
          <rPr>
            <i val="true"/>
            <sz val="8"/>
            <color rgb="FF000000"/>
            <rFont val="Tahoma"/>
            <family val="2"/>
            <charset val="1"/>
          </rPr>
          <t xml:space="preserve">Reference Diameter, used to compute: Cnα, Finesse, Static Margin.
By default D_ref = D_ogive ; one can overwrtie with the "main" diameter.</t>
        </r>
      </text>
    </comment>
    <comment ref="B18" authorId="0">
      <text>
        <r>
          <rPr>
            <sz val="10"/>
            <rFont val="Arial"/>
            <family val="2"/>
            <charset val="1"/>
          </rPr>
          <t xml:space="preserve">Distance entre la pointe de l'ogive et le </t>
        </r>
        <r>
          <rPr>
            <b val="true"/>
            <sz val="8"/>
            <color rgb="FF000000"/>
            <rFont val="Tahoma"/>
            <family val="2"/>
            <charset val="1"/>
          </rPr>
          <t xml:space="preserve">bas</t>
        </r>
        <r>
          <rPr>
            <sz val="8"/>
            <color rgb="FF000000"/>
            <rFont val="Tahoma"/>
            <family val="2"/>
            <charset val="1"/>
          </rPr>
          <t xml:space="preserve"> du propulseur (hors tuyère).
</t>
        </r>
        <r>
          <rPr>
            <i val="true"/>
            <sz val="8"/>
            <color rgb="FF000000"/>
            <rFont val="Tahoma"/>
            <family val="2"/>
            <charset val="1"/>
          </rPr>
          <t xml:space="preserve">Distance between the tip of the nose cone and the </t>
        </r>
        <r>
          <rPr>
            <b val="true"/>
            <i val="true"/>
            <sz val="8"/>
            <color rgb="FF000000"/>
            <rFont val="Tahoma"/>
            <family val="2"/>
            <charset val="1"/>
          </rPr>
          <t xml:space="preserve">bottom</t>
        </r>
        <r>
          <rPr>
            <i val="true"/>
            <sz val="8"/>
            <color rgb="FF000000"/>
            <rFont val="Tahoma"/>
            <family val="2"/>
            <charset val="1"/>
          </rPr>
          <t xml:space="preserve"> of the motor.</t>
        </r>
      </text>
    </comment>
    <comment ref="B23" authorId="0">
      <text>
        <r>
          <rPr>
            <sz val="10"/>
            <rFont val="Arial"/>
            <family val="2"/>
            <charset val="1"/>
          </rPr>
          <t xml:space="preserve">Diamètre à la base de l'ogive.
</t>
        </r>
        <r>
          <rPr>
            <i val="true"/>
            <sz val="8"/>
            <color rgb="FF000000"/>
            <rFont val="Tahoma"/>
            <family val="2"/>
            <charset val="1"/>
          </rPr>
          <t xml:space="preserve">Diameter at the basement of the nose cone.</t>
        </r>
      </text>
    </comment>
    <comment ref="B27" authorId="0">
      <text>
        <r>
          <rPr>
            <sz val="10"/>
            <rFont val="Arial"/>
            <family val="2"/>
            <charset val="1"/>
          </rPr>
          <t xml:space="preserve">Longueur de l'</t>
        </r>
        <r>
          <rPr>
            <b val="true"/>
            <sz val="8"/>
            <color rgb="FF000000"/>
            <rFont val="Tahoma"/>
            <family val="2"/>
            <charset val="1"/>
          </rPr>
          <t xml:space="preserve">e</t>
        </r>
        <r>
          <rPr>
            <b val="true"/>
            <u val="single"/>
            <sz val="8"/>
            <color rgb="FF000000"/>
            <rFont val="Tahoma"/>
            <family val="2"/>
            <charset val="1"/>
          </rPr>
          <t xml:space="preserve">m</t>
        </r>
        <r>
          <rPr>
            <b val="true"/>
            <sz val="8"/>
            <color rgb="FF000000"/>
            <rFont val="Tahoma"/>
            <family val="2"/>
            <charset val="1"/>
          </rPr>
          <t xml:space="preserve">planture</t>
        </r>
        <r>
          <rPr>
            <sz val="8"/>
            <color rgb="FF000000"/>
            <rFont val="Tahoma"/>
            <family val="2"/>
            <charset val="1"/>
          </rPr>
          <t xml:space="preserve"> d'un aileron.
</t>
        </r>
        <r>
          <rPr>
            <i val="true"/>
            <sz val="8"/>
            <color rgb="FF000000"/>
            <rFont val="Tahoma"/>
            <family val="2"/>
            <charset val="1"/>
          </rPr>
          <t xml:space="preserve">Root edge length of one fin.</t>
        </r>
      </text>
    </comment>
    <comment ref="B28" authorId="0">
      <text>
        <r>
          <rPr>
            <sz val="10"/>
            <rFont val="Arial"/>
            <family val="2"/>
            <charset val="1"/>
          </rPr>
          <t xml:space="preserve">Longueur du </t>
        </r>
        <r>
          <rPr>
            <b val="true"/>
            <sz val="8"/>
            <color rgb="FF000000"/>
            <rFont val="Tahoma"/>
            <family val="2"/>
            <charset val="1"/>
          </rPr>
          <t xml:space="preserve">saumo</t>
        </r>
        <r>
          <rPr>
            <b val="true"/>
            <u val="single"/>
            <sz val="8"/>
            <color rgb="FF000000"/>
            <rFont val="Tahoma"/>
            <family val="2"/>
            <charset val="1"/>
          </rPr>
          <t xml:space="preserve">n</t>
        </r>
        <r>
          <rPr>
            <sz val="8"/>
            <color rgb="FF000000"/>
            <rFont val="Tahoma"/>
            <family val="2"/>
            <charset val="1"/>
          </rPr>
          <t xml:space="preserve"> d'un aileron.
</t>
        </r>
        <r>
          <rPr>
            <i val="true"/>
            <sz val="8"/>
            <color rgb="FF000000"/>
            <rFont val="Tahoma"/>
            <family val="2"/>
            <charset val="1"/>
          </rPr>
          <t xml:space="preserve">Tip edge length of one fin.</t>
        </r>
      </text>
    </comment>
    <comment ref="B29" authorId="0">
      <text>
        <r>
          <rPr>
            <sz val="10"/>
            <rFont val="Arial"/>
            <family val="2"/>
            <charset val="1"/>
          </rPr>
          <t xml:space="preserve">Flèche</t>
        </r>
        <r>
          <rPr>
            <sz val="8"/>
            <color rgb="FF000000"/>
            <rFont val="Tahoma"/>
            <family val="2"/>
            <charset val="1"/>
          </rPr>
          <t xml:space="preserve"> du bord d'attaque (négatif si besoin).
</t>
        </r>
        <r>
          <rPr>
            <i val="true"/>
            <sz val="8"/>
            <color rgb="FF000000"/>
            <rFont val="Tahoma"/>
            <family val="2"/>
            <charset val="1"/>
          </rPr>
          <t xml:space="preserve">Offset of the Leading edge.</t>
        </r>
      </text>
    </comment>
    <comment ref="B30" authorId="0">
      <text>
        <r>
          <rPr>
            <sz val="10"/>
            <rFont val="Arial"/>
            <family val="2"/>
            <charset val="1"/>
          </rPr>
          <t xml:space="preserve">E</t>
        </r>
        <r>
          <rPr>
            <b val="true"/>
            <sz val="8"/>
            <color rgb="FF000000"/>
            <rFont val="Tahoma"/>
            <family val="2"/>
            <charset val="1"/>
          </rPr>
          <t xml:space="preserve">nvergure</t>
        </r>
        <r>
          <rPr>
            <sz val="8"/>
            <color rgb="FF000000"/>
            <rFont val="Tahoma"/>
            <family val="2"/>
            <charset val="1"/>
          </rPr>
          <t xml:space="preserve"> d'un aileron.
</t>
        </r>
        <r>
          <rPr>
            <i val="true"/>
            <sz val="8"/>
            <color rgb="FF000000"/>
            <rFont val="Tahoma"/>
            <family val="2"/>
            <charset val="1"/>
          </rPr>
          <t xml:space="preserve">Span of one fin.</t>
        </r>
      </text>
    </comment>
    <comment ref="B33" authorId="0">
      <text>
        <r>
          <rPr>
            <sz val="10"/>
            <rFont val="Arial"/>
            <family val="2"/>
            <charset val="1"/>
          </rPr>
          <t xml:space="preserve">Distance entre la pointe de l'ogive et le point </t>
        </r>
        <r>
          <rPr>
            <b val="true"/>
            <sz val="8"/>
            <color rgb="FF000000"/>
            <rFont val="Tahoma"/>
            <family val="2"/>
            <charset val="1"/>
          </rPr>
          <t xml:space="preserve">inférieur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lower</t>
        </r>
        <r>
          <rPr>
            <i val="true"/>
            <sz val="8"/>
            <color rgb="FF000000"/>
            <rFont val="Tahoma"/>
            <family val="2"/>
            <charset val="1"/>
          </rPr>
          <t xml:space="preserve"> point of fins attachment on the rocket.</t>
        </r>
      </text>
    </comment>
    <comment ref="B34" authorId="0">
      <text>
        <r>
          <rPr>
            <sz val="10"/>
            <rFont val="Arial"/>
            <family val="2"/>
            <charset val="1"/>
          </rPr>
          <t xml:space="preserve">Diamètre du fuselage au niveau des ailerons.
</t>
        </r>
        <r>
          <rPr>
            <i val="true"/>
            <sz val="8"/>
            <color rgb="FF000000"/>
            <rFont val="Tahoma"/>
            <family val="2"/>
            <charset val="1"/>
          </rPr>
          <t xml:space="preserve">Diameter of the body at the level of the fins.</t>
        </r>
      </text>
    </comment>
    <comment ref="E25" authorId="0">
      <text>
        <r>
          <rPr>
            <sz val="10"/>
            <rFont val="Arial"/>
            <family val="2"/>
            <charset val="1"/>
          </rPr>
          <t xml:space="preserve">Les parties masquées des ailerons du bas sont représentées 
sur le schéma de la fusée par des </t>
        </r>
        <r>
          <rPr>
            <sz val="8"/>
            <color rgb="FFFF0000"/>
            <rFont val="Tahoma"/>
            <family val="2"/>
            <charset val="1"/>
          </rPr>
          <t xml:space="preserve">zones en rouge</t>
        </r>
        <r>
          <rPr>
            <sz val="8"/>
            <color rgb="FF000000"/>
            <rFont val="Tahoma"/>
            <family val="2"/>
            <charset val="1"/>
          </rPr>
          <t xml:space="preserve">.
Ce sont les parties situées juste en dessous des ailerons du haut.
</t>
        </r>
        <r>
          <rPr>
            <i val="true"/>
            <sz val="8"/>
            <color rgb="FF000000"/>
            <rFont val="Tahoma"/>
            <family val="2"/>
            <charset val="1"/>
          </rPr>
          <t xml:space="preserve">The fin-fin interaction zone is located just below the upper fins,
shown in </t>
        </r>
        <r>
          <rPr>
            <i val="true"/>
            <sz val="8"/>
            <color rgb="FFFF0000"/>
            <rFont val="Tahoma"/>
            <family val="2"/>
            <charset val="1"/>
          </rPr>
          <t xml:space="preserve">red</t>
        </r>
        <r>
          <rPr>
            <i val="true"/>
            <sz val="8"/>
            <color rgb="FF000000"/>
            <rFont val="Tahoma"/>
            <family val="2"/>
            <charset val="1"/>
          </rPr>
          <t xml:space="preserve"> in the Rocket schematic.</t>
        </r>
      </text>
    </comment>
    <comment ref="F27" authorId="0">
      <text>
        <r>
          <rPr>
            <sz val="10"/>
            <rFont val="Arial"/>
            <family val="2"/>
            <charset val="1"/>
          </rPr>
          <t xml:space="preserve">La </t>
        </r>
        <r>
          <rPr>
            <b val="true"/>
            <sz val="8"/>
            <color rgb="FF000000"/>
            <rFont val="Tahoma"/>
            <family val="2"/>
            <charset val="1"/>
          </rPr>
          <t xml:space="preserve">Finesse</t>
        </r>
        <r>
          <rPr>
            <sz val="8"/>
            <color rgb="FF000000"/>
            <rFont val="Tahoma"/>
            <family val="2"/>
            <charset val="1"/>
          </rPr>
          <t xml:space="preserve"> représente l'allongement de la fusée, rapport Longueur/Diamètre.
</t>
        </r>
        <r>
          <rPr>
            <i val="true"/>
            <sz val="8"/>
            <color rgb="FF000000"/>
            <rFont val="Tahoma"/>
            <family val="2"/>
            <charset val="1"/>
          </rPr>
          <t xml:space="preserve">Finesse represents the relative length of the rocket. Finesse = L/D</t>
        </r>
      </text>
    </comment>
    <comment ref="F28" authorId="0">
      <text>
        <r>
          <rPr>
            <sz val="10"/>
            <rFont val="Arial"/>
            <family val="2"/>
            <charset val="1"/>
          </rPr>
          <t xml:space="preserve">Le gradient de </t>
        </r>
        <r>
          <rPr>
            <b val="true"/>
            <sz val="8"/>
            <color rgb="FF800000"/>
            <rFont val="Tahoma"/>
            <family val="2"/>
            <charset val="1"/>
          </rPr>
          <t xml:space="preserve">Portance</t>
        </r>
        <r>
          <rPr>
            <sz val="8"/>
            <color rgb="FF000000"/>
            <rFont val="Tahoma"/>
            <family val="2"/>
            <charset val="1"/>
          </rPr>
          <t xml:space="preserve"> Cnα indique l'efficacité des ailerons.
Pour l'augmenter, il faut augmenter la taille des ailerons, et inversement.
</t>
        </r>
        <r>
          <rPr>
            <i val="true"/>
            <sz val="8"/>
            <color rgb="FF800000"/>
            <rFont val="Tahoma"/>
            <family val="2"/>
            <charset val="1"/>
          </rPr>
          <t xml:space="preserve">Lift</t>
        </r>
        <r>
          <rPr>
            <i val="true"/>
            <sz val="8"/>
            <color rgb="FF000000"/>
            <rFont val="Tahoma"/>
            <family val="2"/>
            <charset val="1"/>
          </rPr>
          <t xml:space="preserve"> gradient, Cnα, represents the fins efficiency. 
To increase it, one must increase the size of the fins, and conversely.</t>
        </r>
      </text>
    </comment>
    <comment ref="F29" authorId="0">
      <text>
        <r>
          <rPr>
            <sz val="10"/>
            <rFont val="Arial"/>
            <family val="2"/>
            <charset val="1"/>
          </rPr>
          <t xml:space="preserve">La </t>
        </r>
        <r>
          <rPr>
            <b val="true"/>
            <sz val="8"/>
            <color rgb="FF000000"/>
            <rFont val="Tahoma"/>
            <family val="2"/>
            <charset val="1"/>
          </rPr>
          <t xml:space="preserve">Marge Statique</t>
        </r>
        <r>
          <rPr>
            <sz val="8"/>
            <color rgb="FF000000"/>
            <rFont val="Tahoma"/>
            <family val="2"/>
            <charset val="1"/>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val="true"/>
            <sz val="8"/>
            <color rgb="FF000000"/>
            <rFont val="Tahoma"/>
            <family val="2"/>
            <charset val="1"/>
          </rPr>
          <t xml:space="preserve">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F30" authorId="0">
      <text>
        <r>
          <rPr>
            <sz val="10"/>
            <rFont val="Arial"/>
            <family val="2"/>
            <charset val="1"/>
          </rPr>
          <t xml:space="preserve">Le </t>
        </r>
        <r>
          <rPr>
            <b val="true"/>
            <sz val="8"/>
            <color rgb="FF000000"/>
            <rFont val="Tahoma"/>
            <family val="2"/>
            <charset val="1"/>
          </rPr>
          <t xml:space="preserve">produit</t>
        </r>
        <r>
          <rPr>
            <sz val="8"/>
            <color rgb="FF000000"/>
            <rFont val="Tahoma"/>
            <family val="2"/>
            <charset val="1"/>
          </rPr>
          <t xml:space="preserve"> MS*Cnα représente le </t>
        </r>
        <r>
          <rPr>
            <b val="true"/>
            <sz val="8"/>
            <color rgb="FF000000"/>
            <rFont val="Tahoma"/>
            <family val="2"/>
            <charset val="1"/>
          </rPr>
          <t xml:space="preserve">couple</t>
        </r>
        <r>
          <rPr>
            <sz val="8"/>
            <color rgb="FF000000"/>
            <rFont val="Tahoma"/>
            <family val="2"/>
            <charset val="1"/>
          </rPr>
          <t xml:space="preserve"> de rappel de la Portance.
Pour augmenter le produit, il faut augmenter la MS et/ou le Cnα, et inversement.
</t>
        </r>
        <r>
          <rPr>
            <i val="true"/>
            <sz val="8"/>
            <color rgb="FF000000"/>
            <rFont val="Tahoma"/>
            <family val="2"/>
            <charset val="1"/>
          </rPr>
          <t xml:space="preserve">The product MS*Cnα represents the lift torque.
To increase it, one must increase the Static Margin and/or the Cnα, and conversely.</t>
        </r>
      </text>
    </comment>
    <comment ref="F31" authorId="0">
      <text>
        <r>
          <rPr>
            <sz val="10"/>
            <rFont val="Arial"/>
            <family val="2"/>
            <charset val="1"/>
          </rPr>
          <t xml:space="preserve">Le Xcp est la </t>
        </r>
        <r>
          <rPr>
            <b val="true"/>
            <sz val="8"/>
            <color rgb="FF800000"/>
            <rFont val="Tahoma"/>
            <family val="2"/>
            <charset val="1"/>
          </rPr>
          <t xml:space="preserve">position du Centre de Poussée Aérodynamique</t>
        </r>
        <r>
          <rPr>
            <sz val="8"/>
            <color rgb="FF000000"/>
            <rFont val="Tahoma"/>
            <family val="2"/>
            <charset val="1"/>
          </rPr>
          <t xml:space="preserve"> (CPA), 
aussi appelé Centre de Pression (CP), Centre Latéral de Poussée (CLP), 
ou Foyer, exprimée par rapport à la pointe de l'ogive.
</t>
        </r>
        <r>
          <rPr>
            <i val="true"/>
            <sz val="8"/>
            <color rgb="FF000000"/>
            <rFont val="Tahoma"/>
            <family val="2"/>
            <charset val="1"/>
          </rPr>
          <t xml:space="preserve">Xcp is the location of the Aerodynamics Center of Pressure, 
measured from the tip of the nose cone.</t>
        </r>
      </text>
    </comment>
    <comment ref="F32" authorId="0">
      <text>
        <r>
          <rPr>
            <sz val="10"/>
            <rFont val="Arial"/>
            <family val="2"/>
            <charset val="1"/>
          </rPr>
          <t xml:space="preserve">Cette Marge Statique est la distance entre le Centre de Masse et le Centre de Pression, 
exprimée en </t>
        </r>
        <r>
          <rPr>
            <b val="true"/>
            <sz val="8"/>
            <color rgb="FF000000"/>
            <rFont val="Tahoma"/>
            <family val="2"/>
            <charset val="1"/>
          </rPr>
          <t xml:space="preserve">% de la Longueur</t>
        </r>
        <r>
          <rPr>
            <sz val="8"/>
            <color rgb="FF000000"/>
            <rFont val="Tahoma"/>
            <family val="2"/>
            <charset val="1"/>
          </rPr>
          <t xml:space="preserve"> de la fusée, pour une fusée avec propulseur plein puis vide.
</t>
        </r>
        <r>
          <rPr>
            <i val="true"/>
            <sz val="8"/>
            <color rgb="FF000000"/>
            <rFont val="Tahoma"/>
            <family val="2"/>
            <charset val="1"/>
          </rPr>
          <t xml:space="preserve">This Static Margin is the distance between the Center of Mass and the Center of Pressure, 
measured in % of rocket length, for a rocket with loaded motor, then empty motor.</t>
        </r>
      </text>
    </comment>
    <comment ref="L6" authorId="0">
      <text>
        <r>
          <rPr>
            <sz val="10"/>
            <rFont val="Arial"/>
            <family val="2"/>
            <charset val="1"/>
          </rPr>
          <t xml:space="preserve">Hauteur</t>
        </r>
        <r>
          <rPr>
            <sz val="8"/>
            <color rgb="FF000000"/>
            <rFont val="Tahoma"/>
            <family val="2"/>
            <charset val="1"/>
          </rPr>
          <t xml:space="preserve"> du changement de diamètre (cf. schéma sur fond bleu).
</t>
        </r>
        <r>
          <rPr>
            <i val="true"/>
            <sz val="8"/>
            <color rgb="FF000000"/>
            <rFont val="Tahoma"/>
            <family val="2"/>
            <charset val="1"/>
          </rPr>
          <t xml:space="preserve">Height of the tronconical transition (cf. blue schematic).</t>
        </r>
      </text>
    </comment>
    <comment ref="L7" authorId="0">
      <text>
        <r>
          <rPr>
            <sz val="10"/>
            <rFont val="Arial"/>
            <family val="2"/>
            <charset val="1"/>
          </rPr>
          <t xml:space="preserve">Diamètre de la partie située </t>
        </r>
        <r>
          <rPr>
            <b val="true"/>
            <sz val="8"/>
            <color rgb="FF000000"/>
            <rFont val="Tahoma"/>
            <family val="2"/>
            <charset val="1"/>
          </rPr>
          <t xml:space="preserve">au dessus</t>
        </r>
        <r>
          <rPr>
            <sz val="8"/>
            <color rgb="FF000000"/>
            <rFont val="Tahoma"/>
            <family val="2"/>
            <charset val="1"/>
          </rPr>
          <t xml:space="preserve"> du changement de diamètre.
</t>
        </r>
        <r>
          <rPr>
            <i val="true"/>
            <sz val="8"/>
            <color rgb="FF000000"/>
            <rFont val="Tahoma"/>
            <family val="2"/>
            <charset val="1"/>
          </rPr>
          <t xml:space="preserve">Upper Diameter (cf. blue schematic).</t>
        </r>
      </text>
    </comment>
    <comment ref="L8" authorId="0">
      <text>
        <r>
          <rPr>
            <sz val="10"/>
            <rFont val="Arial"/>
            <family val="2"/>
            <charset val="1"/>
          </rPr>
          <t xml:space="preserve">Diamètre de la partie située </t>
        </r>
        <r>
          <rPr>
            <b val="true"/>
            <sz val="8"/>
            <color rgb="FF000000"/>
            <rFont val="Tahoma"/>
            <family val="2"/>
            <charset val="1"/>
          </rPr>
          <t xml:space="preserve">en dessous</t>
        </r>
        <r>
          <rPr>
            <sz val="8"/>
            <color rgb="FF000000"/>
            <rFont val="Tahoma"/>
            <family val="2"/>
            <charset val="1"/>
          </rPr>
          <t xml:space="preserve"> du changement de diamètre.
</t>
        </r>
        <r>
          <rPr>
            <i val="true"/>
            <sz val="8"/>
            <color rgb="FF000000"/>
            <rFont val="Tahoma"/>
            <family val="2"/>
            <charset val="1"/>
          </rPr>
          <t xml:space="preserve">Lower Diameter (cf. blue schematic).</t>
        </r>
      </text>
    </comment>
    <comment ref="L9" authorId="0">
      <text>
        <r>
          <rPr>
            <sz val="10"/>
            <rFont val="Arial"/>
            <family val="2"/>
            <charset val="1"/>
          </rPr>
          <t xml:space="preserve">Distance entre la pointe de l'ogive et le haut du changement de diamètre.
</t>
        </r>
        <r>
          <rPr>
            <i val="true"/>
            <sz val="8"/>
            <color rgb="FF000000"/>
            <rFont val="Tahoma"/>
            <family val="2"/>
            <charset val="1"/>
          </rPr>
          <t xml:space="preserve">Distance betwenn the tip of the nose cone and the top of the skirt/shrink.</t>
        </r>
      </text>
    </comment>
    <comment ref="L13" authorId="0">
      <text>
        <r>
          <rPr>
            <sz val="10"/>
            <rFont val="Arial"/>
            <family val="2"/>
            <charset val="1"/>
          </rPr>
          <t xml:space="preserve">Centre de Masse du propulseur par rapport au haut du propulseur.
</t>
        </r>
        <r>
          <rPr>
            <i val="true"/>
            <sz val="8"/>
            <color rgb="FF000000"/>
            <rFont val="Tahoma"/>
            <family val="2"/>
            <charset val="1"/>
          </rPr>
          <t xml:space="preserve">Motor Center of Mass, mesured from top of motor.</t>
        </r>
      </text>
    </comment>
    <comment ref="L15" authorId="0">
      <text>
        <r>
          <rPr>
            <sz val="10"/>
            <rFont val="Arial"/>
            <family val="2"/>
            <charset val="1"/>
          </rPr>
          <t xml:space="preserve">Les positions des </t>
        </r>
        <r>
          <rPr>
            <sz val="8"/>
            <color rgb="FF0000FF"/>
            <rFont val="Tahoma"/>
            <family val="2"/>
            <charset val="1"/>
          </rPr>
          <t xml:space="preserve">Centres de Masse</t>
        </r>
        <r>
          <rPr>
            <sz val="8"/>
            <color rgb="FF000000"/>
            <rFont val="Tahoma"/>
            <family val="2"/>
            <charset val="1"/>
          </rPr>
          <t xml:space="preserve"> de la fusée avec propulseur plein et vide
sont représentées sur le schéma de la fusée par un </t>
        </r>
        <r>
          <rPr>
            <sz val="8"/>
            <color rgb="FF0000FF"/>
            <rFont val="Tahoma"/>
            <family val="2"/>
            <charset val="1"/>
          </rPr>
          <t xml:space="preserve">segment vertical bleu</t>
        </r>
        <r>
          <rPr>
            <sz val="8"/>
            <color rgb="FF000000"/>
            <rFont val="Tahoma"/>
            <family val="2"/>
            <charset val="1"/>
          </rPr>
          <t xml:space="preserve">.
</t>
        </r>
        <r>
          <rPr>
            <i val="true"/>
            <sz val="8"/>
            <color rgb="FF000000"/>
            <rFont val="Tahoma"/>
            <family val="2"/>
            <charset val="1"/>
          </rPr>
          <t xml:space="preserve">Rocket Center of Mass are shown whith a </t>
        </r>
        <r>
          <rPr>
            <i val="true"/>
            <sz val="8"/>
            <color rgb="FF0000FF"/>
            <rFont val="Tahoma"/>
            <family val="2"/>
            <charset val="1"/>
          </rPr>
          <t xml:space="preserve">blue segment</t>
        </r>
        <r>
          <rPr>
            <i val="true"/>
            <sz val="8"/>
            <color rgb="FF000000"/>
            <rFont val="Tahoma"/>
            <family val="2"/>
            <charset val="1"/>
          </rPr>
          <t xml:space="preserve"> in Rocket schematic.</t>
        </r>
      </text>
    </comment>
    <comment ref="M5" authorId="0">
      <text>
        <r>
          <rPr>
            <sz val="10"/>
            <rFont val="Arial"/>
            <family val="2"/>
            <charset val="1"/>
          </rPr>
          <t xml:space="preserve">Définir les propriétés du 1er changement de diamètre.
Laisser cette colonne vide si la fusée n'a pas de Jupe ou Rétreint.
</t>
        </r>
        <r>
          <rPr>
            <i val="true"/>
            <sz val="8"/>
            <color rgb="FF000000"/>
            <rFont val="Tahoma"/>
            <family val="2"/>
            <charset val="1"/>
          </rPr>
          <t xml:space="preserve">Set properties of the 1st diameter transition.
Leave this column blank if no skirt/shrink on the rocket.</t>
        </r>
      </text>
    </comment>
    <comment ref="O5" authorId="0">
      <text>
        <r>
          <rPr>
            <sz val="10"/>
            <rFont val="Arial"/>
            <family val="2"/>
            <charset val="1"/>
          </rPr>
          <t xml:space="preserve">Définir les propriétés du 2e changement de diamètre.
Laisser cette colonne vide si la fusée n'a pas de 2e Jupe ou Rétreint.
</t>
        </r>
        <r>
          <rPr>
            <i val="true"/>
            <sz val="8"/>
            <color rgb="FF000000"/>
            <rFont val="Tahoma"/>
            <family val="2"/>
            <charset val="1"/>
          </rPr>
          <t xml:space="preserve">Set properties of the 2nd diameter transition.
Leave this column blank if no 2nd skirt/shrink on the rocket.</t>
        </r>
      </text>
    </comment>
    <comment ref="S12" authorId="0">
      <text>
        <r>
          <rPr>
            <sz val="10"/>
            <rFont val="Arial"/>
            <family val="2"/>
            <charset val="1"/>
          </rPr>
          <t xml:space="preserve">Distance entre la pointe de l'ogive et le </t>
        </r>
        <r>
          <rPr>
            <b val="true"/>
            <sz val="8"/>
            <color rgb="FF000000"/>
            <rFont val="Tahoma"/>
            <family val="2"/>
            <charset val="1"/>
          </rPr>
          <t xml:space="preserve">haut</t>
        </r>
        <r>
          <rPr>
            <sz val="8"/>
            <color rgb="FF000000"/>
            <rFont val="Tahoma"/>
            <family val="2"/>
            <charset val="1"/>
          </rPr>
          <t xml:space="preserve"> du propulseur (hors ergot).
</t>
        </r>
        <r>
          <rPr>
            <i val="true"/>
            <sz val="8"/>
            <color rgb="FF000000"/>
            <rFont val="Tahoma"/>
            <family val="2"/>
            <charset val="1"/>
          </rPr>
          <t xml:space="preserve">Distance between the tip of the nose cone and the </t>
        </r>
        <r>
          <rPr>
            <b val="true"/>
            <i val="true"/>
            <sz val="8"/>
            <color rgb="FF000000"/>
            <rFont val="Tahoma"/>
            <family val="2"/>
            <charset val="1"/>
          </rPr>
          <t xml:space="preserve">top </t>
        </r>
        <r>
          <rPr>
            <i val="true"/>
            <sz val="8"/>
            <color rgb="FF000000"/>
            <rFont val="Tahoma"/>
            <family val="2"/>
            <charset val="1"/>
          </rPr>
          <t xml:space="preserve">of the motor.</t>
        </r>
      </text>
    </comment>
    <comment ref="S14" authorId="0">
      <text>
        <r>
          <rPr>
            <sz val="10"/>
            <rFont val="Arial"/>
            <family val="2"/>
            <charset val="1"/>
          </rPr>
          <t xml:space="preserve">Distance entre la pointe de l'ogive et le </t>
        </r>
        <r>
          <rPr>
            <b val="true"/>
            <sz val="8"/>
            <color rgb="FF000000"/>
            <rFont val="Tahoma"/>
            <family val="2"/>
            <charset val="1"/>
          </rPr>
          <t xml:space="preserve">bas</t>
        </r>
        <r>
          <rPr>
            <sz val="8"/>
            <color rgb="FF000000"/>
            <rFont val="Tahoma"/>
            <family val="2"/>
            <charset val="1"/>
          </rPr>
          <t xml:space="preserve"> du propulseur (hors tuyère).
</t>
        </r>
        <r>
          <rPr>
            <i val="true"/>
            <sz val="8"/>
            <color rgb="FF000000"/>
            <rFont val="Tahoma"/>
            <family val="2"/>
            <charset val="1"/>
          </rPr>
          <t xml:space="preserve">Distance between the tip of the nose cone and the </t>
        </r>
        <r>
          <rPr>
            <b val="true"/>
            <i val="true"/>
            <sz val="8"/>
            <color rgb="FF000000"/>
            <rFont val="Tahoma"/>
            <family val="2"/>
            <charset val="1"/>
          </rPr>
          <t xml:space="preserve">bottom</t>
        </r>
        <r>
          <rPr>
            <i val="true"/>
            <sz val="8"/>
            <color rgb="FF000000"/>
            <rFont val="Tahoma"/>
            <family val="2"/>
            <charset val="1"/>
          </rPr>
          <t xml:space="preserve"> of the motor.</t>
        </r>
      </text>
    </comment>
    <comment ref="S17" authorId="0">
      <text>
        <r>
          <rPr>
            <sz val="10"/>
            <rFont val="Arial"/>
            <family val="2"/>
            <charset val="1"/>
          </rPr>
          <t xml:space="preserve">Distance entre la pointe de l'ogive et le point </t>
        </r>
        <r>
          <rPr>
            <b val="true"/>
            <sz val="8"/>
            <color rgb="FF000000"/>
            <rFont val="Tahoma"/>
            <family val="2"/>
            <charset val="1"/>
          </rPr>
          <t xml:space="preserve">supérieur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upper</t>
        </r>
        <r>
          <rPr>
            <i val="true"/>
            <sz val="8"/>
            <color rgb="FF000000"/>
            <rFont val="Tahoma"/>
            <family val="2"/>
            <charset val="1"/>
          </rPr>
          <t xml:space="preserve"> point of fins attachment on the rocket.</t>
        </r>
      </text>
    </comment>
    <comment ref="S18" authorId="0">
      <text>
        <r>
          <rPr>
            <sz val="10"/>
            <rFont val="Arial"/>
            <family val="2"/>
            <charset val="1"/>
          </rPr>
          <t xml:space="preserve">Longueur de l'</t>
        </r>
        <r>
          <rPr>
            <b val="true"/>
            <sz val="8"/>
            <color rgb="FF000000"/>
            <rFont val="Tahoma"/>
            <family val="2"/>
            <charset val="1"/>
          </rPr>
          <t xml:space="preserve">e</t>
        </r>
        <r>
          <rPr>
            <b val="true"/>
            <u val="single"/>
            <sz val="8"/>
            <color rgb="FF000000"/>
            <rFont val="Tahoma"/>
            <family val="2"/>
            <charset val="1"/>
          </rPr>
          <t xml:space="preserve">m</t>
        </r>
        <r>
          <rPr>
            <b val="true"/>
            <sz val="8"/>
            <color rgb="FF000000"/>
            <rFont val="Tahoma"/>
            <family val="2"/>
            <charset val="1"/>
          </rPr>
          <t xml:space="preserve">planture</t>
        </r>
        <r>
          <rPr>
            <sz val="8"/>
            <color rgb="FF000000"/>
            <rFont val="Tahoma"/>
            <family val="2"/>
            <charset val="1"/>
          </rPr>
          <t xml:space="preserve"> d'un aileron.
</t>
        </r>
        <r>
          <rPr>
            <i val="true"/>
            <sz val="8"/>
            <color rgb="FF000000"/>
            <rFont val="Tahoma"/>
            <family val="2"/>
            <charset val="1"/>
          </rPr>
          <t xml:space="preserve">Root edge length of one fin.</t>
        </r>
      </text>
    </comment>
    <comment ref="S19" authorId="0">
      <text>
        <r>
          <rPr>
            <sz val="10"/>
            <rFont val="Arial"/>
            <family val="2"/>
            <charset val="1"/>
          </rPr>
          <t xml:space="preserve">Distance entre la pointe de l'ogive et le point </t>
        </r>
        <r>
          <rPr>
            <b val="true"/>
            <sz val="8"/>
            <color rgb="FF000000"/>
            <rFont val="Tahoma"/>
            <family val="2"/>
            <charset val="1"/>
          </rPr>
          <t xml:space="preserve">inférieur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lower</t>
        </r>
        <r>
          <rPr>
            <i val="true"/>
            <sz val="8"/>
            <color rgb="FF000000"/>
            <rFont val="Tahoma"/>
            <family val="2"/>
            <charset val="1"/>
          </rPr>
          <t xml:space="preserve"> point of fins attachment on the rocket.</t>
        </r>
      </text>
    </comment>
  </commentList>
</comments>
</file>

<file path=xl/comments2.xml><?xml version="1.0" encoding="utf-8"?>
<comments xmlns="http://schemas.openxmlformats.org/spreadsheetml/2006/main" xmlns:xdr="http://schemas.openxmlformats.org/drawingml/2006/spreadsheetDrawing">
  <authors>
    <author> </author>
  </authors>
  <commentList>
    <comment ref="B10" authorId="0">
      <text>
        <r>
          <rPr>
            <sz val="10"/>
            <rFont val="Arial"/>
            <family val="2"/>
            <charset val="1"/>
          </rPr>
          <t xml:space="preserve">Masse au décollage, à changer dans la feuille Stabilito,
ou à l'aide des boutons (revérifiez alors la stabilité).
</t>
        </r>
        <r>
          <rPr>
            <i val="true"/>
            <sz val="8"/>
            <color rgb="FF000000"/>
            <rFont val="Tahoma"/>
            <family val="2"/>
            <charset val="1"/>
          </rPr>
          <t xml:space="preserve">Lift-Off mass, to be changed in Stabilito sheet,
or with the buttons (then recheck stability).</t>
        </r>
      </text>
    </comment>
    <comment ref="B11" authorId="0">
      <text>
        <r>
          <rPr>
            <sz val="10"/>
            <rFont val="Arial"/>
            <family val="2"/>
            <charset val="1"/>
          </rPr>
          <t xml:space="preserve">Le propulseur doit être sélectionné dans l'onglet Stabilito.
</t>
        </r>
        <r>
          <rPr>
            <i val="true"/>
            <sz val="8"/>
            <color rgb="FF000000"/>
            <rFont val="Tahoma"/>
            <family val="2"/>
            <charset val="1"/>
          </rPr>
          <t xml:space="preserve">Motor must be selected in Stabilito sheet.</t>
        </r>
      </text>
    </comment>
    <comment ref="B14" authorId="0">
      <text>
        <r>
          <rPr>
            <sz val="10"/>
            <rFont val="Arial"/>
            <family val="2"/>
            <charset val="1"/>
          </rPr>
          <t xml:space="preserve">La Surface de Référence utilisée pour le calcul de la Traînée est la surface projetée dans l'axe de la fusée. Ce </t>
        </r>
        <r>
          <rPr>
            <b val="true"/>
            <sz val="8"/>
            <color rgb="FF000000"/>
            <rFont val="Tahoma"/>
            <family val="2"/>
            <charset val="1"/>
          </rPr>
          <t xml:space="preserve">Maître Couple</t>
        </r>
        <r>
          <rPr>
            <sz val="8"/>
            <color rgb="FF000000"/>
            <rFont val="Tahoma"/>
            <family val="2"/>
            <charset val="1"/>
          </rPr>
          <t xml:space="preserve"> inclut donc l'épaisseur des ailerons.
</t>
        </r>
        <r>
          <rPr>
            <i val="true"/>
            <sz val="8"/>
            <color rgb="FF000000"/>
            <rFont val="Tahoma"/>
            <family val="2"/>
            <charset val="1"/>
          </rPr>
          <t xml:space="preserve">Reference Surface used to compute the Drag. It includes Fin thickness.</t>
        </r>
      </text>
    </comment>
    <comment ref="B15" authorId="0">
      <text>
        <r>
          <rPr>
            <sz val="10"/>
            <rFont val="Arial"/>
            <family val="2"/>
            <charset val="1"/>
          </rPr>
          <t xml:space="preserve">Coefficient de Traînée de la fusée. Par défaut, le </t>
        </r>
        <r>
          <rPr>
            <b val="true"/>
            <sz val="8"/>
            <color rgb="FF000000"/>
            <rFont val="Tahoma"/>
            <family val="2"/>
            <charset val="1"/>
          </rPr>
          <t xml:space="preserve">Cx</t>
        </r>
        <r>
          <rPr>
            <sz val="8"/>
            <color rgb="FF000000"/>
            <rFont val="Tahoma"/>
            <family val="2"/>
            <charset val="1"/>
          </rPr>
          <t xml:space="preserve"> vaut 0.6. On peut ajouter ou retrancher 0.2 en fonction des aspérités de la fusée, du profilage des ailerons…
</t>
        </r>
        <r>
          <rPr>
            <i val="true"/>
            <sz val="8"/>
            <color rgb="FF000000"/>
            <rFont val="Tahoma"/>
            <family val="2"/>
            <charset val="1"/>
          </rPr>
          <t xml:space="preserve">Rocket Drag Coefficient is generally between 0.4 and 0.8, with a default value of 0.6.</t>
        </r>
      </text>
    </comment>
    <comment ref="B18" authorId="0">
      <text>
        <r>
          <rPr>
            <sz val="10"/>
            <rFont val="Arial"/>
            <family val="2"/>
            <charset val="1"/>
          </rPr>
          <t xml:space="preserve">Longueur de la rampe de lancement.
</t>
        </r>
        <r>
          <rPr>
            <i val="true"/>
            <sz val="8"/>
            <color rgb="FF000000"/>
            <rFont val="Tahoma"/>
            <family val="2"/>
            <charset val="1"/>
          </rPr>
          <t xml:space="preserve">                                          Length of the launch pad.
</t>
        </r>
        <r>
          <rPr>
            <sz val="8"/>
            <color rgb="FF000000"/>
            <rFont val="Tahoma"/>
            <family val="2"/>
            <charset val="1"/>
          </rPr>
          <t xml:space="preserve">Valeurs courantes :                  </t>
        </r>
        <r>
          <rPr>
            <i val="true"/>
            <sz val="8"/>
            <color rgb="FF000000"/>
            <rFont val="Tahoma"/>
            <family val="2"/>
            <charset val="1"/>
          </rPr>
          <t xml:space="preserve">Average values :
</t>
        </r>
        <r>
          <rPr>
            <sz val="8"/>
            <color rgb="FF000000"/>
            <rFont val="Tahoma"/>
            <family val="2"/>
            <charset val="1"/>
          </rPr>
          <t xml:space="preserve">MicroFusée                  : 1m  :    </t>
        </r>
        <r>
          <rPr>
            <i val="true"/>
            <sz val="8"/>
            <color rgb="FF000000"/>
            <rFont val="Tahoma"/>
            <family val="2"/>
            <charset val="1"/>
          </rPr>
          <t xml:space="preserve">Micro-rocket
</t>
        </r>
        <r>
          <rPr>
            <sz val="8"/>
            <color rgb="FF000000"/>
            <rFont val="Tahoma"/>
            <family val="2"/>
            <charset val="1"/>
          </rPr>
          <t xml:space="preserve">MiniFusée                    : 2m5:   </t>
        </r>
        <r>
          <rPr>
            <i val="true"/>
            <sz val="8"/>
            <color rgb="FF000000"/>
            <rFont val="Tahoma"/>
            <family val="2"/>
            <charset val="1"/>
          </rPr>
          <t xml:space="preserve"> Mini-rocket
Rocketry Challenge    </t>
        </r>
        <r>
          <rPr>
            <sz val="8"/>
            <color rgb="FF000000"/>
            <rFont val="Tahoma"/>
            <family val="2"/>
            <charset val="1"/>
          </rPr>
          <t xml:space="preserve">: 3m
Fusée Expérimentale  : 4m  :   </t>
        </r>
        <r>
          <rPr>
            <i val="true"/>
            <sz val="8"/>
            <color rgb="FF000000"/>
            <rFont val="Tahoma"/>
            <family val="2"/>
            <charset val="1"/>
          </rPr>
          <t xml:space="preserve">Experimental Rocket</t>
        </r>
      </text>
    </comment>
    <comment ref="B19" authorId="0">
      <text>
        <r>
          <rPr>
            <sz val="10"/>
            <rFont val="Arial"/>
            <family val="2"/>
            <charset val="1"/>
          </rPr>
          <t xml:space="preserve">Elévation de la rampe, angle par rapport à l'horizontale, "site" de la rampe, par défaut cet angle est à 80°.
</t>
        </r>
        <r>
          <rPr>
            <i val="true"/>
            <sz val="8"/>
            <color rgb="FF000000"/>
            <rFont val="Tahoma"/>
            <family val="2"/>
            <charset val="1"/>
          </rPr>
          <t xml:space="preserve">Angle of the lauch pad versus horizontal.</t>
        </r>
      </text>
    </comment>
    <comment ref="B20" authorId="0">
      <text>
        <r>
          <rPr>
            <sz val="10"/>
            <rFont val="Arial"/>
            <family val="2"/>
            <charset val="1"/>
          </rPr>
          <t xml:space="preserve">L'Altitude de la rampe est utilisée pour calculer la densité de l'air.
</t>
        </r>
        <r>
          <rPr>
            <i val="true"/>
            <sz val="8"/>
            <color rgb="FF000000"/>
            <rFont val="Tahoma"/>
            <family val="2"/>
            <charset val="1"/>
          </rPr>
          <t xml:space="preserve">Launch Pad Altitude is used to compute the air density.</t>
        </r>
      </text>
    </comment>
    <comment ref="B28" authorId="0">
      <text>
        <r>
          <rPr>
            <sz val="10"/>
            <rFont val="Arial"/>
            <family val="2"/>
            <charset val="1"/>
          </rPr>
          <t xml:space="preserve">Le Coefficient de Traînée </t>
        </r>
        <r>
          <rPr>
            <b val="true"/>
            <sz val="8"/>
            <color rgb="FF000000"/>
            <rFont val="Tahoma"/>
            <family val="2"/>
            <charset val="1"/>
          </rPr>
          <t xml:space="preserve">Cx</t>
        </r>
        <r>
          <rPr>
            <sz val="8"/>
            <color rgb="FF000000"/>
            <rFont val="Tahoma"/>
            <family val="2"/>
            <charset val="1"/>
          </rPr>
          <t xml:space="preserve"> (ou Cd) d'un parachute est généralement compris entre 0.7 et 1.4 (1 par défaut).
</t>
        </r>
        <r>
          <rPr>
            <i val="true"/>
            <sz val="8"/>
            <color rgb="FF000000"/>
            <rFont val="Tahoma"/>
            <family val="2"/>
            <charset val="1"/>
          </rPr>
          <t xml:space="preserve">Parachute Drag Coefficient </t>
        </r>
        <r>
          <rPr>
            <b val="true"/>
            <i val="true"/>
            <sz val="8"/>
            <color rgb="FF000000"/>
            <rFont val="Tahoma"/>
            <family val="2"/>
            <charset val="1"/>
          </rPr>
          <t xml:space="preserve">Cx</t>
        </r>
        <r>
          <rPr>
            <i val="true"/>
            <sz val="8"/>
            <color rgb="FF000000"/>
            <rFont val="Tahoma"/>
            <family val="2"/>
            <charset val="1"/>
          </rPr>
          <t xml:space="preserve"> (or Cd) should be between 0.7 and 1.4, with a default value of 1.</t>
        </r>
      </text>
    </comment>
    <comment ref="B30" authorId="0">
      <text>
        <r>
          <rPr>
            <sz val="10"/>
            <rFont val="Arial"/>
            <family val="2"/>
            <charset val="1"/>
          </rPr>
          <t xml:space="preserve">La Vitesse de descente sous parachute doit être comprise entre 5 &amp; 15m/s.
</t>
        </r>
        <r>
          <rPr>
            <i val="true"/>
            <sz val="8"/>
            <color rgb="FF000000"/>
            <rFont val="Tahoma"/>
            <family val="2"/>
            <charset val="1"/>
          </rPr>
          <t xml:space="preserve">Fall Velocity with parachute must be between 5 &amp; 15 m/s.</t>
        </r>
      </text>
    </comment>
    <comment ref="B33" authorId="0">
      <text>
        <r>
          <rPr>
            <sz val="10"/>
            <rFont val="Arial"/>
            <family val="2"/>
            <charset val="1"/>
          </rPr>
          <t xml:space="preserve">Déviation due au vent lors de la descente sous parachute.
</t>
        </r>
        <r>
          <rPr>
            <i val="true"/>
            <sz val="8"/>
            <color rgb="FF000000"/>
            <rFont val="Tahoma"/>
            <family val="2"/>
            <charset val="1"/>
          </rPr>
          <t xml:space="preserve">Deviation due to wind during the fall over parachute.</t>
        </r>
      </text>
    </comment>
    <comment ref="C24" authorId="0">
      <text>
        <r>
          <rPr>
            <sz val="10"/>
            <rFont val="Arial"/>
            <family val="2"/>
            <charset val="1"/>
          </rPr>
          <t xml:space="preserve">Masse de la fusée (sans satellite) sous parachute.
</t>
        </r>
        <r>
          <rPr>
            <i val="true"/>
            <sz val="8"/>
            <color rgb="FF000000"/>
            <rFont val="Tahoma"/>
            <family val="2"/>
            <charset val="1"/>
          </rPr>
          <t xml:space="preserve">Mass of the rocket (w/o sat) when it fall with a parachute.</t>
        </r>
      </text>
    </comment>
    <comment ref="D23" authorId="0">
      <text>
        <r>
          <rPr>
            <sz val="10"/>
            <rFont val="Arial"/>
            <family val="2"/>
            <charset val="1"/>
          </rPr>
          <t xml:space="preserve">Objet largué</t>
        </r>
        <r>
          <rPr>
            <sz val="8"/>
            <color rgb="FF000000"/>
            <rFont val="Tahoma"/>
            <family val="2"/>
            <charset val="1"/>
          </rPr>
          <t xml:space="preserve"> (CanSat, quasi-satellite, partie contenant l'œuf...)
</t>
        </r>
        <r>
          <rPr>
            <i val="true"/>
            <sz val="8"/>
            <color rgb="FF000000"/>
            <rFont val="Tahoma"/>
            <family val="2"/>
            <charset val="1"/>
          </rPr>
          <t xml:space="preserve">Separated object (CanSat, quasi-satellite, payload/egg...)</t>
        </r>
      </text>
    </comment>
    <comment ref="F40" authorId="0">
      <text>
        <r>
          <rPr>
            <sz val="10"/>
            <rFont val="Arial"/>
            <family val="2"/>
            <charset val="1"/>
          </rPr>
          <t xml:space="preserve">Les Conditions Initiales permettent de simuler le 2e boost des fusée bi-étage ou des fusées larguant une masse (CanSat, bi-inerte). Laisser à 0 dans les autres cas.
</t>
        </r>
        <r>
          <rPr>
            <i val="true"/>
            <sz val="8"/>
            <color rgb="FF000000"/>
            <rFont val="Tahoma"/>
            <family val="2"/>
            <charset val="1"/>
          </rPr>
          <t xml:space="preserve">Initial Conditions can be used to simulate the 2nd boost of 2-stages rockets, or rocket releasing mass (Quasi-Satellites). Set them to 0 otherwise.</t>
        </r>
      </text>
    </comment>
    <comment ref="I40" authorId="0">
      <text>
        <r>
          <rPr>
            <sz val="10"/>
            <rFont val="Arial"/>
            <family val="2"/>
            <charset val="1"/>
          </rPr>
          <t xml:space="preserve">Altitude par rapport à la rampe, par rapport au sol.
</t>
        </r>
        <r>
          <rPr>
            <i val="true"/>
            <sz val="8"/>
            <color rgb="FF000000"/>
            <rFont val="Tahoma"/>
            <family val="2"/>
            <charset val="1"/>
          </rPr>
          <t xml:space="preserve">Altitude with respect to the earth surface.</t>
        </r>
      </text>
    </comment>
    <comment ref="K23" authorId="0">
      <text>
        <r>
          <rPr>
            <sz val="10"/>
            <rFont val="Arial"/>
            <family val="2"/>
            <charset val="1"/>
          </rPr>
          <t xml:space="preserve">La Vitesse en Sortie de Rampe doit être supérieure à 18m/s (MiniFusée) ou 20m/s (Fusée Exp.).
Alléger la fusée ou choisir un propu plus puissant.
</t>
        </r>
        <r>
          <rPr>
            <i val="true"/>
            <sz val="8"/>
            <color rgb="FF000000"/>
            <rFont val="Tahoma"/>
            <family val="2"/>
            <charset val="1"/>
          </rPr>
          <t xml:space="preserve">Speed at Launch Pad Exit must by higher than 18m/s (mini-rocket) or 20m/s (experimental rocket).
Lighten the rocket or choose a bigger motor.</t>
        </r>
      </text>
    </comment>
    <comment ref="K40" authorId="0">
      <text>
        <r>
          <rPr>
            <sz val="10"/>
            <rFont val="Arial"/>
            <family val="2"/>
            <charset val="1"/>
          </rPr>
          <t xml:space="preserve">La vitesse initiale doit être non-nulle dans le cas d'un 2e boost (allumage hors de la rampe, Portée et Altitude non-nulles).
</t>
        </r>
        <r>
          <rPr>
            <i val="true"/>
            <sz val="8"/>
            <color rgb="FF000000"/>
            <rFont val="Tahoma"/>
            <family val="2"/>
            <charset val="1"/>
          </rPr>
          <t xml:space="preserve">Initial Velocity must be non-zero in case of 2nd boost (ignition without launch pad, non-zero Range and Altitude).</t>
        </r>
      </text>
    </comment>
    <comment ref="M27" authorId="0">
      <text>
        <r>
          <rPr>
            <sz val="10"/>
            <rFont val="Arial"/>
            <family val="2"/>
            <charset val="1"/>
          </rPr>
          <t xml:space="preserve">Efforts sur les fixations du parachute lors de sont ouverture.
</t>
        </r>
        <r>
          <rPr>
            <i val="true"/>
            <sz val="8"/>
            <color rgb="FF000000"/>
            <rFont val="Tahoma"/>
            <family val="2"/>
            <charset val="1"/>
          </rPr>
          <t xml:space="preserve">Stress on the parachute's bindings when it opened.</t>
        </r>
      </text>
    </comment>
    <comment ref="M28" authorId="0">
      <text>
        <r>
          <rPr>
            <sz val="10"/>
            <rFont val="Arial"/>
            <family val="2"/>
            <charset val="1"/>
          </rPr>
          <t xml:space="preserve">Energie libérée lors de l'impact balistique.
</t>
        </r>
        <r>
          <rPr>
            <b val="true"/>
            <sz val="8"/>
            <color rgb="FF000000"/>
            <rFont val="Tahoma"/>
            <family val="2"/>
            <charset val="1"/>
          </rPr>
          <t xml:space="preserve">
</t>
        </r>
        <r>
          <rPr>
            <i val="true"/>
            <sz val="8"/>
            <color rgb="FF000000"/>
            <rFont val="Tahoma"/>
            <family val="2"/>
            <charset val="1"/>
          </rPr>
          <t xml:space="preserve">Balistic impact energy</t>
        </r>
      </text>
    </comment>
  </commentList>
</comments>
</file>

<file path=xl/comments6.xml><?xml version="1.0" encoding="utf-8"?>
<comments xmlns="http://schemas.openxmlformats.org/spreadsheetml/2006/main" xmlns:xdr="http://schemas.openxmlformats.org/drawingml/2006/spreadsheetDrawing">
  <authors>
    <author> </author>
  </authors>
  <commentList>
    <comment ref="B10" authorId="0">
      <text>
        <r>
          <rPr>
            <sz val="10"/>
            <rFont val="Arial"/>
            <family val="2"/>
            <charset val="1"/>
          </rPr>
          <t xml:space="preserve">Masse sans propu, à changer dans la feuille Stabilito,
ou à l'aide des boutons (revérifiez alors la stabilité).
</t>
        </r>
        <r>
          <rPr>
            <i val="true"/>
            <sz val="8"/>
            <color rgb="FF000000"/>
            <rFont val="Tahoma"/>
            <family val="2"/>
            <charset val="1"/>
          </rPr>
          <t xml:space="preserve">Rocket mass without motor, to be changed in Stabilito sheet,
or with the buttons (then recheck stability).</t>
        </r>
      </text>
    </comment>
    <comment ref="B11" authorId="0">
      <text>
        <r>
          <rPr>
            <sz val="10"/>
            <rFont val="Arial"/>
            <family val="2"/>
            <charset val="1"/>
          </rPr>
          <t xml:space="preserve">Masse totale, à changer dans la feuille Stabilito,
ou à l'aide des boutons (revérifiez alors la stabilité).
Rocket total mass, to be changed in Stabilito sheet,
or with the buttons (then recheck stability).</t>
        </r>
      </text>
    </comment>
    <comment ref="B12" authorId="0">
      <text>
        <r>
          <rPr>
            <sz val="10"/>
            <rFont val="Arial"/>
            <family val="2"/>
            <charset val="1"/>
          </rPr>
          <t xml:space="preserve">Le propulseur doit être sélectionné dans l'onglet Stabilito.
</t>
        </r>
        <r>
          <rPr>
            <i val="true"/>
            <sz val="8"/>
            <color rgb="FF000000"/>
            <rFont val="Tahoma"/>
            <family val="2"/>
            <charset val="1"/>
          </rPr>
          <t xml:space="preserve">Motor must be selected in Stabilito sheet.</t>
        </r>
      </text>
    </comment>
    <comment ref="B15" authorId="0">
      <text>
        <r>
          <rPr>
            <sz val="10"/>
            <rFont val="Arial"/>
            <family val="2"/>
            <charset val="1"/>
          </rPr>
          <t xml:space="preserve">Diamètre de référence. D_réf = D_ogive ou le diamètre "principal".
</t>
        </r>
        <r>
          <rPr>
            <i val="true"/>
            <sz val="8"/>
            <color rgb="FF000000"/>
            <rFont val="Tahoma"/>
            <family val="2"/>
            <charset val="1"/>
          </rPr>
          <t xml:space="preserve">Reference Diameter. D_ref = D_ogive or the "main" diameter.</t>
        </r>
      </text>
    </comment>
    <comment ref="B16" authorId="0">
      <text>
        <r>
          <rPr>
            <sz val="10"/>
            <rFont val="Arial"/>
            <family val="2"/>
            <charset val="1"/>
          </rPr>
          <t xml:space="preserve">Coefficient de Traînée de la fusée. Par défaut, le </t>
        </r>
        <r>
          <rPr>
            <b val="true"/>
            <sz val="8"/>
            <color rgb="FF000000"/>
            <rFont val="Tahoma"/>
            <family val="2"/>
            <charset val="1"/>
          </rPr>
          <t xml:space="preserve">Cx</t>
        </r>
        <r>
          <rPr>
            <sz val="8"/>
            <color rgb="FF000000"/>
            <rFont val="Tahoma"/>
            <family val="2"/>
            <charset val="1"/>
          </rPr>
          <t xml:space="preserve"> vaut 0.6. On peut ajouter ou retrancher 0.2 en fonction des aspérités de la fusée, du profilage des ailerons…
</t>
        </r>
        <r>
          <rPr>
            <i val="true"/>
            <sz val="8"/>
            <color rgb="FF000000"/>
            <rFont val="Tahoma"/>
            <family val="2"/>
            <charset val="1"/>
          </rPr>
          <t xml:space="preserve">Rocket Drag Coefficient is generally between 0.4 and 0.8, with a default value of 0.6.</t>
        </r>
      </text>
    </comment>
  </commentList>
</comments>
</file>

<file path=xl/comments7.xml><?xml version="1.0" encoding="utf-8"?>
<comments xmlns="http://schemas.openxmlformats.org/spreadsheetml/2006/main" xmlns:xdr="http://schemas.openxmlformats.org/drawingml/2006/spreadsheetDrawing">
  <authors>
    <author> </author>
  </authors>
  <commentList>
    <comment ref="E53" authorId="0">
      <text>
        <r>
          <rPr>
            <sz val="10"/>
            <rFont val="Arial"/>
            <family val="2"/>
            <charset val="1"/>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val="true"/>
            <sz val="8"/>
            <color rgb="FF000000"/>
            <rFont val="Tahoma"/>
            <family val="2"/>
            <charset val="1"/>
          </rPr>
          <t xml:space="preserve">Air density (ρ) at P=1013,25hPa &amp; T=15°C.</t>
        </r>
      </text>
    </comment>
  </commentList>
</comments>
</file>

<file path=xl/sharedStrings.xml><?xml version="1.0" encoding="utf-8"?>
<sst xmlns="http://schemas.openxmlformats.org/spreadsheetml/2006/main" count="1716" uniqueCount="560">
  <si>
    <t xml:space="preserve">STABILITO</t>
  </si>
  <si>
    <t xml:space="preserve">Français</t>
  </si>
  <si>
    <t xml:space="preserve">Plusieurs diamètres.</t>
  </si>
  <si>
    <t xml:space="preserve">Transition A</t>
  </si>
  <si>
    <t xml:space="preserve">Transition B</t>
  </si>
  <si>
    <t xml:space="preserve">Ma fusée</t>
  </si>
  <si>
    <t xml:space="preserve">Club</t>
  </si>
  <si>
    <t xml:space="preserve">Mon club</t>
  </si>
  <si>
    <t xml:space="preserve">Type</t>
  </si>
  <si>
    <t xml:space="preserve">Fusée expérimentale.</t>
  </si>
  <si>
    <t xml:space="preserve">sans propu</t>
  </si>
  <si>
    <t xml:space="preserve">-</t>
  </si>
  <si>
    <t xml:space="preserve">Barasinga (Pro54-5G C)</t>
  </si>
  <si>
    <t xml:space="preserve">XCp</t>
  </si>
  <si>
    <t xml:space="preserve">Cnα</t>
  </si>
  <si>
    <t xml:space="preserve">Parabolique (arrondie)</t>
  </si>
  <si>
    <t xml:space="preserve">M</t>
  </si>
  <si>
    <t xml:space="preserve">Bi-empennage</t>
  </si>
  <si>
    <t xml:space="preserve">Min</t>
  </si>
  <si>
    <t xml:space="preserve">Max</t>
  </si>
  <si>
    <t xml:space="preserve">Finesse</t>
  </si>
  <si>
    <t xml:space="preserve">MS /L</t>
  </si>
  <si>
    <t xml:space="preserve">Checksum :</t>
  </si>
  <si>
    <t xml:space="preserve">v3.4.2</t>
  </si>
  <si>
    <t xml:space="preserve">Trajecto</t>
  </si>
  <si>
    <t xml:space="preserve">English</t>
  </si>
  <si>
    <t xml:space="preserve">Rocketry Challenge</t>
  </si>
  <si>
    <t xml:space="preserve">,Minif Tests</t>
  </si>
  <si>
    <t xml:space="preserve">Mono-empennage</t>
  </si>
  <si>
    <t xml:space="preserve">X longi</t>
  </si>
  <si>
    <t xml:space="preserve">Y latéral</t>
  </si>
  <si>
    <t xml:space="preserve">- Y latéral</t>
  </si>
  <si>
    <t xml:space="preserve">Ogive</t>
  </si>
  <si>
    <t xml:space="preserve">chmt1 pt1</t>
  </si>
  <si>
    <t xml:space="preserve">chmt1 pt2</t>
  </si>
  <si>
    <t xml:space="preserve">chmt2 pt1</t>
  </si>
  <si>
    <t xml:space="preserve">chmt2 pt2</t>
  </si>
  <si>
    <t xml:space="preserve">culot</t>
  </si>
  <si>
    <t xml:space="preserve">aileron pt1</t>
  </si>
  <si>
    <t xml:space="preserve">aileron pt2</t>
  </si>
  <si>
    <t xml:space="preserve">aileron pt3</t>
  </si>
  <si>
    <t xml:space="preserve">aileron pt4</t>
  </si>
  <si>
    <t xml:space="preserve">env milieu</t>
  </si>
  <si>
    <t xml:space="preserve">env pt4</t>
  </si>
  <si>
    <t xml:space="preserve">empl milieu</t>
  </si>
  <si>
    <t xml:space="preserve">empl pt4</t>
  </si>
  <si>
    <t xml:space="preserve">flèche milieu</t>
  </si>
  <si>
    <t xml:space="preserve">flèche pt2</t>
  </si>
  <si>
    <t xml:space="preserve">saumon milieu</t>
  </si>
  <si>
    <t xml:space="preserve">saumon pt3</t>
  </si>
  <si>
    <t xml:space="preserve">Xcg plein</t>
  </si>
  <si>
    <t xml:space="preserve">Xcg vide</t>
  </si>
  <si>
    <t xml:space="preserve">Xcp</t>
  </si>
  <si>
    <t xml:space="preserve">Xcp0</t>
  </si>
  <si>
    <t xml:space="preserve">MS milieu</t>
  </si>
  <si>
    <t xml:space="preserve">MS Xcp</t>
  </si>
  <si>
    <t xml:space="preserve">canard pt1</t>
  </si>
  <si>
    <t xml:space="preserve">canard pt2</t>
  </si>
  <si>
    <t xml:space="preserve">canard pt3</t>
  </si>
  <si>
    <t xml:space="preserve">canard pt4</t>
  </si>
  <si>
    <t xml:space="preserve">masquage pt1</t>
  </si>
  <si>
    <t xml:space="preserve">masquage pt2</t>
  </si>
  <si>
    <t xml:space="preserve">masquage pt3</t>
  </si>
  <si>
    <t xml:space="preserve">masquage pt4</t>
  </si>
  <si>
    <t xml:space="preserve">cadre</t>
  </si>
  <si>
    <t xml:space="preserve">propu pt1</t>
  </si>
  <si>
    <t xml:space="preserve">propu pt2</t>
  </si>
  <si>
    <t xml:space="preserve">propu pt3</t>
  </si>
  <si>
    <t xml:space="preserve">propu pt4</t>
  </si>
  <si>
    <t xml:space="preserve">propu pt5</t>
  </si>
  <si>
    <t xml:space="preserve">conique</t>
  </si>
  <si>
    <t xml:space="preserve">ogive</t>
  </si>
  <si>
    <t xml:space="preserve">parabole</t>
  </si>
  <si>
    <t xml:space="preserve">Pointe</t>
  </si>
  <si>
    <t xml:space="preserve">MS (X)</t>
  </si>
  <si>
    <t xml:space="preserve">Cna (Y)</t>
  </si>
  <si>
    <t xml:space="preserve">Verification moteur</t>
  </si>
  <si>
    <t xml:space="preserve">H20</t>
  </si>
  <si>
    <t xml:space="preserve">Fusex</t>
  </si>
  <si>
    <t xml:space="preserve">micro</t>
  </si>
  <si>
    <t xml:space="preserve">minif N</t>
  </si>
  <si>
    <t xml:space="preserve">Minif RC</t>
  </si>
  <si>
    <t xml:space="preserve">Minif Test</t>
  </si>
  <si>
    <t xml:space="preserve">module 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</si>
  <si>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</si>
  <si>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</si>
  <si>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</si>
  <si>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</si>
  <si>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</si>
  <si>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</si>
  <si>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</si>
  <si>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</si>
  <si>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</si>
  <si>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</si>
  <si>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</si>
  <si>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</si>
  <si>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</si>
  <si>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</si>
  <si>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</si>
  <si>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</si>
  <si>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</si>
  <si>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</si>
  <si>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</si>
  <si>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</si>
  <si>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</si>
  <si>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</si>
  <si>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</si>
  <si>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</si>
  <si>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</si>
  <si>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</si>
  <si>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</si>
  <si>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</si>
  <si>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</si>
  <si>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</si>
  <si>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</si>
  <si>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//--------------------------------coiffe</t>
  </si>
  <si>
    <t xml:space="preserve">if (coiffe_type   == "conique"){</t>
  </si>
  <si>
    <t xml:space="preserve">	cylinder(coiffe_hauteur, 0, coiffe_diametre, false);</t>
  </si>
  <si>
    <t xml:space="preserve">//--------------------------------corps</t>
  </si>
  <si>
    <t xml:space="preserve">if (plusieur_diametres == false){</t>
  </si>
  <si>
    <t xml:space="preserve">	translate ([0, 0, coiffe_hauteur]) {</t>
  </si>
  <si>
    <t xml:space="preserve">		cylinder(longeur_total-coiffe_hauteur, coiffe_diametre, coiffe_diametre, false);</t>
  </si>
  <si>
    <t xml:space="preserve">} else {</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</si>
  <si>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</si>
  <si>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</si>
  <si>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</si>
  <si>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</si>
  <si>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</si>
  <si>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</si>
  <si>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</si>
  <si>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</si>
  <si>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</si>
  <si>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</si>
  <si>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</si>
  <si>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</si>
  <si>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</si>
  <si>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</si>
  <si>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</si>
  <si>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t>
  </si>
  <si>
    <t xml:space="preserve">//--------------------------------ailerons</t>
  </si>
  <si>
    <t xml:space="preserve">aileron(coiffe_diametre, aileron_m_emplature,</t>
  </si>
  <si>
    <t xml:space="preserve">	 aileron_n_saumon, </t>
  </si>
  <si>
    <t xml:space="preserve">	 aileron_p_fleche,</t>
  </si>
  <si>
    <t xml:space="preserve">	 aileron_e_envergure,</t>
  </si>
  <si>
    <t xml:space="preserve">	 aileron_epaisseur,</t>
  </si>
  <si>
    <t xml:space="preserve">	 aileron_nombre,</t>
  </si>
  <si>
    <t xml:space="preserve"> aileron_position_bas);</t>
  </si>
  <si>
    <t xml:space="preserve">if (bi_empennage == true){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</si>
  <si>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</si>
  <si>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</si>
  <si>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</si>
  <si>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</si>
  <si>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</si>
  <si>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aileron_sup_nombre,</t>
  </si>
  <si>
    <t xml:space="preserve">	 aileron_sup_position_bas,</t>
  </si>
  <si>
    <t xml:space="preserve">	 aileron_sup_masque);</t>
  </si>
  <si>
    <t xml:space="preserve">rocket();</t>
  </si>
  <si>
    <t xml:space="preserve">TRAJECTO</t>
  </si>
  <si>
    <t xml:space="preserve">Surface Réf.</t>
  </si>
  <si>
    <t xml:space="preserve">Cx</t>
  </si>
  <si>
    <t xml:space="preserve">Altitude</t>
  </si>
  <si>
    <t xml:space="preserve">Altitude z</t>
  </si>
  <si>
    <t xml:space="preserve">Accélération</t>
  </si>
  <si>
    <t xml:space="preserve">Efforts</t>
  </si>
  <si>
    <t xml:space="preserve">0 satellite</t>
  </si>
  <si>
    <t xml:space="preserve">N/A</t>
  </si>
  <si>
    <t xml:space="preserve">Culmination, Apogée</t>
  </si>
  <si>
    <t xml:space="preserve">Surface para</t>
  </si>
  <si>
    <t xml:space="preserve">Cx parachute</t>
  </si>
  <si>
    <t xml:space="preserve">~0 m</t>
  </si>
  <si>
    <t xml:space="preserve">Noir</t>
  </si>
  <si>
    <t xml:space="preserve">Rouge</t>
  </si>
  <si>
    <t xml:space="preserve">Jaune</t>
  </si>
  <si>
    <t xml:space="preserve">Angle</t>
  </si>
  <si>
    <t xml:space="preserve">s</t>
  </si>
  <si>
    <t xml:space="preserve">m</t>
  </si>
  <si>
    <t xml:space="preserve">m/s</t>
  </si>
  <si>
    <t xml:space="preserve">m/s²</t>
  </si>
  <si>
    <t xml:space="preserve">°</t>
  </si>
  <si>
    <t xml:space="preserve">~0</t>
  </si>
  <si>
    <t xml:space="preserve">Délais dépotage</t>
  </si>
  <si>
    <t xml:space="preserve">-9</t>
  </si>
  <si>
    <t xml:space="preserve">-7</t>
  </si>
  <si>
    <t xml:space="preserve">1 satellite</t>
  </si>
  <si>
    <t xml:space="preserve">-5</t>
  </si>
  <si>
    <t xml:space="preserve">-3</t>
  </si>
  <si>
    <t xml:space="preserve">-0</t>
  </si>
  <si>
    <t xml:space="preserve">T_para =</t>
  </si>
  <si>
    <t xml:space="preserve">xz max</t>
  </si>
  <si>
    <t xml:space="preserve">z para</t>
  </si>
  <si>
    <t xml:space="preserve">x para</t>
  </si>
  <si>
    <t xml:space="preserve">vertical</t>
  </si>
  <si>
    <t xml:space="preserve">t para</t>
  </si>
  <si>
    <t xml:space="preserve">horizontal</t>
  </si>
  <si>
    <t xml:space="preserve">flèches</t>
  </si>
  <si>
    <t xml:space="preserve">1s</t>
  </si>
  <si>
    <t xml:space="preserve">t/T</t>
  </si>
  <si>
    <t xml:space="preserve">z/Z</t>
  </si>
  <si>
    <t xml:space="preserve">z sat</t>
  </si>
  <si>
    <t xml:space="preserve">x sat</t>
  </si>
  <si>
    <t xml:space="preserve">t sat</t>
  </si>
  <si>
    <t xml:space="preserve">z</t>
  </si>
  <si>
    <t xml:space="preserve">x</t>
  </si>
  <si>
    <t xml:space="preserve">t</t>
  </si>
  <si>
    <t xml:space="preserve">x_triomphe</t>
  </si>
  <si>
    <t xml:space="preserve">Arc de triomphe</t>
  </si>
  <si>
    <t xml:space="preserve">z_triomphe</t>
  </si>
  <si>
    <t xml:space="preserve">x_Eiffel</t>
  </si>
  <si>
    <t xml:space="preserve">Tour Eiffel</t>
  </si>
  <si>
    <t xml:space="preserve">z_Eiffel</t>
  </si>
  <si>
    <t xml:space="preserve">Notes :</t>
  </si>
  <si>
    <t xml:space="preserve">Ligne</t>
  </si>
  <si>
    <t xml:space="preserve">I_total</t>
  </si>
  <si>
    <t xml:space="preserve">ISP</t>
  </si>
  <si>
    <t xml:space="preserve">MpropuPlein</t>
  </si>
  <si>
    <t xml:space="preserve">m_poudre</t>
  </si>
  <si>
    <t xml:space="preserve">MpropuVide</t>
  </si>
  <si>
    <t xml:space="preserve">XpropuPlein</t>
  </si>
  <si>
    <t xml:space="preserve">XpropuVide</t>
  </si>
  <si>
    <t xml:space="preserve">Longueur</t>
  </si>
  <si>
    <t xml:space="preserve">Diamètre</t>
  </si>
  <si>
    <t xml:space="preserve">Combustion</t>
  </si>
  <si>
    <t xml:space="preserve">Dépotage</t>
  </si>
  <si>
    <t xml:space="preserve">H2O</t>
  </si>
  <si>
    <t xml:space="preserve">H2O 1.5L 300g 6bar</t>
  </si>
  <si>
    <t xml:space="preserve">M_éjecté</t>
  </si>
  <si>
    <t xml:space="preserve">M_burnout</t>
  </si>
  <si>
    <t xml:space="preserve">Temps (en s)</t>
  </si>
  <si>
    <t xml:space="preserve">Poussée (en N)</t>
  </si>
  <si>
    <t xml:space="preserve">I_total_i (en N.s)</t>
  </si>
  <si>
    <t xml:space="preserve">H2O 1.5L 450g 6bar</t>
  </si>
  <si>
    <t xml:space="preserve">H2O 1.5L 600g 6bar</t>
  </si>
  <si>
    <t xml:space="preserve">H2O 1.5L 750g 6bar</t>
  </si>
  <si>
    <t xml:space="preserve">H2O 2.0L 400g 6bar</t>
  </si>
  <si>
    <t xml:space="preserve">H2O 2.0L 600g 6bar</t>
  </si>
  <si>
    <t xml:space="preserve">H2O 2.0L 800g 6bar</t>
  </si>
  <si>
    <t xml:space="preserve">H2O 2.0L 1000g 6bar</t>
  </si>
  <si>
    <t xml:space="preserve">µ-propu</t>
  </si>
  <si>
    <t xml:space="preserve">µ-propu A8-3</t>
  </si>
  <si>
    <t xml:space="preserve">Micro</t>
  </si>
  <si>
    <t xml:space="preserve">µ-propu B4-4</t>
  </si>
  <si>
    <t xml:space="preserve">µ-propu C6-3</t>
  </si>
  <si>
    <t xml:space="preserve">µ-propu C6-3 x2</t>
  </si>
  <si>
    <t xml:space="preserve">µ-propu C6-3 x3</t>
  </si>
  <si>
    <t xml:space="preserve">Klima D9-7</t>
  </si>
  <si>
    <t xml:space="preserve">MiniN</t>
  </si>
  <si>
    <t xml:space="preserve">Klima D9-7 x2</t>
  </si>
  <si>
    <t xml:space="preserve">Klima D9-7 x3</t>
  </si>
  <si>
    <t xml:space="preserve">MINIF PRO24-1G</t>
  </si>
  <si>
    <t xml:space="preserve">p24-1G 24E22</t>
  </si>
  <si>
    <t xml:space="preserve">MiniR</t>
  </si>
  <si>
    <t xml:space="preserve">p24-1G 25E75 (Rufina)</t>
  </si>
  <si>
    <t xml:space="preserve">MiniRN</t>
  </si>
  <si>
    <t xml:space="preserve">p24-1G 26E31</t>
  </si>
  <si>
    <t xml:space="preserve">MINIF PRO24-2G</t>
  </si>
  <si>
    <t xml:space="preserve">p24-2G 50E51</t>
  </si>
  <si>
    <t xml:space="preserve">Mini</t>
  </si>
  <si>
    <t xml:space="preserve">p24-1G 53E70</t>
  </si>
  <si>
    <t xml:space="preserve">MINIF PRO29-1G</t>
  </si>
  <si>
    <t xml:space="preserve">p29-1G 41F36</t>
  </si>
  <si>
    <t xml:space="preserve">p29-1G 51F36</t>
  </si>
  <si>
    <t xml:space="preserve">p29-1G 55F29</t>
  </si>
  <si>
    <t xml:space="preserve">p29-1G 56F31</t>
  </si>
  <si>
    <t xml:space="preserve">p29-1G 56F120</t>
  </si>
  <si>
    <t xml:space="preserve">p29-1G 57F59</t>
  </si>
  <si>
    <t xml:space="preserve">MINIF PRO24-3G</t>
  </si>
  <si>
    <t xml:space="preserve">p24-3G 60F50</t>
  </si>
  <si>
    <t xml:space="preserve">p24-3G 68F79</t>
  </si>
  <si>
    <t xml:space="preserve">p24-3G 68F240</t>
  </si>
  <si>
    <t xml:space="preserve">p24-3G 73F30</t>
  </si>
  <si>
    <t xml:space="preserve">p24-3G 74F85</t>
  </si>
  <si>
    <t xml:space="preserve">p24-3G 75F51</t>
  </si>
  <si>
    <t xml:space="preserve">MINIF PRO24-6G</t>
  </si>
  <si>
    <t xml:space="preserve">p24-6G 140G145 PK</t>
  </si>
  <si>
    <t xml:space="preserve"> 143G150 BS</t>
  </si>
  <si>
    <t xml:space="preserve">Pandora (Pro24-6G BS)</t>
  </si>
  <si>
    <t xml:space="preserve">p24-6G 142G117 WT</t>
  </si>
  <si>
    <t xml:space="preserve">p24-6G 139G107 DT</t>
  </si>
  <si>
    <t xml:space="preserve">MINIF PRO29-2G</t>
  </si>
  <si>
    <t xml:space="preserve">p29-2G 84G88</t>
  </si>
  <si>
    <t xml:space="preserve">p29-2G 93G80</t>
  </si>
  <si>
    <t xml:space="preserve">p29-2G 110G250</t>
  </si>
  <si>
    <t xml:space="preserve">p29-2G 116G126</t>
  </si>
  <si>
    <t xml:space="preserve">MINIF PRO29-3G</t>
  </si>
  <si>
    <t xml:space="preserve">p29-3G 125G131</t>
  </si>
  <si>
    <t xml:space="preserve">p29-3G 159G125</t>
  </si>
  <si>
    <t xml:space="preserve">MINIF PRO38-1G</t>
  </si>
  <si>
    <t xml:space="preserve">p38-1G 137G58</t>
  </si>
  <si>
    <t xml:space="preserve">p38-1G 128G185</t>
  </si>
  <si>
    <t xml:space="preserve">p38-1G 141G78</t>
  </si>
  <si>
    <t xml:space="preserve">Wapiti</t>
  </si>
  <si>
    <t xml:space="preserve">Cariacou</t>
  </si>
  <si>
    <t xml:space="preserve">FUSEX</t>
  </si>
  <si>
    <t xml:space="preserve">Isard</t>
  </si>
  <si>
    <t xml:space="preserve">Chamois</t>
  </si>
  <si>
    <t xml:space="preserve">Pro75-2G</t>
  </si>
  <si>
    <t xml:space="preserve">Orignal (Pro75-3G C)</t>
  </si>
  <si>
    <t xml:space="preserve">Pro98-2G WT</t>
  </si>
  <si>
    <t xml:space="preserve">Pro98-3G WT</t>
  </si>
  <si>
    <t xml:space="preserve">Blastocerus (Pro98-6GXL RL)</t>
  </si>
  <si>
    <t xml:space="preserve">Aucun (2e ét. inerte)</t>
  </si>
  <si>
    <t xml:space="preserve">Minif</t>
  </si>
  <si>
    <t xml:space="preserve">Dynamique de la fusée (repère sol)</t>
  </si>
  <si>
    <t xml:space="preserve">Forces</t>
  </si>
  <si>
    <t xml:space="preserve">Sous-échantillon 1Hz</t>
  </si>
  <si>
    <t xml:space="preserve">Accélération longitudinale</t>
  </si>
  <si>
    <t xml:space="preserve">pas</t>
  </si>
  <si>
    <t xml:space="preserve">acc_x</t>
  </si>
  <si>
    <t xml:space="preserve">acc_z</t>
  </si>
  <si>
    <t xml:space="preserve">acc_xz</t>
  </si>
  <si>
    <t xml:space="preserve">vit_x</t>
  </si>
  <si>
    <t xml:space="preserve">vit_z</t>
  </si>
  <si>
    <t xml:space="preserve">vit_xz</t>
  </si>
  <si>
    <t xml:space="preserve">pos_x</t>
  </si>
  <si>
    <t xml:space="preserve">pos_z</t>
  </si>
  <si>
    <t xml:space="preserve">pos_xz</t>
  </si>
  <si>
    <t xml:space="preserve">Beta</t>
  </si>
  <si>
    <t xml:space="preserve">BetaD</t>
  </si>
  <si>
    <t xml:space="preserve">i_P</t>
  </si>
  <si>
    <t xml:space="preserve">Poussée</t>
  </si>
  <si>
    <t xml:space="preserve">Débit</t>
  </si>
  <si>
    <t xml:space="preserve">Poids</t>
  </si>
  <si>
    <t xml:space="preserve">R_rampe</t>
  </si>
  <si>
    <t xml:space="preserve">Rho</t>
  </si>
  <si>
    <t xml:space="preserve">Trainée</t>
  </si>
  <si>
    <t xml:space="preserve">Événements</t>
  </si>
  <si>
    <t xml:space="preserve">Temps</t>
  </si>
  <si>
    <t xml:space="preserve">gravitationnelle</t>
  </si>
  <si>
    <t xml:space="preserve">non-gravit.</t>
  </si>
  <si>
    <t xml:space="preserve">rad</t>
  </si>
  <si>
    <t xml:space="preserve">N</t>
  </si>
  <si>
    <t xml:space="preserve">kg/s</t>
  </si>
  <si>
    <t xml:space="preserve">kg</t>
  </si>
  <si>
    <t xml:space="preserve">kg/m3</t>
  </si>
  <si>
    <t xml:space="preserve">Méthodes d'intégration explicites officielles</t>
  </si>
  <si>
    <t xml:space="preserve">Wikipedia</t>
  </si>
  <si>
    <t xml:space="preserve">Méthodes d'intégration maison</t>
  </si>
  <si>
    <t xml:space="preserve">Le Vol de la Fusée</t>
  </si>
  <si>
    <t xml:space="preserve">Explicit Euler (1st order, non-symplectic) [RK1]</t>
  </si>
  <si>
    <t xml:space="preserve">Spécificités de notre problème (2nd order mechanical ODE) :</t>
  </si>
  <si>
    <t xml:space="preserve">On peut anticiper la Poussée (force qui varie le +) et la masse.</t>
  </si>
  <si>
    <t xml:space="preserve">L'Acc dépend de la vitesse (et peu de la position).</t>
  </si>
  <si>
    <t xml:space="preserve">Les méthodes symplectic (conserve l'énergie) gardent-elles leur avantage quand la masse varie (ph propu) ?</t>
  </si>
  <si>
    <t xml:space="preserve">Semi-implicit Euler (1st order, symplectic) [§ "Euler modifié" dans Le Vol de La Fusée]</t>
  </si>
  <si>
    <t xml:space="preserve">Pour se limiter à 1000 lignes, pas variable (les transitions sont-elles rigoureuses ?).</t>
  </si>
  <si>
    <t xml:space="preserve">Sous Excel, on a les pas précédent (linear multistep possible), mais ordre élevé ou implicite sont à exclure.</t>
  </si>
  <si>
    <t xml:space="preserve">Midpoint, Modified Euler (2nd order, explicit) [§ "RK2" dans Le Vol de La Fusée]</t>
  </si>
  <si>
    <t xml:space="preserve">Trajec 2.x utililse un mélange douteux de différentes méthodes :</t>
  </si>
  <si>
    <t xml:space="preserve">Heun, Improved Euler (2-stage 2nd-order, explicit, predictor-corrector) [Trapezoidal] [RK2]</t>
  </si>
  <si>
    <t xml:space="preserve">Trajecto/StabTraj corrige l'erreur de Trajec sur Xn+1 en utilisant la vitesse moyenne :</t>
  </si>
  <si>
    <t xml:space="preserve">Newmark-beta (with γ=1/2 &amp; β=1/4) (2nd order)</t>
  </si>
  <si>
    <t xml:space="preserve">Idéalement, il serait préférable de tout calculer à n+0.5 (m, V, β, ρ).</t>
  </si>
  <si>
    <t xml:space="preserve">Velocity Verlet, Leapfrog variant (2nd order, symplectic, explicit)</t>
  </si>
  <si>
    <t xml:space="preserve">Beeman (2nd order, explicit variant)</t>
  </si>
  <si>
    <t xml:space="preserve">Verlet (2-stage 2nd order, symplectic, explicit)</t>
  </si>
  <si>
    <t xml:space="preserve">Multi{sub}step (RK), linear multi{previous}step (ADAMS), predictor-corrector, implicit …</t>
  </si>
  <si>
    <t xml:space="preserve">ABACO</t>
  </si>
  <si>
    <t xml:space="preserve">1/2.ρ.S.Cx</t>
  </si>
  <si>
    <t xml:space="preserve">Masse totale</t>
  </si>
  <si>
    <t xml:space="preserve">M ph prop</t>
  </si>
  <si>
    <t xml:space="preserve">M ph bal</t>
  </si>
  <si>
    <t xml:space="preserve">Traînée prop</t>
  </si>
  <si>
    <t xml:space="preserve">Traînée bal</t>
  </si>
  <si>
    <t xml:space="preserve">Alt prop</t>
  </si>
  <si>
    <t xml:space="preserve">V max</t>
  </si>
  <si>
    <t xml:space="preserve">alt_culmi</t>
  </si>
  <si>
    <t xml:space="preserve">t_culmi</t>
  </si>
  <si>
    <t xml:space="preserve">D_var</t>
  </si>
  <si>
    <t xml:space="preserve">Q_var</t>
  </si>
  <si>
    <t xml:space="preserve">m_var</t>
  </si>
  <si>
    <t xml:space="preserve">m_prop</t>
  </si>
  <si>
    <t xml:space="preserve">m_bal</t>
  </si>
  <si>
    <t xml:space="preserve">a_prop</t>
  </si>
  <si>
    <t xml:space="preserve">b_prop</t>
  </si>
  <si>
    <t xml:space="preserve">b_bal</t>
  </si>
  <si>
    <t xml:space="preserve">alt_prop</t>
  </si>
  <si>
    <t xml:space="preserve">V_prop</t>
  </si>
  <si>
    <t xml:space="preserve">StabTraj</t>
  </si>
  <si>
    <t xml:space="preserve">http://www.planete-sciences.org/espace/basedoc/</t>
  </si>
  <si>
    <t xml:space="preserve">Pour prendre en compte plsu de moteurs, il faut changer les variables "menu_type" et "liste"propu" dans le gestionnaire de noms.</t>
  </si>
  <si>
    <t xml:space="preserve">espace@planete-sciences.org</t>
  </si>
  <si>
    <t xml:space="preserve">http://creativecommons.org/licenses/by-sa/3.0/</t>
  </si>
  <si>
    <t xml:space="preserve">Microsoft Excel 2003 ou +</t>
  </si>
  <si>
    <t xml:space="preserve">LibreOffice Calc 3.4 ou +</t>
  </si>
  <si>
    <t xml:space="preserve">OpenOffice Calc</t>
  </si>
  <si>
    <t xml:space="preserve">Stabilito V1.x</t>
  </si>
  <si>
    <t xml:space="preserve">Léo Côme</t>
  </si>
  <si>
    <t xml:space="preserve">2002-2007</t>
  </si>
  <si>
    <t xml:space="preserve">Stabilito V2.0</t>
  </si>
  <si>
    <t xml:space="preserve">Stabilito V2.1</t>
  </si>
  <si>
    <t xml:space="preserve">Stabilito V2.2</t>
  </si>
  <si>
    <t xml:space="preserve">Trajecto V1.x</t>
  </si>
  <si>
    <t xml:space="preserve">Trajecto V2.x</t>
  </si>
  <si>
    <t xml:space="preserve">Trajecto V2.4</t>
  </si>
  <si>
    <t xml:space="preserve">Trajecto V2.5</t>
  </si>
  <si>
    <t xml:space="preserve">Moteurs Rocketry-Challenge, bug Surface_parachute, Satellite, bug Ooo</t>
  </si>
  <si>
    <t xml:space="preserve">StabTraj V3.0</t>
  </si>
  <si>
    <t xml:space="preserve">StabTraj V3.1</t>
  </si>
  <si>
    <t xml:space="preserve">Propu : +RC &amp; +Tintin 2013 : 3 p24-1G, p24-3G 75F51 &amp; 60F50, Pro98-2G &amp; 3G WT</t>
  </si>
  <si>
    <t xml:space="preserve">StabTraj V3.2</t>
  </si>
  <si>
    <t xml:space="preserve">Propu : +multi-µ-fu, -Wapiti, warning Cariacou, "Rufina"</t>
  </si>
  <si>
    <t xml:space="preserve">StabTraj V3.3a</t>
  </si>
  <si>
    <t xml:space="preserve">Sylvain Besson</t>
  </si>
  <si>
    <t xml:space="preserve">Propu : +ProX, Stabilito : séparation minif/RC, Trajecto : dépotage +rampe RC 3m</t>
  </si>
  <si>
    <t xml:space="preserve">StabTraj V3.3e</t>
  </si>
  <si>
    <t xml:space="preserve">Modification des alertes, +Effort subit par les parachutes</t>
  </si>
  <si>
    <t xml:space="preserve">StabTraj V3.4.1</t>
  </si>
  <si>
    <t xml:space="preserve">Propu : +Klima D9</t>
  </si>
  <si>
    <t xml:space="preserve">StabTraj V3.4.2</t>
  </si>
  <si>
    <t xml:space="preserve">Ajout propu</t>
  </si>
  <si>
    <t xml:space="preserve">Données au format des fiches de contrôles minif :</t>
  </si>
  <si>
    <t xml:space="preserve">l = </t>
  </si>
  <si>
    <t xml:space="preserve">Propulseur</t>
  </si>
  <si>
    <t xml:space="preserve">Masse sans prop. (kg)</t>
  </si>
  <si>
    <t xml:space="preserve">Couleur de la fusée</t>
  </si>
  <si>
    <t xml:space="preserve">Diamètre max (mm)</t>
  </si>
  <si>
    <t xml:space="preserve">Couleur du ralentisseur</t>
  </si>
  <si>
    <t xml:space="preserve">Surface ralentisseur (m²)</t>
  </si>
  <si>
    <t xml:space="preserve">Longeur de la rampe (m)</t>
  </si>
  <si>
    <t xml:space="preserve">Type d'éjection du para.</t>
  </si>
  <si>
    <t xml:space="preserve">Type d'ogive</t>
  </si>
  <si>
    <t xml:space="preserve">Masse sans propu (kg)</t>
  </si>
  <si>
    <t xml:space="preserve">VL4</t>
  </si>
  <si>
    <t xml:space="preserve">10 &lt; finesse &lt; 20</t>
  </si>
  <si>
    <t xml:space="preserve">15 &lt; Cn &lt; 30</t>
  </si>
  <si>
    <t xml:space="preserve">D = </t>
  </si>
  <si>
    <t xml:space="preserve">1,5.D &lt; Ms &lt; 6.D</t>
  </si>
  <si>
    <t xml:space="preserve">Longueur rampe</t>
  </si>
  <si>
    <t xml:space="preserve">30 &lt; Ms x Cn &lt; 100</t>
  </si>
  <si>
    <t xml:space="preserve">Epaisseur ailerons</t>
  </si>
  <si>
    <t xml:space="preserve">Vsortie de rampe (&gt; 18 m/s)</t>
  </si>
  <si>
    <t xml:space="preserve">Nombre ailerons</t>
  </si>
  <si>
    <t xml:space="preserve">RC1</t>
  </si>
  <si>
    <t xml:space="preserve">5 &lt; Vc &lt; 15 m/s</t>
  </si>
  <si>
    <t xml:space="preserve">RC2</t>
  </si>
  <si>
    <t xml:space="preserve">Temps de retard ralentisseur</t>
  </si>
  <si>
    <t xml:space="preserve">Dj =</t>
  </si>
  <si>
    <t xml:space="preserve">Haut du propu "Prop"</t>
  </si>
  <si>
    <t xml:space="preserve">Indication dépotage lanceur</t>
  </si>
  <si>
    <t xml:space="preserve">RC5</t>
  </si>
  <si>
    <t xml:space="preserve">Portée balistique &lt; 200 m</t>
  </si>
  <si>
    <t xml:space="preserve">(mm)</t>
  </si>
  <si>
    <t xml:space="preserve">Fusée</t>
  </si>
  <si>
    <t xml:space="preserve">Ailerons</t>
  </si>
  <si>
    <t xml:space="preserve">Bi empennage</t>
  </si>
  <si>
    <t xml:space="preserve">X cg (sans)</t>
  </si>
  <si>
    <t xml:space="preserve">L</t>
  </si>
  <si>
    <t xml:space="preserve">L tot</t>
  </si>
  <si>
    <t xml:space="preserve">n</t>
  </si>
  <si>
    <t xml:space="preserve">D 1</t>
  </si>
  <si>
    <t xml:space="preserve">X prop</t>
  </si>
  <si>
    <t xml:space="preserve">p</t>
  </si>
  <si>
    <t xml:space="preserve">D 2</t>
  </si>
  <si>
    <t xml:space="preserve">D</t>
  </si>
  <si>
    <t xml:space="preserve">E</t>
  </si>
  <si>
    <t xml:space="preserve">X</t>
  </si>
  <si>
    <t xml:space="preserve">L ogive</t>
  </si>
  <si>
    <t xml:space="preserve">X ail</t>
  </si>
  <si>
    <t xml:space="preserve">Inclinaison</t>
  </si>
  <si>
    <t xml:space="preserve">Portée balistique (m)</t>
  </si>
  <si>
    <t xml:space="preserve">Temps de vol avec parachute (s)</t>
  </si>
  <si>
    <t xml:space="preserve">Culmination</t>
  </si>
  <si>
    <t xml:space="preserve">Accélération max (m/s²)</t>
  </si>
  <si>
    <t xml:space="preserve">Vmax (m/s)</t>
  </si>
  <si>
    <t xml:space="preserve">n = </t>
  </si>
  <si>
    <t xml:space="preserve">ailrons haut </t>
  </si>
  <si>
    <t xml:space="preserve">Altitude (m)</t>
  </si>
  <si>
    <t xml:space="preserve">Temps (s)</t>
  </si>
  <si>
    <t xml:space="preserve">Vitesse (m/s)</t>
  </si>
  <si>
    <t xml:space="preserve">p = </t>
  </si>
  <si>
    <t xml:space="preserve">ep = </t>
  </si>
  <si>
    <t xml:space="preserve">m = </t>
  </si>
  <si>
    <t xml:space="preserve">nombre</t>
  </si>
  <si>
    <t xml:space="preserve">E = </t>
  </si>
  <si>
    <t xml:space="preserve">Donneés au format des fiches de contrôles Fusex :</t>
  </si>
  <si>
    <t xml:space="preserve">Diamètre "D"</t>
  </si>
  <si>
    <t xml:space="preserve">sans</t>
  </si>
  <si>
    <t xml:space="preserve">vide</t>
  </si>
  <si>
    <t xml:space="preserve">plein</t>
  </si>
  <si>
    <t xml:space="preserve">Longueur ogive "l"</t>
  </si>
  <si>
    <t xml:space="preserve">Masse</t>
  </si>
  <si>
    <t xml:space="preserve">Position ailerons "L"</t>
  </si>
  <si>
    <t xml:space="preserve">CdG</t>
  </si>
  <si>
    <t xml:space="preserve">STAB 1</t>
  </si>
  <si>
    <t xml:space="preserve">Vsortie de rampe (&gt; 20 m/s)</t>
  </si>
  <si>
    <t xml:space="preserve">STAB 2</t>
  </si>
  <si>
    <t xml:space="preserve">10 &lt; finesse &lt; 35</t>
  </si>
  <si>
    <t xml:space="preserve">STAB 3</t>
  </si>
  <si>
    <t xml:space="preserve">15 &lt; Portance &lt; 40</t>
  </si>
  <si>
    <t xml:space="preserve">STAB 4</t>
  </si>
  <si>
    <t xml:space="preserve">2*D &lt; Ms &lt; 6*D</t>
  </si>
  <si>
    <t xml:space="preserve">STAB 5</t>
  </si>
  <si>
    <t xml:space="preserve">40 &lt; Ms x Cn &lt; 100</t>
  </si>
  <si>
    <t xml:space="preserve">Longueur totale</t>
  </si>
  <si>
    <t xml:space="preserve">Maître couple (m²)</t>
  </si>
  <si>
    <t xml:space="preserve">Diamètre max</t>
  </si>
  <si>
    <t xml:space="preserve">Site</t>
  </si>
  <si>
    <t xml:space="preserve">Envergure totale</t>
  </si>
  <si>
    <t xml:space="preserve">Temps culmi (s)</t>
  </si>
  <si>
    <t xml:space="preserve">Altitude culmi (m)</t>
  </si>
  <si>
    <t xml:space="preserve">CR 1</t>
  </si>
  <si>
    <t xml:space="preserve">Vitesse culmi (m/s)</t>
  </si>
  <si>
    <t xml:space="preserve">Diamètre max (40à200)</t>
  </si>
  <si>
    <t xml:space="preserve">Envergure totale &lt;720</t>
  </si>
  <si>
    <t xml:space="preserve">Temps balistique (s)</t>
  </si>
  <si>
    <t xml:space="preserve">Masse &lt;15</t>
  </si>
  <si>
    <t xml:space="preserve">CR 2</t>
  </si>
  <si>
    <t xml:space="preserve">Pensez à modifier l'inclinaison pour avoir les 2 valeurs.</t>
  </si>
  <si>
    <t xml:space="preserve">MEC 3</t>
  </si>
  <si>
    <t xml:space="preserve">Compression 2.Acc.M</t>
  </si>
  <si>
    <t xml:space="preserve">Resist long aileron</t>
  </si>
  <si>
    <t xml:space="preserve">Masse aileron (kg)</t>
  </si>
  <si>
    <t xml:space="preserve">Resist transv aileron</t>
  </si>
  <si>
    <t xml:space="preserve">Surface aileron (m²)</t>
  </si>
  <si>
    <t xml:space="preserve">REC 8</t>
  </si>
  <si>
    <t xml:space="preserve">Compression porte</t>
  </si>
  <si>
    <t xml:space="preserve">Masse au-dessus porte</t>
  </si>
  <si>
    <t xml:space="preserve">SEQ 5</t>
  </si>
  <si>
    <t xml:space="preserve">T dépotage +/-2s /appogée</t>
  </si>
  <si>
    <t xml:space="preserve">REC 2</t>
  </si>
  <si>
    <t xml:space="preserve">Surface parachute m²</t>
  </si>
  <si>
    <t xml:space="preserve">Vitesse à l'ouverture m/s</t>
  </si>
  <si>
    <t xml:space="preserve">Choc à l'ouverture   N </t>
  </si>
  <si>
    <t xml:space="preserve">Choc à l'ouverture   kg</t>
  </si>
  <si>
    <t xml:space="preserve">Donneés au format des fiches de lancement Fusex :</t>
  </si>
  <si>
    <t xml:space="preserve">MECANIQUE</t>
  </si>
  <si>
    <t xml:space="preserve">Projet</t>
  </si>
  <si>
    <t xml:space="preserve">Chef de projet</t>
  </si>
  <si>
    <t xml:space="preserve">Date</t>
  </si>
  <si>
    <t xml:space="preserve">Moteur</t>
  </si>
  <si>
    <t xml:space="preserve">Virole</t>
  </si>
  <si>
    <t xml:space="preserve">Dr = </t>
  </si>
  <si>
    <t xml:space="preserve">Nb Aileron</t>
  </si>
  <si>
    <t xml:space="preserve">X_plaque de poussée</t>
  </si>
  <si>
    <t xml:space="preserve">Type ogive</t>
  </si>
  <si>
    <t xml:space="preserve">ogivale</t>
  </si>
  <si>
    <t xml:space="preserve">parabolique</t>
  </si>
  <si>
    <t xml:space="preserve">Epaisseur :</t>
  </si>
  <si>
    <t xml:space="preserve">Sans propu</t>
  </si>
  <si>
    <t xml:space="preserve">Propu plein</t>
  </si>
  <si>
    <t xml:space="preserve">Masse fusée</t>
  </si>
  <si>
    <t xml:space="preserve">X_CdG</t>
  </si>
  <si>
    <t xml:space="preserve">Masse avec propu vide</t>
  </si>
  <si>
    <t xml:space="preserve">Simulation de vol</t>
  </si>
  <si>
    <t xml:space="preserve">Tenue mécanique</t>
  </si>
  <si>
    <t xml:space="preserve">masse d'un aileron</t>
  </si>
  <si>
    <t xml:space="preserve">superficie d'un aileron</t>
  </si>
  <si>
    <t xml:space="preserve">fleche acceptable(mm)</t>
  </si>
  <si>
    <t xml:space="preserve">compression</t>
  </si>
  <si>
    <t xml:space="preserve">Resistance longitudinale d'un aileron</t>
  </si>
  <si>
    <t xml:space="preserve">Resistance transversale d'un aileron</t>
  </si>
  <si>
    <t xml:space="preserve">Récupération</t>
  </si>
  <si>
    <t xml:space="preserve">Ralentisseur</t>
  </si>
  <si>
    <t xml:space="preserve">nombre de suspentes</t>
  </si>
  <si>
    <t xml:space="preserve">surface parachute</t>
  </si>
  <si>
    <t xml:space="preserve">force à tester totale</t>
  </si>
  <si>
    <t xml:space="preserve">force sur suspente</t>
  </si>
  <si>
    <t xml:space="preserve">Séparation latérale</t>
  </si>
  <si>
    <t xml:space="preserve">masse au dessus case para</t>
  </si>
  <si>
    <t xml:space="preserve">Force de compression</t>
  </si>
</sst>
</file>

<file path=xl/styles.xml><?xml version="1.0" encoding="utf-8"?>
<styleSheet xmlns="http://schemas.openxmlformats.org/spreadsheetml/2006/main">
  <numFmts count="50">
    <numFmt numFmtId="164" formatCode="General"/>
    <numFmt numFmtId="165" formatCode="General"/>
    <numFmt numFmtId="166" formatCode="General&quot; mm&quot;"/>
    <numFmt numFmtId="167" formatCode="General&quot; g&quot;"/>
    <numFmt numFmtId="168" formatCode="General&quot; kg&quot;"/>
    <numFmt numFmtId="169" formatCode="0&quot; mm&quot;"/>
    <numFmt numFmtId="170" formatCode="0.0"/>
    <numFmt numFmtId="171" formatCode="hh:mm"/>
    <numFmt numFmtId="172" formatCode="dd/mm/yyyy"/>
    <numFmt numFmtId="173" formatCode="0"/>
    <numFmt numFmtId="174" formatCode="General&quot; D&quot;"/>
    <numFmt numFmtId="175" formatCode="0.00&quot; D&quot;"/>
    <numFmt numFmtId="176" formatCode="0&quot;% L&quot;"/>
    <numFmt numFmtId="177" formatCode="0&quot; G&quot;"/>
    <numFmt numFmtId="178" formatCode="0&quot; m&quot;"/>
    <numFmt numFmtId="179" formatCode="0.00"/>
    <numFmt numFmtId="180" formatCode="General&quot; kg&quot;"/>
    <numFmt numFmtId="181" formatCode="0.000000&quot; m²&quot;"/>
    <numFmt numFmtId="182" formatCode="General&quot; m&quot;"/>
    <numFmt numFmtId="183" formatCode="General&quot; °&quot;"/>
    <numFmt numFmtId="184" formatCode="0.0&quot; m/s&quot;"/>
    <numFmt numFmtId="185" formatCode="0&quot; m/s&quot;"/>
    <numFmt numFmtId="186" formatCode="0&quot; m/s²&quot;"/>
    <numFmt numFmtId="187" formatCode="0.0&quot; s&quot;"/>
    <numFmt numFmtId="188" formatCode="0.0&quot; N&quot;"/>
    <numFmt numFmtId="189" formatCode="General&quot; s&quot;"/>
    <numFmt numFmtId="190" formatCode="0.00&quot; m²&quot;"/>
    <numFmt numFmtId="191" formatCode="General&quot; m²&quot;"/>
    <numFmt numFmtId="192" formatCode="0&quot; J&quot;"/>
    <numFmt numFmtId="193" formatCode="General&quot; m/s&quot;"/>
    <numFmt numFmtId="194" formatCode="0&quot; s&quot;"/>
    <numFmt numFmtId="195" formatCode="&quot;± &quot;0&quot; m&quot;"/>
    <numFmt numFmtId="196" formatCode="0.0&quot; N.s&quot;"/>
    <numFmt numFmtId="197" formatCode="0.#"/>
    <numFmt numFmtId="198" formatCode="0.00&quot; s&quot;"/>
    <numFmt numFmtId="199" formatCode="0.0&quot; mm&quot;"/>
    <numFmt numFmtId="200" formatCode="0.000"/>
    <numFmt numFmtId="201" formatCode="General&quot; kg ±100%&quot;"/>
    <numFmt numFmtId="202" formatCode="0&quot; mm ±50%&quot;"/>
    <numFmt numFmtId="203" formatCode="&quot;Ø = &quot;0&quot; mm&quot;"/>
    <numFmt numFmtId="204" formatCode="General&quot; m/s²&quot;"/>
    <numFmt numFmtId="205" formatCode="General\°"/>
    <numFmt numFmtId="206" formatCode="#,##0.000\ [$KG]"/>
    <numFmt numFmtId="207" formatCode="#,##0\ [$ mm²]"/>
    <numFmt numFmtId="208" formatCode="#,#00\ [$ mm]"/>
    <numFmt numFmtId="209" formatCode="#,##0\ [$mm]"/>
    <numFmt numFmtId="210" formatCode="#,##0.0\ [$ N]"/>
    <numFmt numFmtId="211" formatCode="#,##0"/>
    <numFmt numFmtId="212" formatCode="#,##0.00000\ [$ m²]"/>
    <numFmt numFmtId="213" formatCode="#,##0.0\ [$ kg]"/>
  </numFmts>
  <fonts count="56">
    <font>
      <sz val="10"/>
      <name val="Arial"/>
      <family val="2"/>
      <charset val="1"/>
    </font>
    <font>
      <sz val="10"/>
      <name val="Arial"/>
      <family val="0"/>
    </font>
    <font>
      <sz val="10"/>
      <name val="Arial"/>
      <family val="0"/>
    </font>
    <font>
      <sz val="10"/>
      <name val="Arial"/>
      <family val="0"/>
    </font>
    <font>
      <b val="true"/>
      <sz val="10"/>
      <name val="Arial"/>
      <family val="2"/>
      <charset val="1"/>
    </font>
    <font>
      <sz val="8"/>
      <name val="Arial"/>
      <family val="2"/>
      <charset val="1"/>
    </font>
    <font>
      <b val="true"/>
      <sz val="20"/>
      <color rgb="FFFFFFFF"/>
      <name val="Arial"/>
      <family val="2"/>
      <charset val="1"/>
    </font>
    <font>
      <b val="true"/>
      <sz val="12"/>
      <name val="Times New Roman"/>
      <family val="1"/>
      <charset val="1"/>
    </font>
    <font>
      <b val="true"/>
      <sz val="10"/>
      <color rgb="FFFF0000"/>
      <name val="Arial"/>
      <family val="2"/>
      <charset val="1"/>
    </font>
    <font>
      <b val="true"/>
      <sz val="12"/>
      <name val="Arial"/>
      <family val="2"/>
      <charset val="1"/>
    </font>
    <font>
      <sz val="10"/>
      <color rgb="FF808080"/>
      <name val="Arial"/>
      <family val="2"/>
      <charset val="1"/>
    </font>
    <font>
      <sz val="8"/>
      <color rgb="FF808080"/>
      <name val="Arial"/>
      <family val="2"/>
      <charset val="1"/>
    </font>
    <font>
      <b val="true"/>
      <sz val="10"/>
      <color rgb="FF808080"/>
      <name val="Arial"/>
      <family val="2"/>
      <charset val="1"/>
    </font>
    <font>
      <sz val="10"/>
      <color rgb="FF0000FF"/>
      <name val="Arial"/>
      <family val="2"/>
      <charset val="1"/>
    </font>
    <font>
      <b val="true"/>
      <sz val="8"/>
      <name val="Arial"/>
      <family val="2"/>
      <charset val="1"/>
    </font>
    <font>
      <b val="true"/>
      <sz val="14"/>
      <color rgb="FFFF0000"/>
      <name val="Arial"/>
      <family val="2"/>
      <charset val="1"/>
    </font>
    <font>
      <sz val="8"/>
      <color rgb="FFFFFFFF"/>
      <name val="Arial"/>
      <family val="2"/>
      <charset val="1"/>
    </font>
    <font>
      <u val="single"/>
      <sz val="10"/>
      <color rgb="FF0000FF"/>
      <name val="Arial"/>
      <family val="2"/>
      <charset val="1"/>
    </font>
    <font>
      <b val="true"/>
      <sz val="8"/>
      <color rgb="FF000000"/>
      <name val="Tahoma"/>
      <family val="2"/>
      <charset val="1"/>
    </font>
    <font>
      <sz val="8"/>
      <color rgb="FF000000"/>
      <name val="Tahoma"/>
      <family val="2"/>
      <charset val="1"/>
    </font>
    <font>
      <i val="true"/>
      <sz val="8"/>
      <color rgb="FF000000"/>
      <name val="Tahoma"/>
      <family val="2"/>
      <charset val="1"/>
    </font>
    <font>
      <b val="true"/>
      <i val="true"/>
      <sz val="8"/>
      <color rgb="FF000000"/>
      <name val="Tahoma"/>
      <family val="2"/>
      <charset val="1"/>
    </font>
    <font>
      <b val="true"/>
      <u val="single"/>
      <sz val="8"/>
      <color rgb="FF000000"/>
      <name val="Tahoma"/>
      <family val="2"/>
      <charset val="1"/>
    </font>
    <font>
      <sz val="8"/>
      <color rgb="FFFF0000"/>
      <name val="Tahoma"/>
      <family val="2"/>
      <charset val="1"/>
    </font>
    <font>
      <i val="true"/>
      <sz val="8"/>
      <color rgb="FFFF0000"/>
      <name val="Tahoma"/>
      <family val="2"/>
      <charset val="1"/>
    </font>
    <font>
      <b val="true"/>
      <sz val="8"/>
      <color rgb="FF800000"/>
      <name val="Tahoma"/>
      <family val="2"/>
      <charset val="1"/>
    </font>
    <font>
      <i val="true"/>
      <sz val="8"/>
      <color rgb="FF800000"/>
      <name val="Tahoma"/>
      <family val="2"/>
      <charset val="1"/>
    </font>
    <font>
      <sz val="8"/>
      <color rgb="FF0000FF"/>
      <name val="Tahoma"/>
      <family val="2"/>
      <charset val="1"/>
    </font>
    <font>
      <i val="true"/>
      <sz val="8"/>
      <color rgb="FF0000FF"/>
      <name val="Tahoma"/>
      <family val="2"/>
      <charset val="1"/>
    </font>
    <font>
      <sz val="5"/>
      <color rgb="FF000000"/>
      <name val="Arial"/>
      <family val="2"/>
    </font>
    <font>
      <sz val="10"/>
      <color rgb="FF000000"/>
      <name val="Calibri"/>
      <family val="2"/>
    </font>
    <font>
      <sz val="6"/>
      <color rgb="FF000000"/>
      <name val="Arial"/>
      <family val="2"/>
    </font>
    <font>
      <b val="true"/>
      <sz val="9"/>
      <name val="Arial"/>
      <family val="2"/>
      <charset val="1"/>
    </font>
    <font>
      <b val="true"/>
      <sz val="10"/>
      <color rgb="FF008000"/>
      <name val="Arial"/>
      <family val="2"/>
      <charset val="1"/>
    </font>
    <font>
      <b val="true"/>
      <sz val="10"/>
      <color rgb="FF000080"/>
      <name val="Arial"/>
      <family val="2"/>
      <charset val="1"/>
    </font>
    <font>
      <b val="true"/>
      <sz val="10"/>
      <color rgb="FFFF6600"/>
      <name val="Arial"/>
      <family val="2"/>
      <charset val="1"/>
    </font>
    <font>
      <b val="true"/>
      <sz val="10"/>
      <color rgb="FF003300"/>
      <name val="Arial"/>
      <family val="2"/>
      <charset val="1"/>
    </font>
    <font>
      <sz val="10"/>
      <color rgb="FFFF0000"/>
      <name val="Arial"/>
      <family val="2"/>
      <charset val="1"/>
    </font>
    <font>
      <b val="true"/>
      <sz val="8"/>
      <color rgb="FF0000FF"/>
      <name val="Arial"/>
      <family val="2"/>
    </font>
    <font>
      <b val="true"/>
      <sz val="12"/>
      <color rgb="FF000000"/>
      <name val="Arial"/>
      <family val="2"/>
    </font>
    <font>
      <sz val="12"/>
      <color rgb="FF000000"/>
      <name val="Arial"/>
      <family val="2"/>
    </font>
    <font>
      <b val="true"/>
      <sz val="10"/>
      <color rgb="FF000000"/>
      <name val="Arial"/>
      <family val="2"/>
    </font>
    <font>
      <sz val="9.7"/>
      <color rgb="FF000000"/>
      <name val="Arial"/>
      <family val="2"/>
    </font>
    <font>
      <sz val="11.75"/>
      <color rgb="FF000000"/>
      <name val="Arial"/>
      <family val="2"/>
    </font>
    <font>
      <sz val="10"/>
      <color rgb="FF000000"/>
      <name val="Arial"/>
      <family val="2"/>
    </font>
    <font>
      <b val="true"/>
      <sz val="11.75"/>
      <color rgb="FF000000"/>
      <name val="Arial"/>
      <family val="2"/>
    </font>
    <font>
      <sz val="10"/>
      <color rgb="FFFFFFFF"/>
      <name val="Arial"/>
      <family val="2"/>
      <charset val="1"/>
    </font>
    <font>
      <u val="single"/>
      <sz val="10"/>
      <name val="Arial"/>
      <family val="2"/>
      <charset val="1"/>
    </font>
    <font>
      <b val="true"/>
      <sz val="18"/>
      <color rgb="FF000000"/>
      <name val="Calibri"/>
      <family val="2"/>
    </font>
    <font>
      <b val="true"/>
      <sz val="10"/>
      <color rgb="FF000000"/>
      <name val="Calibri"/>
      <family val="2"/>
    </font>
    <font>
      <sz val="9.2"/>
      <color rgb="FF000000"/>
      <name val="Calibri"/>
      <family val="2"/>
    </font>
    <font>
      <b val="true"/>
      <u val="single"/>
      <sz val="10"/>
      <name val="Arial"/>
      <family val="2"/>
      <charset val="1"/>
    </font>
    <font>
      <strike val="true"/>
      <sz val="10"/>
      <name val="Arial"/>
      <family val="2"/>
      <charset val="1"/>
    </font>
    <font>
      <b val="true"/>
      <sz val="6"/>
      <name val="Arial"/>
      <family val="2"/>
      <charset val="1"/>
    </font>
    <font>
      <b val="true"/>
      <u val="single"/>
      <sz val="12"/>
      <name val="Arial"/>
      <family val="2"/>
      <charset val="1"/>
    </font>
    <font>
      <b val="true"/>
      <i val="true"/>
      <sz val="10"/>
      <name val="Arial"/>
      <family val="2"/>
      <charset val="1"/>
    </font>
  </fonts>
  <fills count="10">
    <fill>
      <patternFill patternType="none"/>
    </fill>
    <fill>
      <patternFill patternType="gray125"/>
    </fill>
    <fill>
      <patternFill patternType="solid">
        <fgColor rgb="FF000000"/>
        <bgColor rgb="FF003300"/>
      </patternFill>
    </fill>
    <fill>
      <patternFill patternType="solid">
        <fgColor rgb="FFFFCC99"/>
        <bgColor rgb="FFD9D9D9"/>
      </patternFill>
    </fill>
    <fill>
      <patternFill patternType="solid">
        <fgColor rgb="FFFFFF99"/>
        <bgColor rgb="FFFFFFCC"/>
      </patternFill>
    </fill>
    <fill>
      <patternFill patternType="solid">
        <fgColor rgb="FF99CCFF"/>
        <bgColor rgb="FFC0C0C0"/>
      </patternFill>
    </fill>
    <fill>
      <patternFill patternType="solid">
        <fgColor rgb="FFCCFFFF"/>
        <bgColor rgb="FFCCFFCC"/>
      </patternFill>
    </fill>
    <fill>
      <patternFill patternType="solid">
        <fgColor rgb="FFCCFFCC"/>
        <bgColor rgb="FFCCFFFF"/>
      </patternFill>
    </fill>
    <fill>
      <patternFill patternType="solid">
        <fgColor rgb="FFFFFFFF"/>
        <bgColor rgb="FFFFFFCC"/>
      </patternFill>
    </fill>
    <fill>
      <patternFill patternType="solid">
        <fgColor rgb="FFE6E6E6"/>
        <bgColor rgb="FFD9D9D9"/>
      </patternFill>
    </fill>
  </fills>
  <borders count="57">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style="thin"/>
      <right style="thin"/>
      <top style="thin"/>
      <bottom style="thin"/>
      <diagonal/>
    </border>
    <border diagonalUp="false" diagonalDown="false">
      <left style="thin"/>
      <right style="double"/>
      <top style="thin"/>
      <bottom style="thin"/>
      <diagonal/>
    </border>
    <border diagonalUp="false" diagonalDown="false">
      <left/>
      <right style="medium"/>
      <top/>
      <bottom/>
      <diagonal/>
    </border>
    <border diagonalUp="false" diagonalDown="false">
      <left style="thick">
        <color rgb="FF000080"/>
      </left>
      <right style="thick">
        <color rgb="FF000080"/>
      </right>
      <top style="thick">
        <color rgb="FF000080"/>
      </top>
      <bottom style="thick">
        <color rgb="FF000080"/>
      </bottom>
      <diagonal/>
    </border>
    <border diagonalUp="false" diagonalDown="false">
      <left style="thin"/>
      <right style="thin"/>
      <top/>
      <bottom style="thin"/>
      <diagonal/>
    </border>
    <border diagonalUp="false" diagonalDown="false">
      <left style="thick">
        <color rgb="FFFF00FF"/>
      </left>
      <right style="thick">
        <color rgb="FFFF00FF"/>
      </right>
      <top style="thick">
        <color rgb="FFFF00FF"/>
      </top>
      <bottom style="thick">
        <color rgb="FFFF00FF"/>
      </bottom>
      <diagonal/>
    </border>
    <border diagonalUp="false" diagonalDown="false">
      <left style="thin"/>
      <right style="double"/>
      <top/>
      <bottom style="thin"/>
      <diagonal/>
    </border>
    <border diagonalUp="false" diagonalDown="false">
      <left/>
      <right/>
      <top style="thin"/>
      <bottom style="thick">
        <color rgb="FF800080"/>
      </bottom>
      <diagonal/>
    </border>
    <border diagonalUp="false" diagonalDown="false">
      <left style="thick">
        <color rgb="FF800080"/>
      </left>
      <right style="thick">
        <color rgb="FF800080"/>
      </right>
      <top style="thick">
        <color rgb="FF800080"/>
      </top>
      <bottom style="thick">
        <color rgb="FF800080"/>
      </bottom>
      <diagonal/>
    </border>
    <border diagonalUp="false" diagonalDown="false">
      <left style="thick">
        <color rgb="FF00FF00"/>
      </left>
      <right style="thick">
        <color rgb="FF00FF00"/>
      </right>
      <top style="thick">
        <color rgb="FF00FF00"/>
      </top>
      <bottom style="thick">
        <color rgb="FF00FF00"/>
      </bottom>
      <diagonal/>
    </border>
    <border diagonalUp="false" diagonalDown="false">
      <left style="thick">
        <color rgb="FF00FF00"/>
      </left>
      <right style="thick">
        <color rgb="FF339966"/>
      </right>
      <top style="thick">
        <color rgb="FF339966"/>
      </top>
      <bottom style="thick">
        <color rgb="FF339966"/>
      </bottom>
      <diagonal/>
    </border>
    <border diagonalUp="false" diagonalDown="false">
      <left style="thick">
        <color rgb="FF339966"/>
      </left>
      <right style="mediumDashed">
        <color rgb="FFFF0000"/>
      </right>
      <top style="mediumDashed">
        <color rgb="FFFF0000"/>
      </top>
      <bottom style="mediumDashed">
        <color rgb="FFFF0000"/>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color rgb="FF808080"/>
      </bottom>
      <diagonal/>
    </border>
    <border diagonalUp="false" diagonalDown="false">
      <left style="thin"/>
      <right style="thin"/>
      <top style="thin">
        <color rgb="FF808080"/>
      </top>
      <bottom style="thin"/>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style="medium"/>
      <bottom style="thin"/>
      <diagonal/>
    </border>
    <border diagonalUp="false" diagonalDown="false">
      <left style="medium"/>
      <right style="medium"/>
      <top/>
      <bottom style="thin"/>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medium"/>
      <top style="thin"/>
      <bottom/>
      <diagonal/>
    </border>
    <border diagonalUp="false" diagonalDown="false">
      <left style="medium"/>
      <right/>
      <top style="thin"/>
      <bottom/>
      <diagonal/>
    </border>
    <border diagonalUp="false" diagonalDown="false">
      <left/>
      <right style="medium"/>
      <top style="thin"/>
      <bottom/>
      <diagonal/>
    </border>
    <border diagonalUp="false" diagonalDown="false">
      <left style="hair"/>
      <right style="hair"/>
      <top style="hair"/>
      <bottom/>
      <diagonal/>
    </border>
    <border diagonalUp="false" diagonalDown="false">
      <left style="hair"/>
      <right style="hair"/>
      <top style="hair"/>
      <bottom style="hair"/>
      <diagonal/>
    </border>
    <border diagonalUp="false" diagonalDown="false">
      <left/>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6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true" applyProtection="false">
      <alignment horizontal="center" vertical="bottom" textRotation="0" wrapText="fals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0" fillId="0" borderId="0" xfId="21" applyFont="true" applyBorder="false" applyAlignment="false" applyProtection="true">
      <alignment horizontal="general" vertical="bottom" textRotation="0" wrapText="false" indent="0" shrinkToFit="false"/>
      <protection locked="true" hidden="true"/>
    </xf>
    <xf numFmtId="164" fontId="4" fillId="0" borderId="1" xfId="21" applyFont="true" applyBorder="true" applyAlignment="false" applyProtection="false">
      <alignment horizontal="general" vertical="bottom" textRotation="0" wrapText="false" indent="0" shrinkToFit="false"/>
      <protection locked="true" hidden="false"/>
    </xf>
    <xf numFmtId="164" fontId="4" fillId="0" borderId="2" xfId="21" applyFont="true" applyBorder="true" applyAlignment="false" applyProtection="false">
      <alignment horizontal="general" vertical="bottom" textRotation="0" wrapText="false" indent="0" shrinkToFit="false"/>
      <protection locked="true" hidden="false"/>
    </xf>
    <xf numFmtId="164" fontId="4" fillId="0" borderId="2" xfId="21" applyFont="true" applyBorder="true" applyAlignment="true" applyProtection="false">
      <alignment horizontal="center" vertical="bottom" textRotation="0" wrapText="false" indent="0" shrinkToFit="false"/>
      <protection locked="true" hidden="false"/>
    </xf>
    <xf numFmtId="164" fontId="5" fillId="0" borderId="2" xfId="21" applyFont="true" applyBorder="true" applyAlignment="false" applyProtection="false">
      <alignment horizontal="general" vertical="bottom" textRotation="0" wrapText="false" indent="0" shrinkToFit="false"/>
      <protection locked="true" hidden="false"/>
    </xf>
    <xf numFmtId="164" fontId="0" fillId="0" borderId="2" xfId="21" applyFont="true" applyBorder="true" applyAlignment="false" applyProtection="true">
      <alignment horizontal="general" vertical="bottom" textRotation="0" wrapText="false" indent="0" shrinkToFit="false"/>
      <protection locked="true" hidden="true"/>
    </xf>
    <xf numFmtId="164" fontId="0" fillId="0" borderId="3" xfId="21" applyFont="true" applyBorder="true" applyAlignment="false" applyProtection="false">
      <alignment horizontal="general" vertical="bottom" textRotation="0" wrapText="false" indent="0" shrinkToFit="false"/>
      <protection locked="true" hidden="false"/>
    </xf>
    <xf numFmtId="164" fontId="4" fillId="0" borderId="0" xfId="21" applyFont="true" applyBorder="true" applyAlignment="false" applyProtection="false">
      <alignment horizontal="general" vertical="bottom" textRotation="0" wrapText="false" indent="0" shrinkToFit="false"/>
      <protection locked="true" hidden="false"/>
    </xf>
    <xf numFmtId="164" fontId="4" fillId="0" borderId="4" xfId="21" applyFont="true" applyBorder="true" applyAlignment="false" applyProtection="false">
      <alignment horizontal="general" vertical="bottom" textRotation="0" wrapText="false" indent="0" shrinkToFit="false"/>
      <protection locked="true" hidden="false"/>
    </xf>
    <xf numFmtId="164" fontId="6" fillId="2" borderId="0" xfId="21" applyFont="true" applyBorder="true" applyAlignment="true" applyProtection="false">
      <alignment horizontal="center" vertical="bottom" textRotation="0" wrapText="false" indent="0" shrinkToFit="false"/>
      <protection locked="true" hidden="false"/>
    </xf>
    <xf numFmtId="164" fontId="5" fillId="0" borderId="0" xfId="21" applyFont="true" applyBorder="true" applyAlignment="false" applyProtection="false">
      <alignment horizontal="general" vertical="bottom" textRotation="0" wrapText="false" indent="0" shrinkToFit="false"/>
      <protection locked="true" hidden="false"/>
    </xf>
    <xf numFmtId="164" fontId="0" fillId="0" borderId="0" xfId="21" applyFont="true" applyBorder="true" applyAlignment="false" applyProtection="true">
      <alignment horizontal="general" vertical="bottom" textRotation="0" wrapText="false" indent="0" shrinkToFit="false"/>
      <protection locked="true" hidden="true"/>
    </xf>
    <xf numFmtId="165" fontId="4" fillId="3" borderId="5" xfId="21" applyFont="true" applyBorder="true" applyAlignment="true" applyProtection="false">
      <alignment horizontal="center" vertical="bottom" textRotation="0" wrapText="false" indent="0" shrinkToFit="false"/>
      <protection locked="true" hidden="false"/>
    </xf>
    <xf numFmtId="164" fontId="4" fillId="4" borderId="6" xfId="21" applyFont="true" applyBorder="true" applyAlignment="true" applyProtection="true">
      <alignment horizontal="center" vertical="bottom" textRotation="0" wrapText="false" indent="0" shrinkToFit="false"/>
      <protection locked="false" hidden="false"/>
    </xf>
    <xf numFmtId="164" fontId="0" fillId="0" borderId="7" xfId="21" applyFont="true" applyBorder="true" applyAlignment="false" applyProtection="false">
      <alignment horizontal="general" vertical="bottom" textRotation="0" wrapText="false" indent="0" shrinkToFit="false"/>
      <protection locked="true" hidden="false"/>
    </xf>
    <xf numFmtId="164" fontId="0" fillId="0" borderId="0" xfId="21" applyFont="true" applyBorder="true" applyAlignment="true" applyProtection="true">
      <alignment horizontal="center" vertical="bottom" textRotation="0" wrapText="false" indent="0" shrinkToFit="false"/>
      <protection locked="true" hidden="true"/>
    </xf>
    <xf numFmtId="165" fontId="4" fillId="0" borderId="0" xfId="21" applyFont="true" applyBorder="true" applyAlignment="true" applyProtection="true">
      <alignment horizontal="center" vertical="bottom" textRotation="0" wrapText="false" indent="0" shrinkToFit="false"/>
      <protection locked="true" hidden="true"/>
    </xf>
    <xf numFmtId="164" fontId="4" fillId="0" borderId="0" xfId="21" applyFont="true" applyBorder="true" applyAlignment="false" applyProtection="true">
      <alignment horizontal="general" vertical="bottom" textRotation="0" wrapText="false" indent="0" shrinkToFit="false"/>
      <protection locked="true" hidden="true"/>
    </xf>
    <xf numFmtId="164" fontId="7" fillId="0" borderId="0" xfId="21" applyFont="true" applyBorder="true" applyAlignment="false" applyProtection="false">
      <alignment horizontal="general" vertical="bottom" textRotation="0" wrapText="false" indent="0" shrinkToFit="false"/>
      <protection locked="true" hidden="false"/>
    </xf>
    <xf numFmtId="164" fontId="8" fillId="0" borderId="0" xfId="21" applyFont="true" applyBorder="true" applyAlignment="true" applyProtection="false">
      <alignment horizontal="center" vertical="bottom" textRotation="0" wrapText="false" indent="0" shrinkToFit="false"/>
      <protection locked="true" hidden="false"/>
    </xf>
    <xf numFmtId="164" fontId="4" fillId="3" borderId="5" xfId="21" applyFont="true" applyBorder="true" applyAlignment="true" applyProtection="true">
      <alignment horizontal="center" vertical="bottom" textRotation="0" wrapText="false" indent="0" shrinkToFit="false"/>
      <protection locked="true" hidden="true"/>
    </xf>
    <xf numFmtId="164" fontId="4" fillId="0" borderId="7" xfId="21" applyFont="true" applyBorder="true" applyAlignment="false" applyProtection="false">
      <alignment horizontal="general" vertical="bottom" textRotation="0" wrapText="false" indent="0" shrinkToFit="false"/>
      <protection locked="true" hidden="false"/>
    </xf>
    <xf numFmtId="165" fontId="4" fillId="0" borderId="0" xfId="21" applyFont="true" applyBorder="true" applyAlignment="true" applyProtection="false">
      <alignment horizontal="center" vertical="bottom" textRotation="0" wrapText="false" indent="0" shrinkToFit="false"/>
      <protection locked="true" hidden="false"/>
    </xf>
    <xf numFmtId="165" fontId="4" fillId="3" borderId="5" xfId="21" applyFont="true" applyBorder="true" applyAlignment="true" applyProtection="true">
      <alignment horizontal="center" vertical="bottom" textRotation="0" wrapText="false" indent="0" shrinkToFit="false"/>
      <protection locked="true" hidden="true"/>
    </xf>
    <xf numFmtId="166" fontId="4" fillId="4" borderId="5" xfId="21" applyFont="true" applyBorder="true" applyAlignment="true" applyProtection="true">
      <alignment horizontal="center" vertical="bottom" textRotation="0" wrapText="false" indent="0" shrinkToFit="false"/>
      <protection locked="false" hidden="false"/>
    </xf>
    <xf numFmtId="164" fontId="4" fillId="0" borderId="0" xfId="21" applyFont="true" applyBorder="true" applyAlignment="true" applyProtection="false">
      <alignment horizontal="center" vertical="bottom" textRotation="0" wrapText="false" indent="0" shrinkToFit="false"/>
      <protection locked="true" hidden="false"/>
    </xf>
    <xf numFmtId="165" fontId="4" fillId="3" borderId="8" xfId="21" applyFont="true" applyBorder="true" applyAlignment="true" applyProtection="true">
      <alignment horizontal="center" vertical="bottom" textRotation="0" wrapText="false" indent="0" shrinkToFit="false"/>
      <protection locked="true" hidden="true"/>
    </xf>
    <xf numFmtId="165" fontId="4" fillId="3" borderId="5" xfId="21" applyFont="true" applyBorder="true" applyAlignment="true" applyProtection="true">
      <alignment horizontal="center" vertical="center" textRotation="0" wrapText="false" indent="0" shrinkToFit="false"/>
      <protection locked="true" hidden="true"/>
    </xf>
    <xf numFmtId="164" fontId="9" fillId="4" borderId="9" xfId="21" applyFont="true" applyBorder="true" applyAlignment="true" applyProtection="true">
      <alignment horizontal="center" vertical="center" textRotation="0" wrapText="false" indent="0" shrinkToFit="false"/>
      <protection locked="false" hidden="false"/>
    </xf>
    <xf numFmtId="164" fontId="5" fillId="0" borderId="0" xfId="21" applyFont="true" applyBorder="true" applyAlignment="true" applyProtection="true">
      <alignment horizontal="general" vertical="bottom" textRotation="0" wrapText="false" indent="0" shrinkToFit="false"/>
      <protection locked="true" hidden="true"/>
    </xf>
    <xf numFmtId="164" fontId="4" fillId="0" borderId="0" xfId="21" applyFont="true" applyBorder="true" applyAlignment="true" applyProtection="true">
      <alignment horizontal="general" vertical="bottom" textRotation="0" wrapText="false" indent="0" shrinkToFit="false"/>
      <protection locked="true" hidden="true"/>
    </xf>
    <xf numFmtId="164" fontId="9" fillId="4" borderId="5" xfId="21" applyFont="true" applyBorder="true" applyAlignment="true" applyProtection="true">
      <alignment horizontal="center" vertical="center" textRotation="0" wrapText="false" indent="0" shrinkToFit="false"/>
      <protection locked="false" hidden="false"/>
    </xf>
    <xf numFmtId="167" fontId="4" fillId="4" borderId="5" xfId="21" applyFont="true" applyBorder="true" applyAlignment="true" applyProtection="true">
      <alignment horizontal="center" vertical="bottom" textRotation="0" wrapText="false" indent="0" shrinkToFit="false"/>
      <protection locked="false" hidden="false"/>
    </xf>
    <xf numFmtId="164" fontId="0" fillId="4" borderId="6" xfId="21" applyFont="true" applyBorder="true" applyAlignment="true" applyProtection="true">
      <alignment horizontal="center" vertical="bottom" textRotation="0" wrapText="false" indent="0" shrinkToFit="false"/>
      <protection locked="false" hidden="false"/>
    </xf>
    <xf numFmtId="164" fontId="5" fillId="0" borderId="0" xfId="21" applyFont="true" applyBorder="true" applyAlignment="false" applyProtection="true">
      <alignment horizontal="general" vertical="bottom" textRotation="0" wrapText="false" indent="0" shrinkToFit="false"/>
      <protection locked="true" hidden="true"/>
    </xf>
    <xf numFmtId="164" fontId="10" fillId="0" borderId="0" xfId="21" applyFont="true" applyBorder="true" applyAlignment="false" applyProtection="false">
      <alignment horizontal="general" vertical="bottom" textRotation="0" wrapText="false" indent="0" shrinkToFit="false"/>
      <protection locked="true" hidden="false"/>
    </xf>
    <xf numFmtId="165" fontId="11" fillId="5" borderId="5" xfId="21" applyFont="true" applyBorder="true" applyAlignment="true" applyProtection="true">
      <alignment horizontal="center" vertical="bottom" textRotation="0" wrapText="false" indent="0" shrinkToFit="false"/>
      <protection locked="true" hidden="true"/>
    </xf>
    <xf numFmtId="164" fontId="12" fillId="0" borderId="0" xfId="21" applyFont="true" applyBorder="false" applyAlignment="false" applyProtection="false">
      <alignment horizontal="general" vertical="bottom" textRotation="0" wrapText="false" indent="0" shrinkToFit="false"/>
      <protection locked="true" hidden="false"/>
    </xf>
    <xf numFmtId="165" fontId="12" fillId="5" borderId="5" xfId="21" applyFont="true" applyBorder="true" applyAlignment="true" applyProtection="true">
      <alignment horizontal="center" vertical="bottom" textRotation="0" wrapText="false" indent="0" shrinkToFit="false"/>
      <protection locked="true" hidden="true"/>
    </xf>
    <xf numFmtId="165" fontId="10" fillId="5" borderId="5" xfId="21" applyFont="true" applyBorder="true" applyAlignment="true" applyProtection="true">
      <alignment horizontal="center" vertical="bottom" textRotation="0" wrapText="false" indent="0" shrinkToFit="false"/>
      <protection locked="true" hidden="true"/>
    </xf>
    <xf numFmtId="168" fontId="10" fillId="6" borderId="5" xfId="21" applyFont="true" applyBorder="true" applyAlignment="true" applyProtection="true">
      <alignment horizontal="center" vertical="bottom" textRotation="0" wrapText="false" indent="0" shrinkToFit="false"/>
      <protection locked="true" hidden="true"/>
    </xf>
    <xf numFmtId="164" fontId="10" fillId="6" borderId="5" xfId="21" applyFont="true" applyBorder="true" applyAlignment="true" applyProtection="false">
      <alignment horizontal="center" vertical="bottom" textRotation="0" wrapText="false" indent="0" shrinkToFit="false"/>
      <protection locked="true" hidden="false"/>
    </xf>
    <xf numFmtId="166" fontId="10" fillId="6" borderId="5" xfId="21" applyFont="true" applyBorder="true" applyAlignment="true" applyProtection="true">
      <alignment horizontal="center" vertical="bottom" textRotation="0" wrapText="false" indent="0" shrinkToFit="false"/>
      <protection locked="true" hidden="true"/>
    </xf>
    <xf numFmtId="168" fontId="10" fillId="6" borderId="5" xfId="21" applyFont="true" applyBorder="true" applyAlignment="true" applyProtection="false">
      <alignment horizontal="center" vertical="bottom" textRotation="0" wrapText="false" indent="0" shrinkToFit="false"/>
      <protection locked="true" hidden="false"/>
    </xf>
    <xf numFmtId="165" fontId="13" fillId="5" borderId="5" xfId="21" applyFont="true" applyBorder="true" applyAlignment="true" applyProtection="true">
      <alignment horizontal="center" vertical="bottom" textRotation="0" wrapText="false" indent="0" shrinkToFit="false"/>
      <protection locked="true" hidden="true"/>
    </xf>
    <xf numFmtId="169" fontId="13" fillId="6" borderId="5" xfId="21" applyFont="true" applyBorder="true" applyAlignment="true" applyProtection="false">
      <alignment horizontal="center" vertical="bottom" textRotation="0" wrapText="false" indent="0" shrinkToFit="false"/>
      <protection locked="true" hidden="false"/>
    </xf>
    <xf numFmtId="169" fontId="10" fillId="6" borderId="5" xfId="21" applyFont="true" applyBorder="true" applyAlignment="true" applyProtection="true">
      <alignment horizontal="center" vertical="bottom" textRotation="0" wrapText="false" indent="0" shrinkToFit="false"/>
      <protection locked="true" hidden="true"/>
    </xf>
    <xf numFmtId="165" fontId="4" fillId="3" borderId="10" xfId="21" applyFont="true" applyBorder="true" applyAlignment="true" applyProtection="true">
      <alignment horizontal="center" vertical="bottom" textRotation="0" wrapText="false" indent="0" shrinkToFit="false"/>
      <protection locked="true" hidden="true"/>
    </xf>
    <xf numFmtId="164" fontId="12" fillId="0" borderId="0" xfId="21" applyFont="true" applyBorder="true" applyAlignment="false" applyProtection="false">
      <alignment horizontal="general" vertical="bottom" textRotation="0" wrapText="false" indent="0" shrinkToFit="false"/>
      <protection locked="true" hidden="false"/>
    </xf>
    <xf numFmtId="164" fontId="8" fillId="4" borderId="11" xfId="21" applyFont="true" applyBorder="true" applyAlignment="true" applyProtection="true">
      <alignment horizontal="center" vertical="bottom" textRotation="0" wrapText="false" indent="0" shrinkToFit="false"/>
      <protection locked="false" hidden="false"/>
    </xf>
    <xf numFmtId="164" fontId="10" fillId="0" borderId="0" xfId="21" applyFont="true" applyBorder="true" applyAlignment="false" applyProtection="true">
      <alignment horizontal="general" vertical="bottom" textRotation="0" wrapText="false" indent="0" shrinkToFit="false"/>
      <protection locked="true" hidden="true"/>
    </xf>
    <xf numFmtId="164" fontId="10" fillId="5" borderId="5" xfId="21" applyFont="true" applyBorder="true" applyAlignment="true" applyProtection="false">
      <alignment horizontal="center" vertical="bottom" textRotation="0" wrapText="false" indent="0" shrinkToFit="false"/>
      <protection locked="true" hidden="false"/>
    </xf>
    <xf numFmtId="164" fontId="8" fillId="0" borderId="0" xfId="21" applyFont="true" applyBorder="true" applyAlignment="false" applyProtection="true">
      <alignment horizontal="general" vertical="bottom" textRotation="0" wrapText="false" indent="0" shrinkToFit="false"/>
      <protection locked="true" hidden="true"/>
    </xf>
    <xf numFmtId="169" fontId="10" fillId="6" borderId="5" xfId="21" applyFont="true" applyBorder="true" applyAlignment="true" applyProtection="false">
      <alignment horizontal="center" vertical="bottom" textRotation="0" wrapText="false" indent="0" shrinkToFit="false"/>
      <protection locked="true" hidden="false"/>
    </xf>
    <xf numFmtId="170" fontId="10" fillId="6" borderId="5" xfId="21" applyFont="true" applyBorder="true" applyAlignment="true" applyProtection="false">
      <alignment horizontal="center" vertical="bottom" textRotation="0" wrapText="false" indent="0" shrinkToFit="false"/>
      <protection locked="true" hidden="false"/>
    </xf>
    <xf numFmtId="164" fontId="8" fillId="0" borderId="0" xfId="21" applyFont="true" applyBorder="true" applyAlignment="true" applyProtection="true">
      <alignment horizontal="right" vertical="bottom" textRotation="0" wrapText="false" indent="0" shrinkToFit="false"/>
      <protection locked="true" hidden="true"/>
    </xf>
    <xf numFmtId="164" fontId="8" fillId="0" borderId="12" xfId="21" applyFont="true" applyBorder="true" applyAlignment="true" applyProtection="false">
      <alignment horizontal="center" vertical="bottom" textRotation="0" wrapText="false" indent="0" shrinkToFit="false"/>
      <protection locked="true" hidden="false"/>
    </xf>
    <xf numFmtId="164" fontId="4" fillId="0" borderId="0" xfId="21" applyFont="true" applyBorder="true" applyAlignment="true" applyProtection="true">
      <alignment horizontal="center" vertical="bottom" textRotation="0" wrapText="false" indent="0" shrinkToFit="false"/>
      <protection locked="true" hidden="true"/>
    </xf>
    <xf numFmtId="165" fontId="4" fillId="3" borderId="13" xfId="21" applyFont="true" applyBorder="true" applyAlignment="true" applyProtection="true">
      <alignment horizontal="center" vertical="bottom" textRotation="0" wrapText="false" indent="0" shrinkToFit="false"/>
      <protection locked="true" hidden="true"/>
    </xf>
    <xf numFmtId="164" fontId="4" fillId="4" borderId="11" xfId="21" applyFont="true" applyBorder="true" applyAlignment="true" applyProtection="true">
      <alignment horizontal="center" vertical="bottom" textRotation="0" wrapText="false" indent="0" shrinkToFit="false"/>
      <protection locked="false" hidden="false"/>
    </xf>
    <xf numFmtId="164" fontId="10" fillId="5" borderId="5" xfId="21" applyFont="true" applyBorder="true" applyAlignment="true" applyProtection="true">
      <alignment horizontal="center" vertical="bottom" textRotation="0" wrapText="false" indent="0" shrinkToFit="false"/>
      <protection locked="true" hidden="true"/>
    </xf>
    <xf numFmtId="164" fontId="4" fillId="0" borderId="0" xfId="21" applyFont="true" applyBorder="true" applyAlignment="true" applyProtection="true">
      <alignment horizontal="center" vertical="bottom" textRotation="0" wrapText="false" indent="0" shrinkToFit="false"/>
      <protection locked="true" hidden="true"/>
    </xf>
    <xf numFmtId="164" fontId="4" fillId="3" borderId="14" xfId="21" applyFont="true" applyBorder="true" applyAlignment="true" applyProtection="true">
      <alignment horizontal="center" vertical="bottom" textRotation="0" wrapText="false" indent="0" shrinkToFit="false"/>
      <protection locked="true" hidden="true"/>
    </xf>
    <xf numFmtId="165" fontId="4" fillId="3" borderId="15" xfId="21" applyFont="true" applyBorder="true" applyAlignment="true" applyProtection="true">
      <alignment horizontal="center" vertical="bottom" textRotation="0" wrapText="false" indent="0" shrinkToFit="false"/>
      <protection locked="true" hidden="true"/>
    </xf>
    <xf numFmtId="164" fontId="14" fillId="3" borderId="16" xfId="21" applyFont="true" applyBorder="true" applyAlignment="true" applyProtection="true">
      <alignment horizontal="center" vertical="bottom" textRotation="0" wrapText="false" indent="0" shrinkToFit="false"/>
      <protection locked="true" hidden="true"/>
    </xf>
    <xf numFmtId="164" fontId="4" fillId="0" borderId="0" xfId="21" applyFont="true" applyBorder="true" applyAlignment="true" applyProtection="false">
      <alignment horizontal="general" vertical="bottom" textRotation="0" wrapText="false" indent="0" shrinkToFit="false"/>
      <protection locked="true" hidden="false"/>
    </xf>
    <xf numFmtId="164" fontId="0" fillId="0" borderId="0" xfId="21" applyFont="true" applyBorder="true" applyAlignment="false" applyProtection="false">
      <alignment horizontal="general" vertical="bottom" textRotation="0" wrapText="false" indent="0" shrinkToFit="false"/>
      <protection locked="true" hidden="false"/>
    </xf>
    <xf numFmtId="165" fontId="8" fillId="0" borderId="0" xfId="21" applyFont="true" applyBorder="false" applyAlignment="false" applyProtection="false">
      <alignment horizontal="general" vertical="bottom" textRotation="0" wrapText="false" indent="0" shrinkToFit="false"/>
      <protection locked="true" hidden="false"/>
    </xf>
    <xf numFmtId="171" fontId="4" fillId="4" borderId="6" xfId="21" applyFont="true" applyBorder="true" applyAlignment="true" applyProtection="true">
      <alignment horizontal="center" vertical="bottom" textRotation="0" wrapText="false" indent="0" shrinkToFit="false"/>
      <protection locked="false" hidden="false"/>
    </xf>
    <xf numFmtId="164" fontId="5" fillId="0" borderId="0" xfId="21" applyFont="true" applyBorder="true" applyAlignment="true" applyProtection="false">
      <alignment horizontal="general" vertical="bottom" textRotation="0" wrapText="false" indent="0" shrinkToFit="false"/>
      <protection locked="true" hidden="false"/>
    </xf>
    <xf numFmtId="172" fontId="0" fillId="0" borderId="0" xfId="21" applyFont="true" applyBorder="true" applyAlignment="true" applyProtection="true">
      <alignment horizontal="center" vertical="bottom" textRotation="0" wrapText="false" indent="0" shrinkToFit="false"/>
      <protection locked="true" hidden="true"/>
    </xf>
    <xf numFmtId="164" fontId="4" fillId="5" borderId="5" xfId="21" applyFont="true" applyBorder="true" applyAlignment="true" applyProtection="true">
      <alignment horizontal="center" vertical="bottom" textRotation="0" wrapText="false" indent="0" shrinkToFit="false"/>
      <protection locked="true" hidden="true"/>
    </xf>
    <xf numFmtId="165" fontId="4" fillId="5" borderId="5" xfId="21" applyFont="true" applyBorder="true" applyAlignment="true" applyProtection="true">
      <alignment horizontal="center" vertical="bottom" textRotation="0" wrapText="false" indent="0" shrinkToFit="false"/>
      <protection locked="true" hidden="true"/>
    </xf>
    <xf numFmtId="164" fontId="8" fillId="0" borderId="0" xfId="21" applyFont="true" applyBorder="true" applyAlignment="false" applyProtection="false">
      <alignment horizontal="general" vertical="bottom" textRotation="0" wrapText="false" indent="0" shrinkToFit="false"/>
      <protection locked="true" hidden="false"/>
    </xf>
    <xf numFmtId="165" fontId="4" fillId="3" borderId="5" xfId="21" applyFont="true" applyBorder="true" applyAlignment="true" applyProtection="true">
      <alignment horizontal="left" vertical="bottom" textRotation="0" wrapText="false" indent="0" shrinkToFit="false"/>
      <protection locked="true" hidden="true"/>
    </xf>
    <xf numFmtId="166" fontId="4" fillId="4" borderId="9" xfId="21" applyFont="true" applyBorder="true" applyAlignment="true" applyProtection="true">
      <alignment horizontal="center" vertical="bottom" textRotation="0" wrapText="false" indent="0" shrinkToFit="false"/>
      <protection locked="false" hidden="false"/>
    </xf>
    <xf numFmtId="173" fontId="11" fillId="7" borderId="5" xfId="21" applyFont="true" applyBorder="true" applyAlignment="true" applyProtection="false">
      <alignment horizontal="center" vertical="bottom" textRotation="0" wrapText="false" indent="0" shrinkToFit="false"/>
      <protection locked="true" hidden="false"/>
    </xf>
    <xf numFmtId="164" fontId="4" fillId="5" borderId="5" xfId="21" applyFont="true" applyBorder="true" applyAlignment="true" applyProtection="false">
      <alignment horizontal="center" vertical="bottom" textRotation="0" wrapText="false" indent="0" shrinkToFit="false"/>
      <protection locked="true" hidden="false"/>
    </xf>
    <xf numFmtId="165" fontId="12" fillId="6" borderId="5" xfId="21" applyFont="true" applyBorder="true" applyAlignment="true" applyProtection="true">
      <alignment horizontal="center" vertical="bottom" textRotation="0" wrapText="false" indent="0" shrinkToFit="false"/>
      <protection locked="true" hidden="true"/>
    </xf>
    <xf numFmtId="170" fontId="4" fillId="6" borderId="5" xfId="21" applyFont="true" applyBorder="true" applyAlignment="true" applyProtection="false">
      <alignment horizontal="center" vertical="bottom" textRotation="0" wrapText="false" indent="0" shrinkToFit="false"/>
      <protection locked="true" hidden="false"/>
    </xf>
    <xf numFmtId="170" fontId="4" fillId="6" borderId="17" xfId="21" applyFont="true" applyBorder="true" applyAlignment="true" applyProtection="false">
      <alignment horizontal="center" vertical="bottom" textRotation="0" wrapText="false" indent="0" shrinkToFit="false"/>
      <protection locked="true" hidden="false"/>
    </xf>
    <xf numFmtId="165" fontId="4" fillId="5" borderId="18" xfId="21" applyFont="true" applyBorder="true" applyAlignment="true" applyProtection="false">
      <alignment horizontal="general" vertical="center" textRotation="0" wrapText="false" indent="0" shrinkToFit="false"/>
      <protection locked="true" hidden="false"/>
    </xf>
    <xf numFmtId="174" fontId="12" fillId="6" borderId="18" xfId="21" applyFont="true" applyBorder="true" applyAlignment="true" applyProtection="true">
      <alignment horizontal="center" vertical="center" textRotation="0" wrapText="false" indent="0" shrinkToFit="false"/>
      <protection locked="true" hidden="true"/>
    </xf>
    <xf numFmtId="175" fontId="4" fillId="6" borderId="5" xfId="21" applyFont="true" applyBorder="true" applyAlignment="true" applyProtection="false">
      <alignment horizontal="center" vertical="bottom" textRotation="0" wrapText="false" indent="0" shrinkToFit="false"/>
      <protection locked="true" hidden="false"/>
    </xf>
    <xf numFmtId="175" fontId="4" fillId="6" borderId="19" xfId="21" applyFont="true" applyBorder="true" applyAlignment="true" applyProtection="false">
      <alignment horizontal="center" vertical="bottom" textRotation="0" wrapText="false" indent="0" shrinkToFit="false"/>
      <protection locked="true" hidden="false"/>
    </xf>
    <xf numFmtId="165" fontId="4" fillId="5" borderId="18" xfId="21" applyFont="true" applyBorder="true" applyAlignment="true" applyProtection="false">
      <alignment horizontal="center" vertical="center" textRotation="0" wrapText="false" indent="0" shrinkToFit="false"/>
      <protection locked="true" hidden="false"/>
    </xf>
    <xf numFmtId="165" fontId="12" fillId="6" borderId="18" xfId="21" applyFont="true" applyBorder="true" applyAlignment="true" applyProtection="true">
      <alignment horizontal="center" vertical="center" textRotation="0" wrapText="false" indent="0" shrinkToFit="false"/>
      <protection locked="true" hidden="true"/>
    </xf>
    <xf numFmtId="170" fontId="4" fillId="6" borderId="19" xfId="21" applyFont="true" applyBorder="true" applyAlignment="true" applyProtection="false">
      <alignment horizontal="center" vertical="bottom" textRotation="0" wrapText="false" indent="0" shrinkToFit="false"/>
      <protection locked="true" hidden="false"/>
    </xf>
    <xf numFmtId="165" fontId="4" fillId="3" borderId="20" xfId="21" applyFont="true" applyBorder="true" applyAlignment="true" applyProtection="true">
      <alignment horizontal="left" vertical="bottom" textRotation="0" wrapText="false" indent="0" shrinkToFit="false"/>
      <protection locked="true" hidden="true"/>
    </xf>
    <xf numFmtId="164" fontId="12" fillId="5" borderId="5" xfId="21" applyFont="true" applyBorder="true" applyAlignment="true" applyProtection="false">
      <alignment horizontal="center" vertical="bottom" textRotation="0" wrapText="false" indent="0" shrinkToFit="false"/>
      <protection locked="true" hidden="false"/>
    </xf>
    <xf numFmtId="169" fontId="12" fillId="6" borderId="17" xfId="21" applyFont="true" applyBorder="true" applyAlignment="true" applyProtection="false">
      <alignment horizontal="general" vertical="bottom" textRotation="0" wrapText="false" indent="0" shrinkToFit="false"/>
      <protection locked="true" hidden="false"/>
    </xf>
    <xf numFmtId="164" fontId="4" fillId="6" borderId="5" xfId="21" applyFont="true" applyBorder="true" applyAlignment="true" applyProtection="true">
      <alignment horizontal="center" vertical="bottom" textRotation="0" wrapText="false" indent="0" shrinkToFit="false"/>
      <protection locked="true" hidden="true"/>
    </xf>
    <xf numFmtId="164" fontId="4" fillId="4" borderId="5" xfId="21" applyFont="true" applyBorder="true" applyAlignment="true" applyProtection="true">
      <alignment horizontal="center" vertical="bottom" textRotation="0" wrapText="false" indent="0" shrinkToFit="false"/>
      <protection locked="false" hidden="false"/>
    </xf>
    <xf numFmtId="176" fontId="12" fillId="6" borderId="5" xfId="21" applyFont="true" applyBorder="true" applyAlignment="true" applyProtection="false">
      <alignment horizontal="center" vertical="bottom" textRotation="0" wrapText="false" indent="0" shrinkToFit="false"/>
      <protection locked="true" hidden="false"/>
    </xf>
    <xf numFmtId="176" fontId="12" fillId="6" borderId="19" xfId="21" applyFont="true" applyBorder="true" applyAlignment="true" applyProtection="false">
      <alignment horizontal="center" vertical="bottom" textRotation="0" wrapText="false" indent="0" shrinkToFit="false"/>
      <protection locked="true" hidden="false"/>
    </xf>
    <xf numFmtId="164" fontId="15" fillId="6" borderId="5" xfId="21" applyFont="true" applyBorder="true" applyAlignment="true" applyProtection="false">
      <alignment horizontal="center" vertical="center" textRotation="0" wrapText="false" indent="0" shrinkToFit="false"/>
      <protection locked="true" hidden="false"/>
    </xf>
    <xf numFmtId="164" fontId="4" fillId="0" borderId="0" xfId="21" applyFont="true" applyBorder="true" applyAlignment="true" applyProtection="false">
      <alignment horizontal="center" vertical="bottom" textRotation="0" wrapText="false" indent="0" shrinkToFit="false"/>
      <protection locked="true" hidden="false"/>
    </xf>
    <xf numFmtId="169" fontId="12" fillId="7" borderId="5" xfId="21" applyFont="true" applyBorder="true" applyAlignment="true" applyProtection="false">
      <alignment horizontal="center" vertical="bottom" textRotation="0" wrapText="false" indent="0" shrinkToFit="false"/>
      <protection locked="true" hidden="false"/>
    </xf>
    <xf numFmtId="164" fontId="4" fillId="0" borderId="21" xfId="21" applyFont="true" applyBorder="true" applyAlignment="false" applyProtection="false">
      <alignment horizontal="general" vertical="bottom" textRotation="0" wrapText="false" indent="0" shrinkToFit="false"/>
      <protection locked="true" hidden="false"/>
    </xf>
    <xf numFmtId="165" fontId="0" fillId="0" borderId="22" xfId="21" applyFont="true" applyBorder="true" applyAlignment="false" applyProtection="false">
      <alignment horizontal="general" vertical="bottom" textRotation="0" wrapText="false" indent="0" shrinkToFit="false"/>
      <protection locked="true" hidden="false"/>
    </xf>
    <xf numFmtId="164" fontId="4" fillId="0" borderId="22" xfId="21" applyFont="true" applyBorder="true" applyAlignment="true" applyProtection="true">
      <alignment horizontal="center" vertical="bottom" textRotation="0" wrapText="false" indent="0" shrinkToFit="false"/>
      <protection locked="false" hidden="false"/>
    </xf>
    <xf numFmtId="164" fontId="4" fillId="0" borderId="22" xfId="21" applyFont="true" applyBorder="true" applyAlignment="true" applyProtection="true">
      <alignment horizontal="general" vertical="bottom" textRotation="0" wrapText="false" indent="0" shrinkToFit="false"/>
      <protection locked="false" hidden="false"/>
    </xf>
    <xf numFmtId="164" fontId="5" fillId="0" borderId="22" xfId="21" applyFont="true" applyBorder="true" applyAlignment="true" applyProtection="true">
      <alignment horizontal="general" vertical="bottom" textRotation="0" wrapText="false" indent="0" shrinkToFit="false"/>
      <protection locked="false" hidden="false"/>
    </xf>
    <xf numFmtId="164" fontId="0" fillId="0" borderId="22" xfId="21" applyFont="true" applyBorder="true" applyAlignment="false" applyProtection="true">
      <alignment horizontal="general" vertical="bottom" textRotation="0" wrapText="false" indent="0" shrinkToFit="false"/>
      <protection locked="false" hidden="false"/>
    </xf>
    <xf numFmtId="164" fontId="4" fillId="0" borderId="22" xfId="21" applyFont="true" applyBorder="true" applyAlignment="false" applyProtection="true">
      <alignment horizontal="general" vertical="bottom" textRotation="0" wrapText="false" indent="0" shrinkToFit="false"/>
      <protection locked="false" hidden="false"/>
    </xf>
    <xf numFmtId="164" fontId="11" fillId="0" borderId="22" xfId="21" applyFont="true" applyBorder="true" applyAlignment="true" applyProtection="true">
      <alignment horizontal="right" vertical="bottom" textRotation="0" wrapText="false" indent="0" shrinkToFit="false"/>
      <protection locked="true" hidden="false"/>
    </xf>
    <xf numFmtId="164" fontId="11" fillId="0" borderId="22" xfId="21" applyFont="true" applyBorder="true" applyAlignment="true" applyProtection="true">
      <alignment horizontal="general" vertical="bottom" textRotation="0" wrapText="false" indent="0" shrinkToFit="false"/>
      <protection locked="true" hidden="false"/>
    </xf>
    <xf numFmtId="165" fontId="16" fillId="0" borderId="22" xfId="21" applyFont="true" applyBorder="true" applyAlignment="true" applyProtection="true">
      <alignment horizontal="left" vertical="bottom" textRotation="0" wrapText="false" indent="0" shrinkToFit="false"/>
      <protection locked="true" hidden="false"/>
    </xf>
    <xf numFmtId="164" fontId="12" fillId="0" borderId="22" xfId="21" applyFont="true" applyBorder="true" applyAlignment="false" applyProtection="true">
      <alignment horizontal="general" vertical="bottom" textRotation="0" wrapText="false" indent="0" shrinkToFit="false"/>
      <protection locked="true" hidden="false"/>
    </xf>
    <xf numFmtId="164" fontId="11" fillId="0" borderId="23" xfId="21" applyFont="true" applyBorder="true" applyAlignment="true" applyProtection="true">
      <alignment horizontal="right" vertical="bottom" textRotation="0" wrapText="false" indent="0" shrinkToFit="false"/>
      <protection locked="true" hidden="false"/>
    </xf>
    <xf numFmtId="164" fontId="4" fillId="0" borderId="0" xfId="21" applyFont="true" applyBorder="true" applyAlignment="false" applyProtection="true">
      <alignment horizontal="general" vertical="bottom" textRotation="0" wrapText="false" indent="0" shrinkToFit="false"/>
      <protection locked="fals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17" fillId="0" borderId="0" xfId="20" applyFont="true" applyBorder="true" applyAlignment="true" applyProtection="true">
      <alignment horizontal="left" vertical="bottom" textRotation="0" wrapText="false" indent="0" shrinkToFit="false"/>
      <protection locked="true" hidden="true"/>
    </xf>
    <xf numFmtId="164" fontId="0" fillId="0" borderId="0" xfId="21" applyFont="true" applyBorder="false" applyAlignment="true" applyProtection="true">
      <alignment horizontal="center" vertical="bottom" textRotation="0" wrapText="false" indent="0" shrinkToFit="false"/>
      <protection locked="true" hidden="true"/>
    </xf>
    <xf numFmtId="164" fontId="4" fillId="0" borderId="0" xfId="21" applyFont="true" applyBorder="true" applyAlignment="true" applyProtection="true">
      <alignment horizontal="center" vertical="bottom" textRotation="0" wrapText="false" indent="0" shrinkToFit="false"/>
      <protection locked="false" hidden="false"/>
    </xf>
    <xf numFmtId="166" fontId="4" fillId="0" borderId="0" xfId="21" applyFont="true" applyBorder="false" applyAlignment="false" applyProtection="false">
      <alignment horizontal="general" vertical="bottom" textRotation="0" wrapText="false" indent="0" shrinkToFit="false"/>
      <protection locked="true" hidden="false"/>
    </xf>
    <xf numFmtId="177" fontId="0" fillId="0" borderId="0" xfId="21" applyFont="true" applyBorder="false" applyAlignment="false" applyProtection="true">
      <alignment horizontal="general" vertical="bottom" textRotation="0" wrapText="false" indent="0" shrinkToFit="false"/>
      <protection locked="true" hidden="true"/>
    </xf>
    <xf numFmtId="178" fontId="4" fillId="0" borderId="0" xfId="21" applyFont="true" applyBorder="true" applyAlignment="false" applyProtection="true">
      <alignment horizontal="general" vertical="bottom" textRotation="0" wrapText="false" indent="0" shrinkToFit="false"/>
      <protection locked="false" hidden="false"/>
    </xf>
    <xf numFmtId="164" fontId="0" fillId="0" borderId="0" xfId="21" applyFont="true" applyBorder="true" applyAlignment="true" applyProtection="true">
      <alignment horizontal="general" vertical="bottom" textRotation="0" wrapText="false" indent="0" shrinkToFit="false"/>
      <protection locked="true" hidden="true"/>
    </xf>
    <xf numFmtId="164" fontId="0" fillId="0" borderId="0" xfId="21" applyFont="true" applyBorder="false" applyAlignment="false" applyProtection="false">
      <alignment horizontal="general" vertical="bottom" textRotation="0" wrapText="false" indent="0" shrinkToFit="false"/>
      <protection locked="true" hidden="false"/>
    </xf>
    <xf numFmtId="164" fontId="0" fillId="0" borderId="0" xfId="21" applyFont="true" applyBorder="true" applyAlignment="true" applyProtection="false">
      <alignment horizontal="general" vertical="bottom" textRotation="0" wrapText="false" indent="0" shrinkToFit="false"/>
      <protection locked="true" hidden="false"/>
    </xf>
    <xf numFmtId="164" fontId="5" fillId="0" borderId="0" xfId="21" applyFont="true" applyBorder="false" applyAlignment="true" applyProtection="true">
      <alignment horizontal="center" vertical="bottom" textRotation="0" wrapText="false" indent="0" shrinkToFit="false"/>
      <protection locked="true" hidden="true"/>
    </xf>
    <xf numFmtId="173" fontId="0" fillId="0" borderId="0" xfId="21" applyFont="true" applyBorder="false" applyAlignment="true" applyProtection="true">
      <alignment horizontal="center" vertical="bottom" textRotation="0" wrapText="false" indent="0" shrinkToFit="false"/>
      <protection locked="true" hidden="true"/>
    </xf>
    <xf numFmtId="173" fontId="5" fillId="0" borderId="0" xfId="21" applyFont="true" applyBorder="false" applyAlignment="true" applyProtection="true">
      <alignment horizontal="center" vertical="bottom" textRotation="0" wrapText="false" indent="0" shrinkToFit="false"/>
      <protection locked="true" hidden="true"/>
    </xf>
    <xf numFmtId="164" fontId="0" fillId="0" borderId="24" xfId="21" applyFont="true" applyBorder="true" applyAlignment="true" applyProtection="true">
      <alignment horizontal="center" vertical="bottom" textRotation="0" wrapText="false" indent="0" shrinkToFit="false"/>
      <protection locked="true" hidden="true"/>
    </xf>
    <xf numFmtId="173" fontId="0" fillId="0" borderId="25" xfId="21" applyFont="true" applyBorder="true" applyAlignment="true" applyProtection="true">
      <alignment horizontal="center" vertical="bottom" textRotation="0" wrapText="false" indent="0" shrinkToFit="false"/>
      <protection locked="true" hidden="true"/>
    </xf>
    <xf numFmtId="173" fontId="5" fillId="0" borderId="26" xfId="21" applyFont="true" applyBorder="true" applyAlignment="true" applyProtection="true">
      <alignment horizontal="center" vertical="bottom" textRotation="0" wrapText="false" indent="0" shrinkToFit="false"/>
      <protection locked="true" hidden="true"/>
    </xf>
    <xf numFmtId="164" fontId="0" fillId="0" borderId="27" xfId="21" applyFont="true" applyBorder="true" applyAlignment="true" applyProtection="true">
      <alignment horizontal="center" vertical="bottom" textRotation="0" wrapText="false" indent="0" shrinkToFit="false"/>
      <protection locked="true" hidden="true"/>
    </xf>
    <xf numFmtId="173" fontId="0" fillId="0" borderId="0" xfId="21" applyFont="true" applyBorder="true" applyAlignment="true" applyProtection="true">
      <alignment horizontal="center" vertical="bottom" textRotation="0" wrapText="false" indent="0" shrinkToFit="false"/>
      <protection locked="true" hidden="true"/>
    </xf>
    <xf numFmtId="173" fontId="5" fillId="0" borderId="28" xfId="21" applyFont="true" applyBorder="true" applyAlignment="true" applyProtection="true">
      <alignment horizontal="center" vertical="bottom" textRotation="0" wrapText="false" indent="0" shrinkToFit="false"/>
      <protection locked="true" hidden="true"/>
    </xf>
    <xf numFmtId="164" fontId="0" fillId="0" borderId="29" xfId="21" applyFont="true" applyBorder="true" applyAlignment="true" applyProtection="true">
      <alignment horizontal="center" vertical="bottom" textRotation="0" wrapText="false" indent="0" shrinkToFit="false"/>
      <protection locked="true" hidden="true"/>
    </xf>
    <xf numFmtId="173" fontId="0" fillId="0" borderId="30" xfId="21" applyFont="true" applyBorder="true" applyAlignment="true" applyProtection="true">
      <alignment horizontal="center" vertical="bottom" textRotation="0" wrapText="false" indent="0" shrinkToFit="false"/>
      <protection locked="true" hidden="true"/>
    </xf>
    <xf numFmtId="173" fontId="5" fillId="0" borderId="31" xfId="21" applyFont="true" applyBorder="true" applyAlignment="true" applyProtection="true">
      <alignment horizontal="center" vertical="bottom" textRotation="0" wrapText="false" indent="0" shrinkToFit="false"/>
      <protection locked="true" hidden="true"/>
    </xf>
    <xf numFmtId="173" fontId="0" fillId="0" borderId="26" xfId="21" applyFont="true" applyBorder="true" applyAlignment="true" applyProtection="true">
      <alignment horizontal="center" vertical="bottom" textRotation="0" wrapText="false" indent="0" shrinkToFit="false"/>
      <protection locked="true" hidden="true"/>
    </xf>
    <xf numFmtId="173" fontId="5" fillId="0" borderId="0" xfId="21" applyFont="true" applyBorder="true" applyAlignment="true" applyProtection="true">
      <alignment horizontal="center" vertical="bottom" textRotation="0" wrapText="false" indent="0" shrinkToFit="false"/>
      <protection locked="true" hidden="true"/>
    </xf>
    <xf numFmtId="173" fontId="0" fillId="0" borderId="28" xfId="21" applyFont="true" applyBorder="true" applyAlignment="true" applyProtection="true">
      <alignment horizontal="center" vertical="bottom" textRotation="0" wrapText="false" indent="0" shrinkToFit="false"/>
      <protection locked="true" hidden="true"/>
    </xf>
    <xf numFmtId="173" fontId="0" fillId="0" borderId="31" xfId="21" applyFont="true" applyBorder="true" applyAlignment="true" applyProtection="true">
      <alignment horizontal="center" vertical="bottom" textRotation="0" wrapText="false" indent="0" shrinkToFit="false"/>
      <protection locked="true" hidden="true"/>
    </xf>
    <xf numFmtId="164" fontId="0" fillId="0" borderId="25" xfId="21" applyFont="true" applyBorder="true" applyAlignment="true" applyProtection="true">
      <alignment horizontal="center" vertical="bottom" textRotation="0" wrapText="false" indent="0" shrinkToFit="false"/>
      <protection locked="true" hidden="true"/>
    </xf>
    <xf numFmtId="164" fontId="0" fillId="0" borderId="26" xfId="21" applyFont="true" applyBorder="true" applyAlignment="true" applyProtection="true">
      <alignment horizontal="center" vertical="bottom" textRotation="0" wrapText="false" indent="0" shrinkToFit="false"/>
      <protection locked="true" hidden="true"/>
    </xf>
    <xf numFmtId="164" fontId="0" fillId="0" borderId="28" xfId="21" applyFont="true" applyBorder="true" applyAlignment="true" applyProtection="true">
      <alignment horizontal="center" vertical="bottom" textRotation="0" wrapText="false" indent="0" shrinkToFit="false"/>
      <protection locked="true" hidden="true"/>
    </xf>
    <xf numFmtId="165" fontId="0" fillId="0" borderId="30" xfId="21" applyFont="true" applyBorder="true" applyAlignment="true" applyProtection="true">
      <alignment horizontal="center" vertical="bottom" textRotation="0" wrapText="false" indent="0" shrinkToFit="false"/>
      <protection locked="true" hidden="true"/>
    </xf>
    <xf numFmtId="165" fontId="0" fillId="0" borderId="31" xfId="21" applyFont="true" applyBorder="true" applyAlignment="true" applyProtection="true">
      <alignment horizontal="center" vertical="bottom" textRotation="0" wrapText="false" indent="0" shrinkToFit="false"/>
      <protection locked="true" hidden="true"/>
    </xf>
    <xf numFmtId="164" fontId="5" fillId="0" borderId="26" xfId="21" applyFont="true" applyBorder="true" applyAlignment="true" applyProtection="true">
      <alignment horizontal="center" vertical="bottom" textRotation="0" wrapText="false" indent="0" shrinkToFit="false"/>
      <protection locked="true" hidden="true"/>
    </xf>
    <xf numFmtId="165" fontId="5" fillId="0" borderId="28" xfId="21" applyFont="true" applyBorder="true" applyAlignment="true" applyProtection="true">
      <alignment horizontal="center" vertical="bottom" textRotation="0" wrapText="false" indent="0" shrinkToFit="false"/>
      <protection locked="true" hidden="true"/>
    </xf>
    <xf numFmtId="174" fontId="0" fillId="0" borderId="24" xfId="21" applyFont="true" applyBorder="true" applyAlignment="true" applyProtection="true">
      <alignment horizontal="center" vertical="bottom" textRotation="0" wrapText="false" indent="0" shrinkToFit="false"/>
      <protection locked="true" hidden="true"/>
    </xf>
    <xf numFmtId="174" fontId="0" fillId="0" borderId="29" xfId="21" applyFont="true" applyBorder="true" applyAlignment="true" applyProtection="true">
      <alignment horizontal="center" vertical="bottom" textRotation="0" wrapText="false" indent="0" shrinkToFit="false"/>
      <protection locked="true" hidden="true"/>
    </xf>
    <xf numFmtId="179" fontId="0" fillId="0" borderId="24" xfId="21" applyFont="true" applyBorder="true" applyAlignment="true" applyProtection="true">
      <alignment horizontal="center" vertical="bottom" textRotation="0" wrapText="false" indent="0" shrinkToFit="false"/>
      <protection locked="true" hidden="true"/>
    </xf>
    <xf numFmtId="179" fontId="0" fillId="0" borderId="25" xfId="21" applyFont="true" applyBorder="true" applyAlignment="true" applyProtection="true">
      <alignment horizontal="center" vertical="bottom" textRotation="0" wrapText="false" indent="0" shrinkToFit="false"/>
      <protection locked="true" hidden="true"/>
    </xf>
    <xf numFmtId="179" fontId="0" fillId="0" borderId="27" xfId="21" applyFont="true" applyBorder="true" applyAlignment="true" applyProtection="true">
      <alignment horizontal="center" vertical="bottom" textRotation="0" wrapText="false" indent="0" shrinkToFit="false"/>
      <protection locked="true" hidden="true"/>
    </xf>
    <xf numFmtId="179" fontId="0" fillId="0" borderId="28" xfId="21" applyFont="true" applyBorder="true" applyAlignment="true" applyProtection="true">
      <alignment horizontal="center" vertical="bottom" textRotation="0" wrapText="false" indent="0" shrinkToFit="false"/>
      <protection locked="true" hidden="true"/>
    </xf>
    <xf numFmtId="165" fontId="5" fillId="0" borderId="31" xfId="21" applyFont="true" applyBorder="true" applyAlignment="true" applyProtection="true">
      <alignment horizontal="center" vertical="bottom" textRotation="0" wrapText="false" indent="0" shrinkToFit="false"/>
      <protection locked="true" hidden="true"/>
    </xf>
    <xf numFmtId="179" fontId="0" fillId="0" borderId="0" xfId="21" applyFont="true" applyBorder="true" applyAlignment="true" applyProtection="true">
      <alignment horizontal="center" vertical="bottom" textRotation="0" wrapText="false" indent="0" shrinkToFit="false"/>
      <protection locked="true" hidden="true"/>
    </xf>
    <xf numFmtId="164" fontId="5" fillId="0" borderId="0" xfId="21" applyFont="true" applyBorder="true" applyAlignment="true" applyProtection="true">
      <alignment horizontal="center" vertical="bottom" textRotation="0" wrapText="false" indent="0" shrinkToFit="false"/>
      <protection locked="true" hidden="true"/>
    </xf>
    <xf numFmtId="164" fontId="5" fillId="0" borderId="0" xfId="21" applyFont="true" applyBorder="false" applyAlignment="false" applyProtection="true">
      <alignment horizontal="general" vertical="bottom" textRotation="0" wrapText="false" indent="0" shrinkToFit="false"/>
      <protection locked="true" hidden="true"/>
    </xf>
    <xf numFmtId="164" fontId="0" fillId="0" borderId="26" xfId="21" applyFont="true" applyBorder="true" applyAlignment="true" applyProtection="false">
      <alignment horizontal="center" vertical="bottom" textRotation="0" wrapText="false" indent="0" shrinkToFit="false"/>
      <protection locked="true" hidden="false"/>
    </xf>
    <xf numFmtId="165" fontId="0" fillId="0" borderId="28" xfId="21" applyFont="true" applyBorder="true" applyAlignment="true" applyProtection="false">
      <alignment horizontal="center" vertical="bottom" textRotation="0" wrapText="false" indent="0" shrinkToFit="false"/>
      <protection locked="true" hidden="false"/>
    </xf>
    <xf numFmtId="164" fontId="0" fillId="0" borderId="31" xfId="21" applyFont="true" applyBorder="true" applyAlignment="true" applyProtection="false">
      <alignment horizontal="center" vertical="bottom" textRotation="0" wrapText="false" indent="0" shrinkToFit="false"/>
      <protection locked="true" hidden="false"/>
    </xf>
    <xf numFmtId="164" fontId="0" fillId="0" borderId="0" xfId="21" applyFont="true" applyBorder="true" applyAlignment="false" applyProtection="true">
      <alignment horizontal="general" vertical="bottom" textRotation="0" wrapText="false" indent="0" shrinkToFit="false"/>
      <protection locked="false" hidden="false"/>
    </xf>
    <xf numFmtId="164" fontId="14" fillId="0" borderId="0" xfId="21" applyFont="true" applyBorder="false" applyAlignment="false" applyProtection="false">
      <alignment horizontal="general" vertical="bottom" textRotation="0" wrapText="false" indent="0" shrinkToFit="false"/>
      <protection locked="true" hidden="false"/>
    </xf>
    <xf numFmtId="165" fontId="4" fillId="0" borderId="0" xfId="21" applyFont="true" applyBorder="false" applyAlignment="true" applyProtection="false">
      <alignment horizontal="center" vertical="bottom" textRotation="0" wrapText="false" indent="0" shrinkToFit="false"/>
      <protection locked="true" hidden="false"/>
    </xf>
    <xf numFmtId="165" fontId="0" fillId="0" borderId="0" xfId="21" applyFont="tru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center"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7"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5" fontId="4" fillId="0" borderId="0" xfId="0" applyFont="true" applyBorder="true" applyAlignment="true" applyProtection="true">
      <alignment horizontal="center" vertical="bottom" textRotation="0" wrapText="false" indent="0" shrinkToFit="false"/>
      <protection locked="true" hidden="true"/>
    </xf>
    <xf numFmtId="165"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5" fontId="4" fillId="3" borderId="5" xfId="0" applyFont="true" applyBorder="true" applyAlignment="true" applyProtection="true">
      <alignment horizontal="center" vertical="bottom" textRotation="0" wrapText="false" indent="0" shrinkToFit="false"/>
      <protection locked="true" hidden="true"/>
    </xf>
    <xf numFmtId="164" fontId="0" fillId="0" borderId="7" xfId="0" applyFont="false" applyBorder="true" applyAlignment="true" applyProtection="false">
      <alignment horizontal="general" vertical="center" textRotation="0" wrapText="false" indent="0" shrinkToFit="false"/>
      <protection locked="true" hidden="false"/>
    </xf>
    <xf numFmtId="165" fontId="4" fillId="3" borderId="5" xfId="0" applyFont="true" applyBorder="true" applyAlignment="true" applyProtection="true">
      <alignment horizontal="center" vertical="center" textRotation="0" wrapText="false" indent="0" shrinkToFit="false"/>
      <protection locked="true" hidden="true"/>
    </xf>
    <xf numFmtId="165" fontId="9" fillId="7" borderId="5"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80" fontId="4" fillId="7" borderId="18" xfId="0" applyFont="true" applyBorder="true" applyAlignment="true" applyProtection="true">
      <alignment horizontal="center" vertical="center" textRotation="0" wrapText="false" indent="0" shrinkToFit="false"/>
      <protection locked="true" hidden="false"/>
    </xf>
    <xf numFmtId="165" fontId="4" fillId="3" borderId="17" xfId="20" applyFont="true" applyBorder="true" applyAlignment="true" applyProtection="true">
      <alignment horizontal="center" vertical="center" textRotation="0" wrapText="false" indent="0" shrinkToFit="false"/>
      <protection locked="true" hidden="true"/>
    </xf>
    <xf numFmtId="164" fontId="4" fillId="7" borderId="5"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81" fontId="4" fillId="7" borderId="18" xfId="0" applyFont="true" applyBorder="true" applyAlignment="true" applyProtection="false">
      <alignment horizontal="center" vertical="center" textRotation="0" wrapText="false" indent="0" shrinkToFit="false"/>
      <protection locked="true" hidden="false"/>
    </xf>
    <xf numFmtId="164" fontId="4" fillId="3" borderId="17" xfId="0" applyFont="true" applyBorder="true" applyAlignment="true" applyProtection="true">
      <alignment horizontal="center" vertical="center" textRotation="0" wrapText="false" indent="0" shrinkToFit="false"/>
      <protection locked="true" hidden="true"/>
    </xf>
    <xf numFmtId="164" fontId="4" fillId="7" borderId="5" xfId="0" applyFont="true" applyBorder="true" applyAlignment="true" applyProtection="true">
      <alignment horizontal="center" vertical="center" textRotation="0" wrapText="false" indent="0" shrinkToFit="false"/>
      <protection locked="false" hidden="false"/>
    </xf>
    <xf numFmtId="182" fontId="4" fillId="7" borderId="5" xfId="0" applyFont="true" applyBorder="true" applyAlignment="true" applyProtection="true">
      <alignment horizontal="center" vertical="center" textRotation="0" wrapText="false" indent="0" shrinkToFit="false"/>
      <protection locked="false" hidden="false"/>
    </xf>
    <xf numFmtId="183" fontId="4" fillId="7" borderId="5" xfId="0" applyFont="true" applyBorder="true" applyAlignment="true" applyProtection="true">
      <alignment horizontal="center" vertical="center" textRotation="0" wrapText="false" indent="0" shrinkToFit="false"/>
      <protection locked="false" hidden="false"/>
    </xf>
    <xf numFmtId="164" fontId="8" fillId="0" borderId="0" xfId="0" applyFont="true" applyBorder="true" applyAlignment="true" applyProtection="false">
      <alignment horizontal="general" vertical="center" textRotation="0" wrapText="false" indent="0" shrinkToFit="false"/>
      <protection locked="true" hidden="false"/>
    </xf>
    <xf numFmtId="165" fontId="4" fillId="3" borderId="18" xfId="0" applyFont="true" applyBorder="true" applyAlignment="true" applyProtection="true">
      <alignment horizontal="center" vertical="bottom" textRotation="0" wrapText="false" indent="0" shrinkToFit="false"/>
      <protection locked="true" hidden="true"/>
    </xf>
    <xf numFmtId="164" fontId="4" fillId="0" borderId="0" xfId="0" applyFont="true" applyBorder="true" applyAlignment="true" applyProtection="false">
      <alignment horizontal="general" vertical="center" textRotation="0" wrapText="false" indent="0" shrinkToFit="false"/>
      <protection locked="true" hidden="false"/>
    </xf>
    <xf numFmtId="172" fontId="0" fillId="0" borderId="0" xfId="0" applyFont="true" applyBorder="true" applyAlignment="true" applyProtection="false">
      <alignment horizontal="center" vertical="center" textRotation="0" wrapText="false" indent="0" shrinkToFit="false"/>
      <protection locked="true" hidden="false"/>
    </xf>
    <xf numFmtId="165" fontId="4" fillId="5" borderId="18" xfId="0" applyFont="true" applyBorder="true" applyAlignment="true" applyProtection="true">
      <alignment horizontal="center" vertical="center" textRotation="0" wrapText="false" indent="0" shrinkToFit="false"/>
      <protection locked="true" hidden="true"/>
    </xf>
    <xf numFmtId="164" fontId="32" fillId="5" borderId="18" xfId="0" applyFont="true" applyBorder="true" applyAlignment="true" applyProtection="true">
      <alignment horizontal="center" vertical="center" textRotation="0" wrapText="false" indent="0" shrinkToFit="false"/>
      <protection locked="true" hidden="true"/>
    </xf>
    <xf numFmtId="181" fontId="4" fillId="5" borderId="19" xfId="0" applyFont="true" applyBorder="true" applyAlignment="true" applyProtection="false">
      <alignment horizontal="center" vertical="center" textRotation="0" wrapText="false" indent="0" shrinkToFit="false"/>
      <protection locked="true" hidden="false"/>
    </xf>
    <xf numFmtId="165" fontId="33" fillId="3" borderId="5" xfId="0" applyFont="true" applyBorder="true" applyAlignment="true" applyProtection="true">
      <alignment horizontal="center" vertical="bottom" textRotation="0" wrapText="false" indent="0" shrinkToFit="false"/>
      <protection locked="true" hidden="true"/>
    </xf>
    <xf numFmtId="164" fontId="12" fillId="4" borderId="6" xfId="0" applyFont="true" applyBorder="true" applyAlignment="true" applyProtection="true">
      <alignment horizontal="center" vertical="bottom" textRotation="0" wrapText="false" indent="0" shrinkToFit="false"/>
      <protection locked="false" hidden="false"/>
    </xf>
    <xf numFmtId="165" fontId="34" fillId="5" borderId="5" xfId="0" applyFont="true" applyBorder="true" applyAlignment="true" applyProtection="true">
      <alignment horizontal="center" vertical="center" textRotation="0" wrapText="false" indent="0" shrinkToFit="false"/>
      <protection locked="true" hidden="true"/>
    </xf>
    <xf numFmtId="179" fontId="0" fillId="6" borderId="5" xfId="0" applyFont="false" applyBorder="true" applyAlignment="true" applyProtection="false">
      <alignment horizontal="center" vertical="center" textRotation="0" wrapText="false" indent="0" shrinkToFit="false"/>
      <protection locked="true" hidden="false"/>
    </xf>
    <xf numFmtId="184" fontId="4" fillId="6" borderId="5" xfId="0" applyFont="true" applyBorder="true" applyAlignment="true" applyProtection="false">
      <alignment horizontal="center" vertical="center" textRotation="0" wrapText="false" indent="0" shrinkToFit="false"/>
      <protection locked="true" hidden="false"/>
    </xf>
    <xf numFmtId="170" fontId="0" fillId="6" borderId="5" xfId="0" applyFont="false" applyBorder="true" applyAlignment="true" applyProtection="false">
      <alignment horizontal="center" vertical="center" textRotation="0" wrapText="false" indent="0" shrinkToFit="false"/>
      <protection locked="true" hidden="false"/>
    </xf>
    <xf numFmtId="164" fontId="0" fillId="6" borderId="5" xfId="0" applyFont="false" applyBorder="true" applyAlignment="true" applyProtection="false">
      <alignment horizontal="general" vertical="center" textRotation="0" wrapText="false" indent="0" shrinkToFit="false"/>
      <protection locked="true" hidden="false"/>
    </xf>
    <xf numFmtId="165" fontId="4" fillId="3" borderId="24" xfId="0" applyFont="true" applyBorder="true" applyAlignment="true" applyProtection="true">
      <alignment horizontal="center" vertical="center" textRotation="0" wrapText="false" indent="0" shrinkToFit="false"/>
      <protection locked="true" hidden="true"/>
    </xf>
    <xf numFmtId="180" fontId="4" fillId="7" borderId="18" xfId="0" applyFont="true" applyBorder="true" applyAlignment="true" applyProtection="false">
      <alignment horizontal="center" vertical="center" textRotation="0" wrapText="false" indent="0" shrinkToFit="false"/>
      <protection locked="true" hidden="false"/>
    </xf>
    <xf numFmtId="180" fontId="4" fillId="4" borderId="18" xfId="0" applyFont="true" applyBorder="true" applyAlignment="true" applyProtection="true">
      <alignment horizontal="center" vertical="center" textRotation="0" wrapText="false" indent="0" shrinkToFit="false"/>
      <protection locked="false" hidden="false"/>
    </xf>
    <xf numFmtId="185" fontId="4" fillId="6" borderId="5" xfId="0" applyFont="true" applyBorder="true" applyAlignment="true" applyProtection="false">
      <alignment horizontal="center" vertical="center" textRotation="0" wrapText="false" indent="0" shrinkToFit="false"/>
      <protection locked="true" hidden="false"/>
    </xf>
    <xf numFmtId="186" fontId="4" fillId="6" borderId="5" xfId="0" applyFont="true" applyBorder="true" applyAlignment="true" applyProtection="false">
      <alignment horizontal="center" vertical="center" textRotation="0" wrapText="false" indent="0" shrinkToFit="false"/>
      <protection locked="true" hidden="false"/>
    </xf>
    <xf numFmtId="165" fontId="4" fillId="3" borderId="5" xfId="0" applyFont="true" applyBorder="true" applyAlignment="true" applyProtection="false">
      <alignment horizontal="center" vertical="center" textRotation="0" wrapText="false" indent="0" shrinkToFit="false"/>
      <protection locked="true" hidden="false"/>
    </xf>
    <xf numFmtId="187" fontId="4" fillId="4" borderId="5" xfId="0" applyFont="true" applyBorder="true" applyAlignment="true" applyProtection="false">
      <alignment horizontal="center" vertical="center" textRotation="0" wrapText="false" indent="0" shrinkToFit="false"/>
      <protection locked="true" hidden="false"/>
    </xf>
    <xf numFmtId="164" fontId="0" fillId="4" borderId="5" xfId="0" applyFont="false" applyBorder="true" applyAlignment="true" applyProtection="false">
      <alignment horizontal="general" vertical="center" textRotation="0" wrapText="false" indent="0" shrinkToFit="false"/>
      <protection locked="true" hidden="false"/>
    </xf>
    <xf numFmtId="165" fontId="35" fillId="5" borderId="32" xfId="0" applyFont="true" applyBorder="true" applyAlignment="true" applyProtection="true">
      <alignment horizontal="center" vertical="center" textRotation="0" wrapText="false" indent="0" shrinkToFit="false"/>
      <protection locked="true" hidden="true"/>
    </xf>
    <xf numFmtId="187" fontId="0" fillId="6" borderId="32" xfId="0" applyFont="true" applyBorder="true" applyAlignment="true" applyProtection="false">
      <alignment horizontal="center" vertical="center" textRotation="0" wrapText="false" indent="0" shrinkToFit="false"/>
      <protection locked="true" hidden="false"/>
    </xf>
    <xf numFmtId="178" fontId="4" fillId="6" borderId="32" xfId="0" applyFont="true" applyBorder="true" applyAlignment="true" applyProtection="false">
      <alignment horizontal="center" vertical="center" textRotation="0" wrapText="false" indent="0" shrinkToFit="false"/>
      <protection locked="true" hidden="false"/>
    </xf>
    <xf numFmtId="178" fontId="0" fillId="6" borderId="32" xfId="0" applyFont="true" applyBorder="true" applyAlignment="true" applyProtection="false">
      <alignment horizontal="center" vertical="center" textRotation="0" wrapText="false" indent="0" shrinkToFit="false"/>
      <protection locked="true" hidden="false"/>
    </xf>
    <xf numFmtId="185" fontId="4" fillId="6" borderId="32" xfId="0" applyFont="true" applyBorder="true" applyAlignment="true" applyProtection="false">
      <alignment horizontal="center" vertical="center" textRotation="0" wrapText="false" indent="0" shrinkToFit="false"/>
      <protection locked="true" hidden="false"/>
    </xf>
    <xf numFmtId="170" fontId="0" fillId="6" borderId="32" xfId="0" applyFont="false" applyBorder="true" applyAlignment="true" applyProtection="false">
      <alignment horizontal="center" vertical="center" textRotation="0" wrapText="false" indent="0" shrinkToFit="false"/>
      <protection locked="true" hidden="false"/>
    </xf>
    <xf numFmtId="188" fontId="4" fillId="6" borderId="5" xfId="0" applyFont="true" applyBorder="true" applyAlignment="true" applyProtection="false">
      <alignment horizontal="center" vertical="center" textRotation="0" wrapText="false" indent="0" shrinkToFit="false"/>
      <protection locked="true" hidden="false"/>
    </xf>
    <xf numFmtId="165" fontId="4" fillId="3" borderId="29" xfId="0" applyFont="true" applyBorder="true" applyAlignment="true" applyProtection="true">
      <alignment horizontal="center" vertical="center" textRotation="0" wrapText="false" indent="0" shrinkToFit="false"/>
      <protection locked="true" hidden="true"/>
    </xf>
    <xf numFmtId="189" fontId="4" fillId="4" borderId="9" xfId="0" applyFont="true" applyBorder="true" applyAlignment="true" applyProtection="true">
      <alignment horizontal="center" vertical="center" textRotation="0" wrapText="false" indent="0" shrinkToFit="false"/>
      <protection locked="false" hidden="false"/>
    </xf>
    <xf numFmtId="187" fontId="4" fillId="6" borderId="5" xfId="0" applyFont="true" applyBorder="true" applyAlignment="true" applyProtection="false">
      <alignment horizontal="center" vertical="center" textRotation="0" wrapText="false" indent="0" shrinkToFit="false"/>
      <protection locked="true" hidden="false"/>
    </xf>
    <xf numFmtId="178" fontId="4" fillId="6" borderId="5" xfId="0" applyFont="true" applyBorder="true" applyAlignment="true" applyProtection="false">
      <alignment horizontal="center" vertical="center" textRotation="0" wrapText="false" indent="0" shrinkToFit="false"/>
      <protection locked="true" hidden="false"/>
    </xf>
    <xf numFmtId="178" fontId="0" fillId="6" borderId="5" xfId="0" applyFont="true" applyBorder="true" applyAlignment="true" applyProtection="false">
      <alignment horizontal="center" vertical="center" textRotation="0" wrapText="false" indent="0" shrinkToFit="false"/>
      <protection locked="true" hidden="false"/>
    </xf>
    <xf numFmtId="185" fontId="0" fillId="6" borderId="5" xfId="0" applyFont="true" applyBorder="true" applyAlignment="true" applyProtection="false">
      <alignment horizontal="center" vertical="center" textRotation="0" wrapText="false" indent="0" shrinkToFit="false"/>
      <protection locked="true" hidden="false"/>
    </xf>
    <xf numFmtId="170" fontId="0" fillId="6" borderId="5" xfId="0" applyFont="true" applyBorder="true" applyAlignment="true" applyProtection="false">
      <alignment horizontal="center" vertical="center" textRotation="0" wrapText="false" indent="0" shrinkToFit="false"/>
      <protection locked="true" hidden="false"/>
    </xf>
    <xf numFmtId="190" fontId="4" fillId="4" borderId="5" xfId="0" applyFont="true" applyBorder="true" applyAlignment="true" applyProtection="true">
      <alignment horizontal="center" vertical="center" textRotation="0" wrapText="false" indent="0" shrinkToFit="false"/>
      <protection locked="false" hidden="false"/>
    </xf>
    <xf numFmtId="191" fontId="4" fillId="4" borderId="5" xfId="0" applyFont="true" applyBorder="true" applyAlignment="true" applyProtection="true">
      <alignment horizontal="center" vertical="center" textRotation="0" wrapText="false" indent="0" shrinkToFit="false"/>
      <protection locked="false" hidden="false"/>
    </xf>
    <xf numFmtId="165" fontId="36" fillId="5" borderId="32" xfId="0" applyFont="true" applyBorder="true" applyAlignment="true" applyProtection="true">
      <alignment horizontal="center" vertical="center" textRotation="0" wrapText="false" indent="0" shrinkToFit="false"/>
      <protection locked="true" hidden="true"/>
    </xf>
    <xf numFmtId="178" fontId="0" fillId="6" borderId="18" xfId="0" applyFont="true" applyBorder="true" applyAlignment="true" applyProtection="false">
      <alignment horizontal="center" vertical="center" textRotation="0" wrapText="false" indent="0" shrinkToFit="false"/>
      <protection locked="true" hidden="false"/>
    </xf>
    <xf numFmtId="165" fontId="8" fillId="0" borderId="0" xfId="0" applyFont="true" applyBorder="false" applyAlignment="true" applyProtection="false">
      <alignment horizontal="general" vertical="center" textRotation="0" wrapText="false" indent="0" shrinkToFit="false"/>
      <protection locked="true" hidden="false"/>
    </xf>
    <xf numFmtId="165" fontId="12" fillId="5" borderId="5" xfId="0" applyFont="true" applyBorder="true" applyAlignment="true" applyProtection="true">
      <alignment horizontal="center" vertical="center" textRotation="0" wrapText="false" indent="0" shrinkToFit="false"/>
      <protection locked="true" hidden="true"/>
    </xf>
    <xf numFmtId="187" fontId="0" fillId="6" borderId="5" xfId="0" applyFont="true" applyBorder="true" applyAlignment="true" applyProtection="false">
      <alignment horizontal="center" vertical="center" textRotation="0" wrapText="false" indent="0" shrinkToFit="false"/>
      <protection locked="true" hidden="false"/>
    </xf>
    <xf numFmtId="164" fontId="0" fillId="6" borderId="17" xfId="0" applyFont="true" applyBorder="true" applyAlignment="true" applyProtection="false">
      <alignment horizontal="center" vertical="center" textRotation="0" wrapText="false" indent="0" shrinkToFit="false"/>
      <protection locked="true" hidden="false"/>
    </xf>
    <xf numFmtId="184" fontId="0" fillId="6" borderId="19" xfId="0" applyFont="true" applyBorder="true" applyAlignment="true" applyProtection="false">
      <alignment horizontal="center" vertical="center" textRotation="0" wrapText="false" indent="0" shrinkToFit="false"/>
      <protection locked="true" hidden="false"/>
    </xf>
    <xf numFmtId="192" fontId="0" fillId="6" borderId="5" xfId="0" applyFont="false" applyBorder="true" applyAlignment="true" applyProtection="false">
      <alignment horizontal="center" vertical="center" textRotation="0" wrapText="false" indent="0" shrinkToFit="false"/>
      <protection locked="true" hidden="false"/>
    </xf>
    <xf numFmtId="193" fontId="4" fillId="7" borderId="5" xfId="0" applyFont="true" applyBorder="true" applyAlignment="true" applyProtection="true">
      <alignment horizontal="center" vertical="center" textRotation="0" wrapText="false" indent="0" shrinkToFit="false"/>
      <protection locked="fals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true"/>
    </xf>
    <xf numFmtId="187" fontId="4" fillId="0" borderId="0" xfId="0" applyFont="true" applyBorder="true" applyAlignment="true" applyProtection="false">
      <alignment horizontal="center" vertical="center" textRotation="0" wrapText="false" indent="0" shrinkToFit="false"/>
      <protection locked="true" hidden="false"/>
    </xf>
    <xf numFmtId="181" fontId="4" fillId="0" borderId="0" xfId="0" applyFont="true" applyBorder="true" applyAlignment="true" applyProtection="false">
      <alignment horizontal="right" vertical="center" textRotation="0" wrapText="false" indent="0" shrinkToFit="false"/>
      <protection locked="true" hidden="false"/>
    </xf>
    <xf numFmtId="165" fontId="4" fillId="5" borderId="17" xfId="0" applyFont="true" applyBorder="true" applyAlignment="true" applyProtection="true">
      <alignment horizontal="center" vertical="center" textRotation="0" wrapText="false" indent="0" shrinkToFit="false"/>
      <protection locked="true" hidden="true"/>
    </xf>
    <xf numFmtId="194" fontId="4" fillId="6" borderId="5" xfId="0" applyFont="true" applyBorder="true" applyAlignment="true" applyProtection="false">
      <alignment horizontal="center" vertical="center" textRotation="0" wrapText="false" indent="0" shrinkToFit="false"/>
      <protection locked="true" hidden="false"/>
    </xf>
    <xf numFmtId="181" fontId="37" fillId="0" borderId="0" xfId="0" applyFont="true" applyBorder="true" applyAlignment="true" applyProtection="false">
      <alignment horizontal="general" vertical="center" textRotation="0" wrapText="false" indent="0" shrinkToFit="false"/>
      <protection locked="true" hidden="false"/>
    </xf>
    <xf numFmtId="181" fontId="0" fillId="0" borderId="7" xfId="0" applyFont="false" applyBorder="true" applyAlignment="true" applyProtection="false">
      <alignment horizontal="right" vertical="center" textRotation="0" wrapText="false" indent="0" shrinkToFit="false"/>
      <protection locked="true" hidden="false"/>
    </xf>
    <xf numFmtId="164" fontId="4" fillId="4" borderId="5" xfId="21" applyFont="true" applyBorder="true" applyAlignment="true" applyProtection="true">
      <alignment horizontal="center" vertical="center" textRotation="0" wrapText="false" indent="0" shrinkToFit="false"/>
      <protection locked="false" hidden="false"/>
    </xf>
    <xf numFmtId="164" fontId="16" fillId="0" borderId="7" xfId="0" applyFont="true" applyBorder="true" applyAlignment="true" applyProtection="false">
      <alignment horizontal="right" vertical="center"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95" fontId="4" fillId="6" borderId="5" xfId="0" applyFont="true" applyBorder="true" applyAlignment="true" applyProtection="false">
      <alignment horizontal="center" vertical="center" textRotation="0" wrapText="false" indent="0" shrinkToFit="false"/>
      <protection locked="true" hidden="false"/>
    </xf>
    <xf numFmtId="165" fontId="16" fillId="0" borderId="7" xfId="0" applyFont="true" applyBorder="true" applyAlignment="true" applyProtection="false">
      <alignment horizontal="right" vertical="center" textRotation="0" wrapText="false" indent="0" shrinkToFit="false"/>
      <protection locked="true" hidden="false"/>
    </xf>
    <xf numFmtId="164" fontId="11" fillId="0" borderId="7" xfId="0" applyFont="true" applyBorder="true" applyAlignment="true" applyProtection="false">
      <alignment horizontal="right" vertical="center" textRotation="0" wrapText="false" indent="0" shrinkToFit="false"/>
      <protection locked="true" hidden="false"/>
    </xf>
    <xf numFmtId="164" fontId="0" fillId="0" borderId="21" xfId="0" applyFont="false" applyBorder="true" applyAlignment="true" applyProtection="false">
      <alignment horizontal="general" vertical="center" textRotation="0" wrapText="false" indent="0" shrinkToFit="false"/>
      <protection locked="true" hidden="false"/>
    </xf>
    <xf numFmtId="165" fontId="0" fillId="0" borderId="22" xfId="0" applyFont="true" applyBorder="true" applyAlignment="true" applyProtection="false">
      <alignment horizontal="general" vertical="center" textRotation="0" wrapText="false" indent="0" shrinkToFit="false"/>
      <protection locked="true" hidden="false"/>
    </xf>
    <xf numFmtId="164" fontId="0" fillId="0" borderId="22" xfId="0" applyFont="false" applyBorder="true" applyAlignment="true" applyProtection="true">
      <alignment horizontal="general" vertical="center" textRotation="0" wrapText="false" indent="0" shrinkToFit="false"/>
      <protection locked="false" hidden="false"/>
    </xf>
    <xf numFmtId="164" fontId="11" fillId="0" borderId="23" xfId="0" applyFont="true" applyBorder="true" applyAlignment="true" applyProtection="true">
      <alignment horizontal="right" vertical="center" textRotation="0" wrapText="false" indent="0" shrinkToFit="false"/>
      <protection locked="true" hidden="false"/>
    </xf>
    <xf numFmtId="165" fontId="0" fillId="0" borderId="18" xfId="0" applyFont="false" applyBorder="true" applyAlignment="true" applyProtection="false">
      <alignment horizontal="center" vertical="center" textRotation="0" wrapText="false" indent="0" shrinkToFit="false"/>
      <protection locked="true" hidden="false"/>
    </xf>
    <xf numFmtId="165" fontId="4" fillId="5" borderId="19" xfId="0" applyFont="true" applyBorder="true" applyAlignment="true" applyProtection="true">
      <alignment horizontal="center" vertical="center" textRotation="0" wrapText="false" indent="0" shrinkToFit="false"/>
      <protection locked="true" hidden="true"/>
    </xf>
    <xf numFmtId="164" fontId="4" fillId="5" borderId="5" xfId="0" applyFont="true" applyBorder="true" applyAlignment="true" applyProtection="true">
      <alignment horizontal="center" vertical="center" textRotation="0" wrapText="false" indent="0" shrinkToFit="false"/>
      <protection locked="true" hidden="true"/>
    </xf>
    <xf numFmtId="164" fontId="32" fillId="5" borderId="5" xfId="0" applyFont="true" applyBorder="true" applyAlignment="true" applyProtection="true">
      <alignment horizontal="center" vertical="center" textRotation="0" wrapText="false" indent="0" shrinkToFit="false"/>
      <protection locked="true" hidden="true"/>
    </xf>
    <xf numFmtId="164" fontId="0" fillId="0" borderId="27" xfId="0" applyFont="false" applyBorder="true" applyAlignment="true" applyProtection="false">
      <alignment horizontal="general" vertical="center" textRotation="0" wrapText="false" indent="0" shrinkToFit="false"/>
      <protection locked="true" hidden="false"/>
    </xf>
    <xf numFmtId="164" fontId="0" fillId="0" borderId="28" xfId="0" applyFont="false" applyBorder="true" applyAlignment="true" applyProtection="false">
      <alignment horizontal="general" vertical="center" textRotation="0" wrapText="false" indent="0" shrinkToFit="false"/>
      <protection locked="true" hidden="false"/>
    </xf>
    <xf numFmtId="164" fontId="4" fillId="0" borderId="29" xfId="0" applyFont="true" applyBorder="true" applyAlignment="true" applyProtection="false">
      <alignment horizontal="general" vertical="center" textRotation="0" wrapText="false" indent="0" shrinkToFit="false"/>
      <protection locked="true" hidden="false"/>
    </xf>
    <xf numFmtId="172" fontId="0" fillId="0" borderId="31" xfId="0" applyFont="true" applyBorder="true" applyAlignment="true" applyProtection="false">
      <alignment horizontal="center" vertical="center" textRotation="0" wrapText="false" indent="0" shrinkToFit="false"/>
      <protection locked="true" hidden="false"/>
    </xf>
    <xf numFmtId="164" fontId="0" fillId="5" borderId="19" xfId="0" applyFont="true" applyBorder="true" applyAlignment="true" applyProtection="true">
      <alignment horizontal="center" vertical="center" textRotation="0" wrapText="false" indent="0" shrinkToFit="false"/>
      <protection locked="true" hidden="true"/>
    </xf>
    <xf numFmtId="164" fontId="0" fillId="5" borderId="5" xfId="0" applyFont="true" applyBorder="true" applyAlignment="true" applyProtection="true">
      <alignment horizontal="center" vertical="center" textRotation="0" wrapText="false" indent="0" shrinkToFit="false"/>
      <protection locked="true" hidden="true"/>
    </xf>
    <xf numFmtId="165" fontId="4" fillId="5" borderId="9" xfId="0" applyFont="true" applyBorder="true" applyAlignment="true" applyProtection="true">
      <alignment horizontal="center" vertical="center" textRotation="0" wrapText="false" indent="0" shrinkToFit="false"/>
      <protection locked="true" hidden="true"/>
    </xf>
    <xf numFmtId="164" fontId="0" fillId="7" borderId="5" xfId="0" applyFont="true" applyBorder="true" applyAlignment="true" applyProtection="true">
      <alignment horizontal="center" vertical="center" textRotation="0" wrapText="false" indent="0" shrinkToFit="false"/>
      <protection locked="false" hidden="false"/>
    </xf>
    <xf numFmtId="164" fontId="0" fillId="6" borderId="5" xfId="0" applyFont="true" applyBorder="true" applyAlignment="true" applyProtection="false">
      <alignment horizontal="center" vertical="center" textRotation="0" wrapText="false" indent="0" shrinkToFit="false"/>
      <protection locked="true" hidden="false"/>
    </xf>
    <xf numFmtId="165" fontId="4" fillId="6" borderId="5" xfId="0" applyFont="true" applyBorder="true" applyAlignment="true" applyProtection="true">
      <alignment horizontal="center" vertical="center" textRotation="0" wrapText="false" indent="0" shrinkToFit="false"/>
      <protection locked="true" hidden="false"/>
    </xf>
    <xf numFmtId="165" fontId="4" fillId="3" borderId="18" xfId="0" applyFont="true" applyBorder="true" applyAlignment="true" applyProtection="true">
      <alignment horizontal="center" vertical="center" textRotation="0" wrapText="false" indent="0" shrinkToFit="false"/>
      <protection locked="true" hidden="true"/>
    </xf>
    <xf numFmtId="173" fontId="4" fillId="6" borderId="5" xfId="0" applyFont="true" applyBorder="true" applyAlignment="true" applyProtection="false">
      <alignment horizontal="center" vertical="center" textRotation="0" wrapText="false" indent="0" shrinkToFit="false"/>
      <protection locked="true" hidden="false"/>
    </xf>
    <xf numFmtId="170" fontId="4" fillId="6" borderId="5" xfId="0" applyFont="true" applyBorder="true" applyAlignment="true" applyProtection="false">
      <alignment horizontal="center" vertical="center" textRotation="0" wrapText="false" indent="0" shrinkToFit="false"/>
      <protection locked="true" hidden="false"/>
    </xf>
    <xf numFmtId="169" fontId="4" fillId="4" borderId="9" xfId="0" applyFont="true" applyBorder="true" applyAlignment="true" applyProtection="true">
      <alignment horizontal="center" vertical="center" textRotation="0" wrapText="false" indent="0" shrinkToFit="false"/>
      <protection locked="false" hidden="false"/>
    </xf>
    <xf numFmtId="173" fontId="0" fillId="6" borderId="5" xfId="0" applyFont="false" applyBorder="true" applyAlignment="true" applyProtection="false">
      <alignment horizontal="center" vertical="center" textRotation="0" wrapText="false" indent="0" shrinkToFit="false"/>
      <protection locked="true" hidden="false"/>
    </xf>
    <xf numFmtId="173" fontId="0" fillId="6" borderId="5" xfId="0" applyFont="true" applyBorder="true" applyAlignment="true" applyProtection="false">
      <alignment horizontal="center" vertical="center" textRotation="0" wrapText="false" indent="0" shrinkToFit="false"/>
      <protection locked="true" hidden="false"/>
    </xf>
    <xf numFmtId="169" fontId="4" fillId="4" borderId="20" xfId="0" applyFont="true" applyBorder="true" applyAlignment="true" applyProtection="true">
      <alignment horizontal="center" vertical="center" textRotation="0" wrapText="false" indent="0" shrinkToFit="false"/>
      <protection locked="false" hidden="false"/>
    </xf>
    <xf numFmtId="170" fontId="0" fillId="6" borderId="32" xfId="0" applyFont="true" applyBorder="true" applyAlignment="true" applyProtection="false">
      <alignment horizontal="center" vertical="center" textRotation="0" wrapText="false" indent="0" shrinkToFit="false"/>
      <protection locked="true" hidden="false"/>
    </xf>
    <xf numFmtId="173" fontId="4" fillId="6" borderId="32" xfId="0" applyFont="true" applyBorder="true" applyAlignment="true" applyProtection="false">
      <alignment horizontal="center" vertical="center" textRotation="0" wrapText="false" indent="0" shrinkToFit="false"/>
      <protection locked="true" hidden="false"/>
    </xf>
    <xf numFmtId="190" fontId="4" fillId="6" borderId="9" xfId="0" applyFont="true" applyBorder="true" applyAlignment="true" applyProtection="false">
      <alignment horizontal="center" vertical="center" textRotation="0" wrapText="false" indent="0" shrinkToFit="false"/>
      <protection locked="true" hidden="false"/>
    </xf>
    <xf numFmtId="165" fontId="36" fillId="5" borderId="33" xfId="0" applyFont="true" applyBorder="true" applyAlignment="true" applyProtection="true">
      <alignment horizontal="center" vertical="center" textRotation="0" wrapText="false" indent="0" shrinkToFit="false"/>
      <protection locked="true" hidden="true"/>
    </xf>
    <xf numFmtId="173" fontId="4" fillId="6" borderId="33" xfId="0" applyFont="true" applyBorder="true" applyAlignment="true" applyProtection="false">
      <alignment horizontal="center" vertical="center" textRotation="0" wrapText="false" indent="0" shrinkToFit="false"/>
      <protection locked="true" hidden="false"/>
    </xf>
    <xf numFmtId="164" fontId="0" fillId="6" borderId="33" xfId="0" applyFont="true" applyBorder="true" applyAlignment="true" applyProtection="false">
      <alignment horizontal="center" vertical="center" textRotation="0" wrapText="false" indent="0" shrinkToFit="false"/>
      <protection locked="true" hidden="false"/>
    </xf>
    <xf numFmtId="173" fontId="0" fillId="6" borderId="33" xfId="0" applyFont="true" applyBorder="true" applyAlignment="true" applyProtection="false">
      <alignment horizontal="center" vertical="center" textRotation="0" wrapText="false" indent="0" shrinkToFit="false"/>
      <protection locked="true" hidden="false"/>
    </xf>
    <xf numFmtId="173" fontId="0" fillId="6" borderId="33" xfId="0" applyFont="false" applyBorder="true" applyAlignment="true" applyProtection="false">
      <alignment horizontal="center" vertical="center" textRotation="0" wrapText="false" indent="0" shrinkToFit="false"/>
      <protection locked="true" hidden="false"/>
    </xf>
    <xf numFmtId="170" fontId="0" fillId="6" borderId="33" xfId="0" applyFont="false" applyBorder="true" applyAlignment="true" applyProtection="false">
      <alignment horizontal="center" vertical="center" textRotation="0" wrapText="false" indent="0" shrinkToFit="false"/>
      <protection locked="true" hidden="false"/>
    </xf>
    <xf numFmtId="173" fontId="0" fillId="6" borderId="32" xfId="0" applyFont="true" applyBorder="true" applyAlignment="true" applyProtection="false">
      <alignment horizontal="center" vertical="center" textRotation="0" wrapText="false" indent="0" shrinkToFit="false"/>
      <protection locked="true" hidden="false"/>
    </xf>
    <xf numFmtId="165" fontId="35" fillId="5" borderId="33" xfId="0" applyFont="true" applyBorder="true" applyAlignment="true" applyProtection="true">
      <alignment horizontal="center" vertical="center" textRotation="0" wrapText="false" indent="0" shrinkToFit="false"/>
      <protection locked="true" hidden="true"/>
    </xf>
    <xf numFmtId="170" fontId="4" fillId="6" borderId="33" xfId="0" applyFont="true" applyBorder="true" applyAlignment="true" applyProtection="false">
      <alignment horizontal="center" vertical="center" textRotation="0" wrapText="false" indent="0" shrinkToFit="false"/>
      <protection locked="true" hidden="false"/>
    </xf>
    <xf numFmtId="164" fontId="0" fillId="0" borderId="29" xfId="0" applyFont="false" applyBorder="true" applyAlignment="true" applyProtection="false">
      <alignment horizontal="general" vertical="center" textRotation="0" wrapText="false" indent="0" shrinkToFit="false"/>
      <protection locked="true" hidden="false"/>
    </xf>
    <xf numFmtId="164" fontId="0" fillId="0" borderId="30" xfId="0" applyFont="false" applyBorder="true" applyAlignment="true" applyProtection="false">
      <alignment horizontal="general" vertical="center" textRotation="0" wrapText="false" indent="0" shrinkToFit="false"/>
      <protection locked="true" hidden="false"/>
    </xf>
    <xf numFmtId="164" fontId="0" fillId="0" borderId="31"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87"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89" fontId="0" fillId="0" borderId="0" xfId="0" applyFont="false" applyBorder="false" applyAlignment="true" applyProtection="false">
      <alignment horizontal="right" vertical="center" textRotation="0" wrapText="false" indent="0" shrinkToFit="false"/>
      <protection locked="true" hidden="false"/>
    </xf>
    <xf numFmtId="189" fontId="0" fillId="0" borderId="0" xfId="0" applyFont="false" applyBorder="false" applyAlignment="true" applyProtection="false">
      <alignment horizontal="general" vertical="center" textRotation="0" wrapText="false" indent="0" shrinkToFit="false"/>
      <protection locked="true" hidden="false"/>
    </xf>
    <xf numFmtId="164" fontId="0" fillId="0" borderId="26" xfId="0" applyFont="true" applyBorder="true" applyAlignment="true" applyProtection="false">
      <alignment horizontal="center" vertical="center" textRotation="0" wrapText="false" indent="0" shrinkToFit="false"/>
      <protection locked="true" hidden="false"/>
    </xf>
    <xf numFmtId="173" fontId="0" fillId="0" borderId="31" xfId="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73" fontId="0" fillId="0" borderId="29" xfId="0" applyFont="true" applyBorder="true" applyAlignment="true" applyProtection="false">
      <alignment horizontal="center" vertical="center" textRotation="0" wrapText="false" indent="0" shrinkToFit="false"/>
      <protection locked="true" hidden="false"/>
    </xf>
    <xf numFmtId="164" fontId="0" fillId="0" borderId="26" xfId="0" applyFont="true" applyBorder="true" applyAlignment="true" applyProtection="false">
      <alignment horizontal="center" vertical="center" textRotation="0" wrapText="false" indent="0" shrinkToFit="false"/>
      <protection locked="true" hidden="false"/>
    </xf>
    <xf numFmtId="173" fontId="0" fillId="0" borderId="28" xfId="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center" vertical="center" textRotation="0" wrapText="false" indent="0" shrinkToFit="false"/>
      <protection locked="true" hidden="false"/>
    </xf>
    <xf numFmtId="173" fontId="0" fillId="0" borderId="27" xfId="0" applyFont="true" applyBorder="true" applyAlignment="true" applyProtection="false">
      <alignment horizontal="center" vertical="center" textRotation="0" wrapText="false" indent="0" shrinkToFit="false"/>
      <protection locked="true" hidden="false"/>
    </xf>
    <xf numFmtId="164" fontId="0" fillId="0" borderId="31" xfId="0" applyFont="true" applyBorder="true" applyAlignment="true" applyProtection="false">
      <alignment horizontal="center" vertical="center" textRotation="0" wrapText="false" indent="0" shrinkToFit="false"/>
      <protection locked="true" hidden="false"/>
    </xf>
    <xf numFmtId="164" fontId="0" fillId="0" borderId="24" xfId="0" applyFont="false" applyBorder="true" applyAlignment="true" applyProtection="false">
      <alignment horizontal="general" vertical="center" textRotation="0" wrapText="false" indent="0" shrinkToFit="false"/>
      <protection locked="true" hidden="false"/>
    </xf>
    <xf numFmtId="164" fontId="0" fillId="0" borderId="26" xfId="0" applyFont="true" applyBorder="true" applyAlignment="true" applyProtection="false">
      <alignment horizontal="left" vertical="center" textRotation="0" wrapText="false" indent="0" shrinkToFit="false"/>
      <protection locked="true" hidden="false"/>
    </xf>
    <xf numFmtId="164" fontId="0" fillId="0" borderId="28" xfId="0" applyFont="true" applyBorder="true" applyAlignment="true" applyProtection="false">
      <alignment horizontal="left" vertical="center" textRotation="0" wrapText="false" indent="0" shrinkToFit="false"/>
      <protection locked="true" hidden="false"/>
    </xf>
    <xf numFmtId="170" fontId="0" fillId="0" borderId="27" xfId="0" applyFont="true" applyBorder="true" applyAlignment="true" applyProtection="false">
      <alignment horizontal="center" vertical="center" textRotation="0" wrapText="false" indent="0" shrinkToFit="false"/>
      <protection locked="true" hidden="false"/>
    </xf>
    <xf numFmtId="164" fontId="4" fillId="0" borderId="28"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right" vertical="center" textRotation="0" wrapText="false" indent="0" shrinkToFit="false"/>
      <protection locked="true" hidden="false"/>
    </xf>
    <xf numFmtId="179" fontId="0" fillId="0" borderId="28" xfId="0" applyFont="false" applyBorder="true" applyAlignment="true" applyProtection="false">
      <alignment horizontal="center" vertical="center" textRotation="0" wrapText="false" indent="0" shrinkToFit="false"/>
      <protection locked="true" hidden="false"/>
    </xf>
    <xf numFmtId="164" fontId="0" fillId="0" borderId="29" xfId="0" applyFont="true" applyBorder="true" applyAlignment="true" applyProtection="false">
      <alignment horizontal="right" vertical="center" textRotation="0" wrapText="false" indent="0" shrinkToFit="false"/>
      <protection locked="true" hidden="false"/>
    </xf>
    <xf numFmtId="179" fontId="0" fillId="0" borderId="31" xfId="0" applyFont="false" applyBorder="true" applyAlignment="true" applyProtection="false">
      <alignment horizontal="center" vertical="center" textRotation="0" wrapText="false" indent="0" shrinkToFit="false"/>
      <protection locked="true" hidden="false"/>
    </xf>
    <xf numFmtId="170" fontId="0" fillId="0" borderId="29" xfId="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right" vertical="center" textRotation="0" wrapText="false" indent="0" shrinkToFit="false"/>
      <protection locked="true" hidden="false"/>
    </xf>
    <xf numFmtId="179" fontId="0" fillId="0" borderId="26" xfId="0" applyFont="fals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center" vertical="center" textRotation="0" wrapText="false" indent="0" shrinkToFit="false"/>
      <protection locked="true" hidden="false"/>
    </xf>
    <xf numFmtId="173" fontId="0" fillId="0" borderId="0" xfId="0" applyFont="false" applyBorder="true" applyAlignment="true" applyProtection="false">
      <alignment horizontal="center" vertical="center" textRotation="0" wrapText="false" indent="0" shrinkToFit="false"/>
      <protection locked="true" hidden="false"/>
    </xf>
    <xf numFmtId="173" fontId="0" fillId="0" borderId="28" xfId="0" applyFont="false" applyBorder="true" applyAlignment="true" applyProtection="false">
      <alignment horizontal="center" vertical="center" textRotation="0" wrapText="false" indent="0" shrinkToFit="false"/>
      <protection locked="true" hidden="false"/>
    </xf>
    <xf numFmtId="173" fontId="0" fillId="0" borderId="30" xfId="0" applyFont="true" applyBorder="true" applyAlignment="true" applyProtection="false">
      <alignment horizontal="center" vertical="center" textRotation="0" wrapText="false" indent="0" shrinkToFit="false"/>
      <protection locked="true" hidden="false"/>
    </xf>
    <xf numFmtId="173" fontId="0" fillId="0" borderId="31" xfId="0" applyFont="false" applyBorder="true" applyAlignment="true" applyProtection="false">
      <alignment horizontal="center" vertical="center" textRotation="0" wrapText="false" indent="0" shrinkToFit="false"/>
      <protection locked="true" hidden="false"/>
    </xf>
    <xf numFmtId="165" fontId="0" fillId="0" borderId="27" xfId="0" applyFont="false" applyBorder="true" applyAlignment="true" applyProtection="false">
      <alignment horizontal="center" vertical="center" textRotation="0" wrapText="false" indent="0" shrinkToFit="false"/>
      <protection locked="true" hidden="false"/>
    </xf>
    <xf numFmtId="165" fontId="0" fillId="0" borderId="29" xfId="0" applyFont="false" applyBorder="true" applyAlignment="true" applyProtection="false">
      <alignment horizontal="center" vertical="center" textRotation="0" wrapText="false" indent="0" shrinkToFit="false"/>
      <protection locked="true" hidden="false"/>
    </xf>
    <xf numFmtId="164" fontId="5" fillId="0" borderId="25" xfId="0" applyFont="true" applyBorder="true" applyAlignment="true" applyProtection="false">
      <alignment horizontal="center" vertical="center" textRotation="0" wrapText="false" indent="0" shrinkToFit="false"/>
      <protection locked="true" hidden="false"/>
    </xf>
    <xf numFmtId="164" fontId="5" fillId="0" borderId="2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30" xfId="0" applyFont="false" applyBorder="true" applyAlignment="true" applyProtection="false">
      <alignment horizontal="center" vertical="center" textRotation="0" wrapText="false" indent="0" shrinkToFit="false"/>
      <protection locked="true" hidden="false"/>
    </xf>
    <xf numFmtId="173" fontId="0" fillId="0" borderId="30" xfId="0" applyFont="false" applyBorder="true" applyAlignment="true" applyProtection="false">
      <alignment horizontal="center" vertical="center" textRotation="0" wrapText="false" indent="0" shrinkToFit="false"/>
      <protection locked="true" hidden="false"/>
    </xf>
    <xf numFmtId="165" fontId="0" fillId="3" borderId="34" xfId="0" applyFont="true" applyBorder="true" applyAlignment="true" applyProtection="false">
      <alignment horizontal="center" vertical="bottom" textRotation="0" wrapText="false" indent="0" shrinkToFit="false"/>
      <protection locked="true" hidden="false"/>
    </xf>
    <xf numFmtId="164" fontId="0" fillId="7" borderId="35" xfId="0" applyFont="false" applyBorder="true" applyAlignment="true" applyProtection="false">
      <alignment horizontal="center" vertical="bottom" textRotation="0" wrapText="false" indent="0" shrinkToFit="false"/>
      <protection locked="true" hidden="false"/>
    </xf>
    <xf numFmtId="164" fontId="0" fillId="3" borderId="36" xfId="0" applyFont="true" applyBorder="true" applyAlignment="true" applyProtection="false">
      <alignment horizontal="center" vertical="bottom" textRotation="0" wrapText="false" indent="0" shrinkToFit="false"/>
      <protection locked="true" hidden="false"/>
    </xf>
    <xf numFmtId="196" fontId="0" fillId="7" borderId="37" xfId="0" applyFont="false" applyBorder="true" applyAlignment="true" applyProtection="false">
      <alignment horizontal="center" vertical="bottom" textRotation="0" wrapText="false" indent="0" shrinkToFit="false"/>
      <protection locked="true" hidden="false"/>
    </xf>
    <xf numFmtId="194" fontId="0" fillId="7" borderId="37" xfId="0" applyFont="false" applyBorder="true" applyAlignment="true" applyProtection="false">
      <alignment horizontal="center" vertical="bottom" textRotation="0" wrapText="false" indent="0" shrinkToFit="false"/>
      <protection locked="true" hidden="false"/>
    </xf>
    <xf numFmtId="180" fontId="0" fillId="7" borderId="37" xfId="0" applyFont="false" applyBorder="true" applyAlignment="true" applyProtection="false">
      <alignment horizontal="center" vertical="bottom" textRotation="0" wrapText="false" indent="0" shrinkToFit="false"/>
      <protection locked="true" hidden="false"/>
    </xf>
    <xf numFmtId="169" fontId="0" fillId="7" borderId="37" xfId="0" applyFont="false" applyBorder="true" applyAlignment="true" applyProtection="false">
      <alignment horizontal="center" vertical="bottom" textRotation="0" wrapText="false" indent="0" shrinkToFit="false"/>
      <protection locked="true" hidden="false"/>
    </xf>
    <xf numFmtId="164" fontId="0" fillId="7" borderId="37" xfId="0" applyFont="false" applyBorder="true" applyAlignment="true" applyProtection="false">
      <alignment horizontal="center" vertical="bottom" textRotation="0" wrapText="false" indent="0" shrinkToFit="false"/>
      <protection locked="true" hidden="false"/>
    </xf>
    <xf numFmtId="164" fontId="0" fillId="3" borderId="38" xfId="0" applyFont="true" applyBorder="true" applyAlignment="true" applyProtection="false">
      <alignment horizontal="center" vertical="bottom" textRotation="0" wrapText="false" indent="0" shrinkToFit="false"/>
      <protection locked="true" hidden="false"/>
    </xf>
    <xf numFmtId="187" fontId="0" fillId="7" borderId="37" xfId="0" applyFont="false" applyBorder="true" applyAlignment="true" applyProtection="false">
      <alignment horizontal="center" vertical="bottom" textRotation="0" wrapText="false" indent="0" shrinkToFit="false"/>
      <protection locked="true" hidden="false"/>
    </xf>
    <xf numFmtId="165" fontId="0" fillId="7" borderId="1" xfId="0" applyFont="false" applyBorder="true" applyAlignment="true" applyProtection="false">
      <alignment horizontal="center" vertical="bottom" textRotation="0" wrapText="false" indent="0" shrinkToFit="false"/>
      <protection locked="true" hidden="false"/>
    </xf>
    <xf numFmtId="165" fontId="0" fillId="7" borderId="2" xfId="0" applyFont="false" applyBorder="true" applyAlignment="true" applyProtection="false">
      <alignment horizontal="center" vertical="bottom" textRotation="0" wrapText="false" indent="0" shrinkToFit="false"/>
      <protection locked="true" hidden="false"/>
    </xf>
    <xf numFmtId="165" fontId="0" fillId="7" borderId="3" xfId="0" applyFont="false" applyBorder="true" applyAlignment="true" applyProtection="false">
      <alignment horizontal="center" vertical="bottom" textRotation="0" wrapText="false" indent="0" shrinkToFit="false"/>
      <protection locked="true" hidden="false"/>
    </xf>
    <xf numFmtId="165" fontId="0" fillId="3" borderId="35" xfId="0" applyFont="true" applyBorder="true" applyAlignment="true" applyProtection="false">
      <alignment horizontal="center" vertical="bottom" textRotation="0" wrapText="false" indent="0" shrinkToFit="false"/>
      <protection locked="true" hidden="false"/>
    </xf>
    <xf numFmtId="165" fontId="0" fillId="7" borderId="21" xfId="0" applyFont="false" applyBorder="true" applyAlignment="true" applyProtection="false">
      <alignment horizontal="center" vertical="bottom" textRotation="0" wrapText="false" indent="0" shrinkToFit="false"/>
      <protection locked="true" hidden="false"/>
    </xf>
    <xf numFmtId="165" fontId="0" fillId="7" borderId="22" xfId="0" applyFont="false" applyBorder="true" applyAlignment="true" applyProtection="false">
      <alignment horizontal="center" vertical="bottom" textRotation="0" wrapText="false" indent="0" shrinkToFit="false"/>
      <protection locked="true" hidden="false"/>
    </xf>
    <xf numFmtId="165" fontId="0" fillId="7" borderId="23"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3" borderId="39" xfId="0" applyFont="true" applyBorder="true" applyAlignment="true" applyProtection="false">
      <alignment horizontal="center" vertical="bottom" textRotation="0" wrapText="false" indent="0" shrinkToFit="false"/>
      <protection locked="true" hidden="false"/>
    </xf>
    <xf numFmtId="165" fontId="0" fillId="7" borderId="39" xfId="0" applyFont="false" applyBorder="true" applyAlignment="true" applyProtection="false">
      <alignment horizontal="center" vertical="bottom" textRotation="0" wrapText="false" indent="0" shrinkToFit="false"/>
      <protection locked="true" hidden="false"/>
    </xf>
    <xf numFmtId="180" fontId="0" fillId="4" borderId="37" xfId="0" applyFont="false" applyBorder="true" applyAlignment="true" applyProtection="false">
      <alignment horizontal="center" vertical="bottom" textRotation="0" wrapText="false" indent="0" shrinkToFit="false"/>
      <protection locked="true" hidden="false"/>
    </xf>
    <xf numFmtId="169" fontId="0" fillId="4" borderId="37" xfId="0" applyFont="false" applyBorder="true" applyAlignment="true" applyProtection="false">
      <alignment horizontal="center" vertical="bottom" textRotation="0" wrapText="false" indent="0" shrinkToFit="false"/>
      <protection locked="true" hidden="false"/>
    </xf>
    <xf numFmtId="164" fontId="0" fillId="4" borderId="37" xfId="0" applyFont="true" applyBorder="true" applyAlignment="true" applyProtection="false">
      <alignment horizontal="center" vertical="bottom"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4" borderId="2" xfId="0" applyFont="false" applyBorder="true" applyAlignment="true" applyProtection="false">
      <alignment horizontal="center" vertical="bottom" textRotation="0" wrapText="false" indent="0" shrinkToFit="false"/>
      <protection locked="true" hidden="false"/>
    </xf>
    <xf numFmtId="164" fontId="0" fillId="3" borderId="40" xfId="0" applyFont="true" applyBorder="true" applyAlignment="true" applyProtection="false">
      <alignment horizontal="center" vertical="bottom" textRotation="0" wrapText="false" indent="0" shrinkToFit="false"/>
      <protection locked="true" hidden="false"/>
    </xf>
    <xf numFmtId="164" fontId="0" fillId="4" borderId="4" xfId="0" applyFont="false" applyBorder="true" applyAlignment="true" applyProtection="false">
      <alignment horizontal="center" vertical="bottom" textRotation="0" wrapText="false" indent="0" shrinkToFit="false"/>
      <protection locked="true" hidden="false"/>
    </xf>
    <xf numFmtId="164" fontId="0" fillId="4" borderId="0" xfId="0" applyFont="false" applyBorder="true" applyAlignment="true" applyProtection="false">
      <alignment horizontal="center" vertical="bottom" textRotation="0" wrapText="false" indent="0" shrinkToFit="false"/>
      <protection locked="true" hidden="false"/>
    </xf>
    <xf numFmtId="164" fontId="0" fillId="7" borderId="7" xfId="0" applyFont="false" applyBorder="true" applyAlignment="true" applyProtection="false">
      <alignment horizontal="center" vertical="bottom" textRotation="0" wrapText="false" indent="0" shrinkToFit="false"/>
      <protection locked="true" hidden="false"/>
    </xf>
    <xf numFmtId="197" fontId="0" fillId="7" borderId="21" xfId="0" applyFont="false" applyBorder="true" applyAlignment="true" applyProtection="false">
      <alignment horizontal="center" vertical="bottom" textRotation="0" wrapText="false" indent="0" shrinkToFit="false"/>
      <protection locked="true" hidden="false"/>
    </xf>
    <xf numFmtId="197" fontId="0" fillId="7" borderId="22" xfId="0" applyFont="false" applyBorder="true" applyAlignment="true" applyProtection="false">
      <alignment horizontal="center" vertical="bottom" textRotation="0" wrapText="false" indent="0" shrinkToFit="false"/>
      <protection locked="true" hidden="false"/>
    </xf>
    <xf numFmtId="198" fontId="0" fillId="7" borderId="37" xfId="0" applyFont="false" applyBorder="tru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99" fontId="0" fillId="4" borderId="37" xfId="0" applyFont="false" applyBorder="true" applyAlignment="true" applyProtection="false">
      <alignment horizontal="center" vertical="bottom" textRotation="0" wrapText="false" indent="0" shrinkToFit="false"/>
      <protection locked="true" hidden="false"/>
    </xf>
    <xf numFmtId="164" fontId="0" fillId="4" borderId="2" xfId="0" applyFont="false" applyBorder="true" applyAlignment="true" applyProtection="false">
      <alignment horizontal="center" vertical="bottom" textRotation="0" wrapText="false" indent="0" shrinkToFit="false"/>
      <protection locked="true" hidden="false"/>
    </xf>
    <xf numFmtId="164" fontId="0" fillId="7" borderId="3" xfId="0" applyFont="false" applyBorder="true" applyAlignment="true" applyProtection="false">
      <alignment horizontal="center" vertical="bottom" textRotation="0" wrapText="false" indent="0" shrinkToFit="false"/>
      <protection locked="true" hidden="false"/>
    </xf>
    <xf numFmtId="164" fontId="0" fillId="4" borderId="0" xfId="0" applyFont="false" applyBorder="true" applyAlignment="true" applyProtection="false">
      <alignment horizontal="center" vertical="bottom" textRotation="0" wrapText="false" indent="0" shrinkToFit="false"/>
      <protection locked="true" hidden="false"/>
    </xf>
    <xf numFmtId="164" fontId="0" fillId="7" borderId="7" xfId="0" applyFont="false" applyBorder="true" applyAlignment="true" applyProtection="false">
      <alignment horizontal="center"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4" borderId="4" xfId="0" applyFont="false" applyBorder="true" applyAlignment="true" applyProtection="false">
      <alignment horizontal="center" vertical="bottom" textRotation="0" wrapText="false" indent="0" shrinkToFit="false"/>
      <protection locked="true" hidden="false"/>
    </xf>
    <xf numFmtId="179" fontId="0" fillId="4" borderId="0" xfId="0" applyFont="false" applyBorder="true" applyAlignment="true" applyProtection="false">
      <alignment horizontal="center" vertical="bottom" textRotation="0" wrapText="false" indent="0" shrinkToFit="false"/>
      <protection locked="true" hidden="false"/>
    </xf>
    <xf numFmtId="165" fontId="0" fillId="7" borderId="36" xfId="0" applyFont="false" applyBorder="true" applyAlignment="true" applyProtection="false">
      <alignment horizontal="center" vertical="bottom" textRotation="0" wrapText="false" indent="0" shrinkToFit="false"/>
      <protection locked="true" hidden="false"/>
    </xf>
    <xf numFmtId="200" fontId="0" fillId="4" borderId="2" xfId="0" applyFont="false" applyBorder="true" applyAlignment="true" applyProtection="false">
      <alignment horizontal="center" vertical="bottom" textRotation="0" wrapText="false" indent="0" shrinkToFit="false"/>
      <protection locked="true" hidden="false"/>
    </xf>
    <xf numFmtId="197" fontId="0" fillId="7" borderId="23"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97" fontId="0" fillId="3" borderId="35" xfId="0" applyFont="true" applyBorder="true" applyAlignment="true" applyProtection="false">
      <alignment horizontal="center" vertical="bottom" textRotation="0" wrapText="false" indent="0" shrinkToFit="false"/>
      <protection locked="true" hidden="false"/>
    </xf>
    <xf numFmtId="165" fontId="0" fillId="3" borderId="18" xfId="0" applyFont="true" applyBorder="true" applyAlignment="true" applyProtection="false">
      <alignment horizontal="center" vertical="bottom" textRotation="0" wrapText="false" indent="0" shrinkToFit="false"/>
      <protection locked="true" hidden="false"/>
    </xf>
    <xf numFmtId="164" fontId="0" fillId="3"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7" borderId="20" xfId="0" applyFont="false" applyBorder="true" applyAlignment="true" applyProtection="true">
      <alignment horizontal="center" vertical="bottom" textRotation="0" wrapText="false" indent="0" shrinkToFit="false"/>
      <protection locked="true" hidden="false"/>
    </xf>
    <xf numFmtId="165" fontId="0" fillId="4" borderId="2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5" fontId="0" fillId="4" borderId="20" xfId="0" applyFont="false" applyBorder="true" applyAlignment="true" applyProtection="true">
      <alignment horizontal="center" vertical="bottom" textRotation="0" wrapText="false" indent="0" shrinkToFit="false"/>
      <protection locked="true" hidden="false"/>
    </xf>
    <xf numFmtId="165" fontId="0" fillId="7" borderId="28" xfId="0" applyFont="false" applyBorder="true" applyAlignment="true" applyProtection="true">
      <alignment horizontal="center" vertical="bottom" textRotation="0" wrapText="false" indent="0" shrinkToFit="false"/>
      <protection locked="true" hidden="false"/>
    </xf>
    <xf numFmtId="164" fontId="0" fillId="4" borderId="9" xfId="0" applyFont="true" applyBorder="true" applyAlignment="true" applyProtection="true">
      <alignment horizontal="center" vertical="bottom" textRotation="0" wrapText="false" indent="0" shrinkToFit="false"/>
      <protection locked="false" hidden="false"/>
    </xf>
    <xf numFmtId="164" fontId="0" fillId="0" borderId="2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false" hidden="false"/>
    </xf>
    <xf numFmtId="164" fontId="0" fillId="0" borderId="25" xfId="0" applyFont="true" applyBorder="true" applyAlignment="true" applyProtection="true">
      <alignment horizontal="center" vertical="bottom" textRotation="0" wrapText="false" indent="0" shrinkToFit="false"/>
      <protection locked="false" hidden="false"/>
    </xf>
    <xf numFmtId="165" fontId="0" fillId="7" borderId="20"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true" applyAlignment="true" applyProtection="true">
      <alignment horizontal="center" vertical="bottom" textRotation="0" wrapText="false" indent="0" shrinkToFit="false"/>
      <protection locked="false" hidden="false"/>
    </xf>
    <xf numFmtId="164"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true" applyBorder="true" applyAlignment="true" applyProtection="true">
      <alignment horizontal="center" vertical="bottom" textRotation="0" wrapText="false" indent="0" shrinkToFit="false"/>
      <protection locked="true" hidden="false"/>
    </xf>
    <xf numFmtId="165" fontId="0" fillId="7" borderId="9" xfId="0" applyFont="false" applyBorder="true" applyAlignment="true" applyProtection="false">
      <alignment horizontal="center" vertical="bottom" textRotation="0" wrapText="false" indent="0" shrinkToFit="false"/>
      <protection locked="true" hidden="false"/>
    </xf>
    <xf numFmtId="165" fontId="0" fillId="4" borderId="9" xfId="0" applyFont="false" applyBorder="true" applyAlignment="true" applyProtection="false">
      <alignment horizontal="center" vertical="bottom" textRotation="0" wrapText="false" indent="0" shrinkToFit="false"/>
      <protection locked="true" hidden="false"/>
    </xf>
    <xf numFmtId="179" fontId="0" fillId="0" borderId="0" xfId="0" applyFont="false" applyBorder="false" applyAlignment="true" applyProtection="false">
      <alignment horizontal="center" vertical="bottom" textRotation="0" wrapText="false" indent="0" shrinkToFit="false"/>
      <protection locked="true" hidden="false"/>
    </xf>
    <xf numFmtId="179" fontId="46" fillId="0" borderId="0" xfId="0" applyFont="true" applyBorder="false" applyAlignment="true" applyProtection="false">
      <alignment horizontal="center" vertical="bottom" textRotation="0" wrapText="false" indent="0" shrinkToFit="false"/>
      <protection locked="true" hidden="false"/>
    </xf>
    <xf numFmtId="179" fontId="0" fillId="0" borderId="0" xfId="0" applyFont="false" applyBorder="false" applyAlignment="true" applyProtection="false">
      <alignment horizontal="center" vertical="bottom" textRotation="0" wrapText="false" indent="0" shrinkToFit="false"/>
      <protection locked="true" hidden="false"/>
    </xf>
    <xf numFmtId="179" fontId="0" fillId="5" borderId="39" xfId="0" applyFont="true" applyBorder="true" applyAlignment="true" applyProtection="false">
      <alignment horizontal="center" vertical="bottom" textRotation="0" wrapText="false" indent="0" shrinkToFit="false"/>
      <protection locked="true" hidden="false"/>
    </xf>
    <xf numFmtId="179" fontId="0" fillId="8" borderId="0" xfId="0" applyFont="false" applyBorder="false" applyAlignment="true" applyProtection="false">
      <alignment horizontal="center" vertical="bottom" textRotation="0" wrapText="false" indent="0" shrinkToFit="false"/>
      <protection locked="true" hidden="false"/>
    </xf>
    <xf numFmtId="179" fontId="0" fillId="5" borderId="34" xfId="0" applyFont="true" applyBorder="true" applyAlignment="true" applyProtection="false">
      <alignment horizontal="center" vertical="bottom" textRotation="0" wrapText="false" indent="0" shrinkToFit="false"/>
      <protection locked="true" hidden="false"/>
    </xf>
    <xf numFmtId="164" fontId="0" fillId="5" borderId="41" xfId="0" applyFont="true" applyBorder="true" applyAlignment="true" applyProtection="false">
      <alignment horizontal="center" vertical="bottom" textRotation="0" wrapText="false" indent="0" shrinkToFit="false"/>
      <protection locked="true" hidden="false"/>
    </xf>
    <xf numFmtId="164" fontId="0" fillId="5" borderId="42" xfId="0" applyFont="true" applyBorder="true" applyAlignment="true" applyProtection="false">
      <alignment horizontal="center" vertical="bottom" textRotation="0" wrapText="false" indent="0" shrinkToFit="false"/>
      <protection locked="true" hidden="false"/>
    </xf>
    <xf numFmtId="164" fontId="46" fillId="0" borderId="0" xfId="0" applyFont="true" applyBorder="false" applyAlignment="true" applyProtection="false">
      <alignment horizontal="center" vertical="bottom" textRotation="0" wrapText="false" indent="0" shrinkToFit="false"/>
      <protection locked="true" hidden="false"/>
    </xf>
    <xf numFmtId="164" fontId="0" fillId="5" borderId="43" xfId="0" applyFont="true" applyBorder="true" applyAlignment="true" applyProtection="false">
      <alignment horizontal="center" vertical="bottom" textRotation="0" wrapText="false" indent="0" shrinkToFit="false"/>
      <protection locked="true" hidden="false"/>
    </xf>
    <xf numFmtId="164" fontId="0" fillId="5" borderId="44" xfId="0" applyFont="true" applyBorder="true" applyAlignment="true" applyProtection="false">
      <alignment horizontal="center" vertical="bottom" textRotation="0" wrapText="false" indent="0" shrinkToFit="false"/>
      <protection locked="true" hidden="false"/>
    </xf>
    <xf numFmtId="164" fontId="0" fillId="5" borderId="45" xfId="0" applyFont="true" applyBorder="true" applyAlignment="true" applyProtection="false">
      <alignment horizontal="center" vertical="bottom" textRotation="0" wrapText="false" indent="0" shrinkToFit="false"/>
      <protection locked="true" hidden="false"/>
    </xf>
    <xf numFmtId="164" fontId="46" fillId="0" borderId="40" xfId="0" applyFont="true" applyBorder="true" applyAlignment="true" applyProtection="false">
      <alignment horizontal="center" vertical="bottom" textRotation="0" wrapText="false" indent="0" shrinkToFit="false"/>
      <protection locked="true" hidden="false"/>
    </xf>
    <xf numFmtId="164" fontId="0" fillId="5" borderId="46" xfId="0" applyFont="true" applyBorder="true" applyAlignment="true" applyProtection="false">
      <alignment horizontal="center" vertical="bottom" textRotation="0" wrapText="false" indent="0" shrinkToFit="false"/>
      <protection locked="true" hidden="false"/>
    </xf>
    <xf numFmtId="164" fontId="5" fillId="5" borderId="41" xfId="0" applyFont="true" applyBorder="true" applyAlignment="true" applyProtection="false">
      <alignment horizontal="center" vertical="bottom" textRotation="0" wrapText="false" indent="0" shrinkToFit="false"/>
      <protection locked="true" hidden="false"/>
    </xf>
    <xf numFmtId="164" fontId="0" fillId="5" borderId="47" xfId="0" applyFont="true" applyBorder="true" applyAlignment="true" applyProtection="false">
      <alignment horizontal="center" vertical="bottom" textRotation="0" wrapText="false" indent="0" shrinkToFit="false"/>
      <protection locked="true" hidden="false"/>
    </xf>
    <xf numFmtId="164" fontId="0" fillId="5" borderId="48" xfId="0" applyFont="true" applyBorder="true" applyAlignment="true" applyProtection="false">
      <alignment horizontal="center" vertical="bottom" textRotation="0" wrapText="false" indent="0" shrinkToFit="false"/>
      <protection locked="true" hidden="false"/>
    </xf>
    <xf numFmtId="164" fontId="0" fillId="5" borderId="49" xfId="0" applyFont="true" applyBorder="true" applyAlignment="true" applyProtection="false">
      <alignment horizontal="center" vertical="bottom" textRotation="0" wrapText="false" indent="0" shrinkToFit="false"/>
      <protection locked="true" hidden="false"/>
    </xf>
    <xf numFmtId="164" fontId="0" fillId="5" borderId="5" xfId="0" applyFont="true" applyBorder="true" applyAlignment="true" applyProtection="false">
      <alignment horizontal="center" vertical="bottom" textRotation="0" wrapText="false" indent="0" shrinkToFit="false"/>
      <protection locked="true" hidden="false"/>
    </xf>
    <xf numFmtId="164" fontId="0" fillId="5" borderId="50" xfId="0" applyFont="true" applyBorder="true" applyAlignment="true" applyProtection="false">
      <alignment horizontal="center" vertical="bottom" textRotation="0" wrapText="false" indent="0" shrinkToFit="false"/>
      <protection locked="true" hidden="false"/>
    </xf>
    <xf numFmtId="164" fontId="0" fillId="5" borderId="18" xfId="0" applyFont="true" applyBorder="true" applyAlignment="true" applyProtection="false">
      <alignment horizontal="center" vertical="bottom" textRotation="0" wrapText="false" indent="0" shrinkToFit="false"/>
      <protection locked="true" hidden="false"/>
    </xf>
    <xf numFmtId="164" fontId="0" fillId="5" borderId="51" xfId="0" applyFont="true" applyBorder="true" applyAlignment="true" applyProtection="false">
      <alignment horizontal="center" vertical="bottom" textRotation="0" wrapText="false" indent="0" shrinkToFit="false"/>
      <protection locked="true" hidden="false"/>
    </xf>
    <xf numFmtId="164" fontId="0" fillId="5" borderId="52" xfId="0" applyFont="false" applyBorder="true" applyAlignment="true" applyProtection="false">
      <alignment horizontal="center" vertical="bottom" textRotation="0" wrapText="false" indent="0" shrinkToFit="false"/>
      <protection locked="true" hidden="false"/>
    </xf>
    <xf numFmtId="164" fontId="0" fillId="5" borderId="25" xfId="0" applyFont="false" applyBorder="true" applyAlignment="true" applyProtection="false">
      <alignment horizontal="center" vertical="bottom" textRotation="0" wrapText="false" indent="0" shrinkToFit="false"/>
      <protection locked="true" hidden="false"/>
    </xf>
    <xf numFmtId="164" fontId="0" fillId="5" borderId="53" xfId="0" applyFont="false" applyBorder="true" applyAlignment="true" applyProtection="false">
      <alignment horizontal="center" vertical="bottom" textRotation="0" wrapText="false" indent="0" shrinkToFit="false"/>
      <protection locked="true" hidden="false"/>
    </xf>
    <xf numFmtId="179" fontId="0" fillId="9" borderId="24" xfId="0" applyFont="true" applyBorder="true" applyAlignment="true" applyProtection="false">
      <alignment horizontal="center" vertical="bottom" textRotation="0" wrapText="false" indent="0" shrinkToFit="false"/>
      <protection locked="true" hidden="false"/>
    </xf>
    <xf numFmtId="179" fontId="0" fillId="7" borderId="26" xfId="0" applyFont="false" applyBorder="true" applyAlignment="true" applyProtection="false">
      <alignment horizontal="center" vertical="bottom" textRotation="0" wrapText="false" indent="0" shrinkToFit="false"/>
      <protection locked="true" hidden="false"/>
    </xf>
    <xf numFmtId="179" fontId="46" fillId="0" borderId="0" xfId="0" applyFont="true" applyBorder="true" applyAlignment="true" applyProtection="false">
      <alignment horizontal="center" vertical="bottom" textRotation="0" wrapText="false" indent="0" shrinkToFit="false"/>
      <protection locked="true" hidden="false"/>
    </xf>
    <xf numFmtId="179" fontId="0" fillId="9" borderId="25" xfId="0" applyFont="true" applyBorder="true" applyAlignment="true" applyProtection="false">
      <alignment horizontal="center" vertical="bottom" textRotation="0" wrapText="false" indent="0" shrinkToFit="false"/>
      <protection locked="true" hidden="false"/>
    </xf>
    <xf numFmtId="179" fontId="0" fillId="9" borderId="26" xfId="0" applyFont="true" applyBorder="true" applyAlignment="true" applyProtection="false">
      <alignment horizontal="center" vertical="bottom" textRotation="0" wrapText="false" indent="0" shrinkToFit="false"/>
      <protection locked="true" hidden="false"/>
    </xf>
    <xf numFmtId="179" fontId="0" fillId="7" borderId="24" xfId="0" applyFont="false" applyBorder="true" applyAlignment="true" applyProtection="false">
      <alignment horizontal="center" vertical="bottom" textRotation="0" wrapText="false" indent="0" shrinkToFit="false"/>
      <protection locked="true" hidden="false"/>
    </xf>
    <xf numFmtId="179" fontId="0" fillId="7" borderId="25" xfId="0" applyFont="false" applyBorder="true" applyAlignment="true" applyProtection="false">
      <alignment horizontal="center" vertical="bottom" textRotation="0" wrapText="false" indent="0" shrinkToFit="false"/>
      <protection locked="true" hidden="false"/>
    </xf>
    <xf numFmtId="179" fontId="0" fillId="6" borderId="26" xfId="0" applyFont="false" applyBorder="true" applyAlignment="true" applyProtection="false">
      <alignment horizontal="center" vertical="bottom" textRotation="0" wrapText="false" indent="0" shrinkToFit="false"/>
      <protection locked="true" hidden="false"/>
    </xf>
    <xf numFmtId="179" fontId="46" fillId="0" borderId="0" xfId="0" applyFont="true" applyBorder="true" applyAlignment="true" applyProtection="false">
      <alignment horizontal="center" vertical="bottom" textRotation="0" wrapText="false" indent="0" shrinkToFit="false"/>
      <protection locked="true" hidden="false"/>
    </xf>
    <xf numFmtId="179" fontId="0" fillId="6" borderId="18" xfId="0" applyFont="false" applyBorder="true" applyAlignment="true" applyProtection="false">
      <alignment horizontal="center" vertical="bottom" textRotation="0" wrapText="false" indent="0" shrinkToFit="false"/>
      <protection locked="true" hidden="false"/>
    </xf>
    <xf numFmtId="179" fontId="0" fillId="6" borderId="24" xfId="0" applyFont="false" applyBorder="true" applyAlignment="true" applyProtection="false">
      <alignment horizontal="center" vertical="bottom" textRotation="0" wrapText="false" indent="0" shrinkToFit="false"/>
      <protection locked="true" hidden="false"/>
    </xf>
    <xf numFmtId="164" fontId="0" fillId="9" borderId="24" xfId="0" applyFont="true" applyBorder="true" applyAlignment="true" applyProtection="false">
      <alignment horizontal="center" vertical="bottom" textRotation="0" wrapText="false" indent="0" shrinkToFit="false"/>
      <protection locked="true" hidden="false"/>
    </xf>
    <xf numFmtId="164" fontId="0" fillId="9" borderId="25" xfId="0" applyFont="true" applyBorder="true" applyAlignment="true" applyProtection="false">
      <alignment horizontal="center" vertical="bottom" textRotation="0" wrapText="false" indent="0" shrinkToFit="false"/>
      <protection locked="true" hidden="false"/>
    </xf>
    <xf numFmtId="164" fontId="0" fillId="9" borderId="26" xfId="0" applyFont="true" applyBorder="true" applyAlignment="true" applyProtection="false">
      <alignment horizontal="center" vertical="bottom" textRotation="0" wrapText="false" indent="0" shrinkToFit="false"/>
      <protection locked="true" hidden="false"/>
    </xf>
    <xf numFmtId="179" fontId="0" fillId="0" borderId="0" xfId="0" applyFont="false" applyBorder="true" applyAlignment="true" applyProtection="false">
      <alignment horizontal="center" vertical="bottom" textRotation="0" wrapText="false" indent="0" shrinkToFit="false"/>
      <protection locked="true" hidden="false"/>
    </xf>
    <xf numFmtId="173" fontId="0" fillId="6" borderId="24" xfId="0" applyFont="false" applyBorder="true" applyAlignment="true" applyProtection="false">
      <alignment horizontal="center" vertical="bottom" textRotation="0" wrapText="false" indent="0" shrinkToFit="false"/>
      <protection locked="true" hidden="false"/>
    </xf>
    <xf numFmtId="173" fontId="0" fillId="6" borderId="25" xfId="0" applyFont="false" applyBorder="true" applyAlignment="true" applyProtection="false">
      <alignment horizontal="center" vertical="bottom" textRotation="0" wrapText="false" indent="0" shrinkToFit="false"/>
      <protection locked="true" hidden="false"/>
    </xf>
    <xf numFmtId="173" fontId="0" fillId="6" borderId="26" xfId="0" applyFont="false" applyBorder="true" applyAlignment="true" applyProtection="false">
      <alignment horizontal="center" vertical="bottom" textRotation="0" wrapText="false" indent="0" shrinkToFit="false"/>
      <protection locked="true" hidden="false"/>
    </xf>
    <xf numFmtId="179" fontId="0" fillId="6" borderId="27" xfId="0" applyFont="true" applyBorder="true" applyAlignment="true" applyProtection="false">
      <alignment horizontal="center" vertical="bottom" textRotation="0" wrapText="false" indent="0" shrinkToFit="false"/>
      <protection locked="true" hidden="false"/>
    </xf>
    <xf numFmtId="179" fontId="0" fillId="6" borderId="28" xfId="0" applyFont="false" applyBorder="true" applyAlignment="true" applyProtection="false">
      <alignment horizontal="center" vertical="bottom" textRotation="0" wrapText="false" indent="0" shrinkToFit="false"/>
      <protection locked="true" hidden="false"/>
    </xf>
    <xf numFmtId="179" fontId="0" fillId="6" borderId="27" xfId="0" applyFont="false" applyBorder="true" applyAlignment="true" applyProtection="false">
      <alignment horizontal="center" vertical="bottom" textRotation="0" wrapText="false" indent="0" shrinkToFit="false"/>
      <protection locked="true" hidden="false"/>
    </xf>
    <xf numFmtId="179" fontId="0" fillId="6" borderId="0" xfId="0" applyFont="false" applyBorder="true" applyAlignment="true" applyProtection="false">
      <alignment horizontal="center" vertical="bottom" textRotation="0" wrapText="false" indent="0" shrinkToFit="false"/>
      <protection locked="true" hidden="false"/>
    </xf>
    <xf numFmtId="173" fontId="0" fillId="6" borderId="27" xfId="0" applyFont="false" applyBorder="true" applyAlignment="true" applyProtection="false">
      <alignment horizontal="center" vertical="bottom" textRotation="0" wrapText="false" indent="0" shrinkToFit="false"/>
      <protection locked="true" hidden="false"/>
    </xf>
    <xf numFmtId="179" fontId="0" fillId="6" borderId="20" xfId="0" applyFont="false" applyBorder="true" applyAlignment="true" applyProtection="false">
      <alignment horizontal="center" vertical="bottom" textRotation="0" wrapText="false" indent="0" shrinkToFit="false"/>
      <protection locked="true" hidden="false"/>
    </xf>
    <xf numFmtId="164" fontId="0" fillId="6" borderId="27" xfId="0" applyFont="false" applyBorder="true" applyAlignment="true" applyProtection="false">
      <alignment horizontal="general" vertical="bottom" textRotation="0" wrapText="false" indent="0" shrinkToFit="false"/>
      <protection locked="true" hidden="false"/>
    </xf>
    <xf numFmtId="164" fontId="0" fillId="6" borderId="0" xfId="0" applyFont="false" applyBorder="true" applyAlignment="true" applyProtection="false">
      <alignment horizontal="general" vertical="bottom" textRotation="0" wrapText="false" indent="0" shrinkToFit="false"/>
      <protection locked="true" hidden="false"/>
    </xf>
    <xf numFmtId="164" fontId="0" fillId="6" borderId="28" xfId="0" applyFont="false" applyBorder="true" applyAlignment="true" applyProtection="false">
      <alignment horizontal="center" vertical="bottom" textRotation="0" wrapText="false" indent="0" shrinkToFit="false"/>
      <protection locked="true" hidden="false"/>
    </xf>
    <xf numFmtId="173" fontId="0" fillId="6" borderId="0" xfId="0" applyFont="false" applyBorder="true" applyAlignment="true" applyProtection="false">
      <alignment horizontal="center" vertical="bottom" textRotation="0" wrapText="false" indent="0" shrinkToFit="false"/>
      <protection locked="true" hidden="false"/>
    </xf>
    <xf numFmtId="173" fontId="0" fillId="6" borderId="28" xfId="0" applyFont="false" applyBorder="true" applyAlignment="true" applyProtection="false">
      <alignment horizontal="center" vertical="bottom" textRotation="0" wrapText="false" indent="0" shrinkToFit="false"/>
      <protection locked="true" hidden="false"/>
    </xf>
    <xf numFmtId="179" fontId="0" fillId="6" borderId="29" xfId="0" applyFont="true" applyBorder="true" applyAlignment="true" applyProtection="false">
      <alignment horizontal="center" vertical="bottom" textRotation="0" wrapText="false" indent="0" shrinkToFit="false"/>
      <protection locked="true" hidden="false"/>
    </xf>
    <xf numFmtId="179" fontId="0" fillId="6" borderId="31" xfId="0" applyFont="false" applyBorder="true" applyAlignment="true" applyProtection="false">
      <alignment horizontal="center" vertical="bottom" textRotation="0" wrapText="false" indent="0" shrinkToFit="false"/>
      <protection locked="true" hidden="false"/>
    </xf>
    <xf numFmtId="179" fontId="0" fillId="6" borderId="29" xfId="0" applyFont="false" applyBorder="true" applyAlignment="true" applyProtection="false">
      <alignment horizontal="center" vertical="bottom" textRotation="0" wrapText="false" indent="0" shrinkToFit="false"/>
      <protection locked="true" hidden="false"/>
    </xf>
    <xf numFmtId="179" fontId="0" fillId="6" borderId="30" xfId="0" applyFont="false" applyBorder="true" applyAlignment="true" applyProtection="false">
      <alignment horizontal="center" vertical="bottom" textRotation="0" wrapText="false" indent="0" shrinkToFit="false"/>
      <protection locked="true" hidden="false"/>
    </xf>
    <xf numFmtId="173" fontId="0" fillId="6" borderId="29" xfId="0" applyFont="false" applyBorder="true" applyAlignment="true" applyProtection="false">
      <alignment horizontal="center" vertical="bottom" textRotation="0" wrapText="false" indent="0" shrinkToFit="false"/>
      <protection locked="true" hidden="false"/>
    </xf>
    <xf numFmtId="179" fontId="0" fillId="6" borderId="9" xfId="0" applyFont="false" applyBorder="true" applyAlignment="true" applyProtection="false">
      <alignment horizontal="center" vertical="bottom" textRotation="0" wrapText="false" indent="0" shrinkToFit="false"/>
      <protection locked="true" hidden="false"/>
    </xf>
    <xf numFmtId="164" fontId="0" fillId="6" borderId="29" xfId="0" applyFont="false" applyBorder="true" applyAlignment="true" applyProtection="false">
      <alignment horizontal="general" vertical="bottom" textRotation="0" wrapText="false" indent="0" shrinkToFit="false"/>
      <protection locked="true" hidden="false"/>
    </xf>
    <xf numFmtId="165" fontId="0" fillId="6" borderId="30" xfId="0" applyFont="false" applyBorder="true" applyAlignment="true" applyProtection="false">
      <alignment horizontal="general" vertical="bottom" textRotation="0" wrapText="false" indent="0" shrinkToFit="false"/>
      <protection locked="true" hidden="false"/>
    </xf>
    <xf numFmtId="165" fontId="0" fillId="6" borderId="31" xfId="0" applyFont="false" applyBorder="true" applyAlignment="true" applyProtection="false">
      <alignment horizontal="center" vertical="bottom" textRotation="0" wrapText="false" indent="0" shrinkToFit="false"/>
      <protection locked="true" hidden="false"/>
    </xf>
    <xf numFmtId="173" fontId="0" fillId="6" borderId="30" xfId="0" applyFont="false" applyBorder="true" applyAlignment="true" applyProtection="false">
      <alignment horizontal="center" vertical="bottom" textRotation="0" wrapText="false" indent="0" shrinkToFit="false"/>
      <protection locked="true" hidden="false"/>
    </xf>
    <xf numFmtId="173" fontId="0" fillId="6" borderId="31" xfId="0" applyFont="false" applyBorder="true" applyAlignment="true" applyProtection="false">
      <alignment horizontal="center" vertical="bottom" textRotation="0" wrapText="false" indent="0" shrinkToFit="false"/>
      <protection locked="true" hidden="false"/>
    </xf>
    <xf numFmtId="179" fontId="47" fillId="0" borderId="0" xfId="0" applyFont="true" applyBorder="false" applyAlignment="true" applyProtection="false">
      <alignment horizontal="left" vertical="bottom" textRotation="0" wrapText="false" indent="0" shrinkToFit="false"/>
      <protection locked="true" hidden="false"/>
    </xf>
    <xf numFmtId="179" fontId="17" fillId="0" borderId="0" xfId="20" applyFont="true" applyBorder="true" applyAlignment="true" applyProtection="true">
      <alignment horizontal="left" vertical="bottom" textRotation="0" wrapText="false" indent="0" shrinkToFit="false"/>
      <protection locked="true" hidden="false"/>
    </xf>
    <xf numFmtId="179" fontId="17" fillId="0" borderId="0" xfId="20" applyFont="true" applyBorder="true" applyAlignment="true" applyProtection="true">
      <alignment horizontal="center" vertical="bottom" textRotation="0" wrapText="false" indent="0" shrinkToFit="false"/>
      <protection locked="true" hidden="false"/>
    </xf>
    <xf numFmtId="179" fontId="0" fillId="0" borderId="0" xfId="0" applyFont="true" applyBorder="false" applyAlignment="true" applyProtection="false">
      <alignment horizontal="left" vertical="bottom" textRotation="0" wrapText="false" indent="0" shrinkToFit="false"/>
      <protection locked="true" hidden="false"/>
    </xf>
    <xf numFmtId="179" fontId="0" fillId="0" borderId="0" xfId="0" applyFont="true" applyBorder="false" applyAlignment="tru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201" fontId="4" fillId="7" borderId="18" xfId="0" applyFont="true" applyBorder="true" applyAlignment="true" applyProtection="true">
      <alignment horizontal="center" vertical="center" textRotation="0" wrapText="false" indent="0" shrinkToFit="false"/>
      <protection locked="true" hidden="false"/>
    </xf>
    <xf numFmtId="165" fontId="4" fillId="7" borderId="18" xfId="0" applyFont="true" applyBorder="true" applyAlignment="true" applyProtection="true">
      <alignment horizontal="center" vertical="center" textRotation="0" wrapText="false" indent="0" shrinkToFit="false"/>
      <protection locked="true" hidden="false"/>
    </xf>
    <xf numFmtId="202" fontId="4" fillId="7" borderId="5" xfId="0" applyFont="true" applyBorder="true" applyAlignment="true" applyProtection="false">
      <alignment horizontal="center" vertical="center" textRotation="0" wrapText="false" indent="0" shrinkToFit="false"/>
      <protection locked="true" hidden="false"/>
    </xf>
    <xf numFmtId="165" fontId="4" fillId="7" borderId="5" xfId="0" applyFont="true" applyBorder="true" applyAlignment="true" applyProtection="true">
      <alignment horizontal="center" vertical="center"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203" fontId="10" fillId="6" borderId="18" xfId="21" applyFont="true" applyBorder="true" applyAlignment="true" applyProtection="false">
      <alignment horizontal="center" vertical="bottom" textRotation="0" wrapText="false" indent="0" shrinkToFit="false"/>
      <protection locked="true" hidden="false"/>
    </xf>
    <xf numFmtId="165" fontId="10" fillId="6" borderId="26" xfId="21" applyFont="true" applyBorder="true" applyAlignment="true" applyProtection="false">
      <alignment horizontal="center" vertical="bottom" textRotation="0" wrapText="false" indent="0" shrinkToFit="false"/>
      <protection locked="true" hidden="false"/>
    </xf>
    <xf numFmtId="168" fontId="10" fillId="6" borderId="18" xfId="21" applyFont="true" applyBorder="true" applyAlignment="true" applyProtection="true">
      <alignment horizontal="center" vertical="bottom" textRotation="0" wrapText="false" indent="0" shrinkToFit="false"/>
      <protection locked="true" hidden="true"/>
    </xf>
    <xf numFmtId="204" fontId="10" fillId="6" borderId="26" xfId="21" applyFont="true" applyBorder="true" applyAlignment="true" applyProtection="false">
      <alignment horizontal="center" vertical="bottom" textRotation="0" wrapText="false" indent="0" shrinkToFit="false"/>
      <protection locked="true" hidden="false"/>
    </xf>
    <xf numFmtId="168" fontId="10" fillId="6" borderId="26" xfId="21" applyFont="true" applyBorder="true" applyAlignment="true" applyProtection="false">
      <alignment horizontal="center" vertical="bottom" textRotation="0" wrapText="false" indent="0" shrinkToFit="false"/>
      <protection locked="true" hidden="false"/>
    </xf>
    <xf numFmtId="193" fontId="10" fillId="6" borderId="26" xfId="21" applyFont="true" applyBorder="true" applyAlignment="true" applyProtection="false">
      <alignment horizontal="center" vertical="bottom" textRotation="0" wrapText="false" indent="0" shrinkToFit="false"/>
      <protection locked="true" hidden="false"/>
    </xf>
    <xf numFmtId="182" fontId="10" fillId="6" borderId="26" xfId="21" applyFont="true" applyBorder="true" applyAlignment="true" applyProtection="false">
      <alignment horizontal="center" vertical="bottom" textRotation="0" wrapText="false" indent="0" shrinkToFit="false"/>
      <protection locked="true" hidden="false"/>
    </xf>
    <xf numFmtId="189" fontId="10" fillId="6" borderId="26" xfId="21" applyFont="true" applyBorder="true" applyAlignment="true" applyProtection="false">
      <alignment horizontal="center" vertical="bottom" textRotation="0" wrapText="false" indent="0" shrinkToFit="false"/>
      <protection locked="true" hidden="false"/>
    </xf>
    <xf numFmtId="203" fontId="10" fillId="6" borderId="20" xfId="21" applyFont="true" applyBorder="true" applyAlignment="true" applyProtection="false">
      <alignment horizontal="center" vertical="bottom" textRotation="0" wrapText="false" indent="0" shrinkToFit="false"/>
      <protection locked="true" hidden="false"/>
    </xf>
    <xf numFmtId="165" fontId="10" fillId="6" borderId="28" xfId="21" applyFont="true" applyBorder="true" applyAlignment="true" applyProtection="false">
      <alignment horizontal="center" vertical="bottom" textRotation="0" wrapText="false" indent="0" shrinkToFit="false"/>
      <protection locked="true" hidden="false"/>
    </xf>
    <xf numFmtId="168" fontId="10" fillId="6" borderId="20" xfId="21" applyFont="true" applyBorder="true" applyAlignment="true" applyProtection="true">
      <alignment horizontal="center" vertical="bottom" textRotation="0" wrapText="false" indent="0" shrinkToFit="false"/>
      <protection locked="true" hidden="true"/>
    </xf>
    <xf numFmtId="204" fontId="10" fillId="6" borderId="28" xfId="21" applyFont="true" applyBorder="true" applyAlignment="true" applyProtection="false">
      <alignment horizontal="center" vertical="bottom" textRotation="0" wrapText="false" indent="0" shrinkToFit="false"/>
      <protection locked="true" hidden="false"/>
    </xf>
    <xf numFmtId="193" fontId="10" fillId="6" borderId="28" xfId="21" applyFont="true" applyBorder="true" applyAlignment="true" applyProtection="false">
      <alignment horizontal="center" vertical="bottom" textRotation="0" wrapText="false" indent="0" shrinkToFit="false"/>
      <protection locked="true" hidden="false"/>
    </xf>
    <xf numFmtId="182" fontId="10" fillId="6" borderId="28" xfId="21" applyFont="true" applyBorder="true" applyAlignment="true" applyProtection="false">
      <alignment horizontal="center" vertical="bottom" textRotation="0" wrapText="false" indent="0" shrinkToFit="false"/>
      <protection locked="true" hidden="false"/>
    </xf>
    <xf numFmtId="189" fontId="10" fillId="6" borderId="28" xfId="21" applyFont="true" applyBorder="true" applyAlignment="true" applyProtection="false">
      <alignment horizontal="center" vertical="bottom" textRotation="0" wrapText="false" indent="0" shrinkToFit="false"/>
      <protection locked="true" hidden="false"/>
    </xf>
    <xf numFmtId="203" fontId="10" fillId="6" borderId="9" xfId="21" applyFont="true" applyBorder="true" applyAlignment="true" applyProtection="false">
      <alignment horizontal="center" vertical="bottom" textRotation="0" wrapText="false" indent="0" shrinkToFit="false"/>
      <protection locked="true" hidden="false"/>
    </xf>
    <xf numFmtId="165" fontId="10" fillId="6" borderId="31" xfId="21" applyFont="true" applyBorder="true" applyAlignment="true" applyProtection="false">
      <alignment horizontal="center" vertical="bottom" textRotation="0" wrapText="false" indent="0" shrinkToFit="false"/>
      <protection locked="true" hidden="false"/>
    </xf>
    <xf numFmtId="168" fontId="10" fillId="6" borderId="9" xfId="21" applyFont="true" applyBorder="true" applyAlignment="true" applyProtection="true">
      <alignment horizontal="center" vertical="bottom" textRotation="0" wrapText="false" indent="0" shrinkToFit="false"/>
      <protection locked="true" hidden="true"/>
    </xf>
    <xf numFmtId="204" fontId="10" fillId="6" borderId="31" xfId="21" applyFont="true" applyBorder="true" applyAlignment="true" applyProtection="false">
      <alignment horizontal="center" vertical="bottom" textRotation="0" wrapText="false" indent="0" shrinkToFit="false"/>
      <protection locked="true" hidden="false"/>
    </xf>
    <xf numFmtId="193" fontId="10" fillId="6" borderId="31" xfId="21" applyFont="true" applyBorder="true" applyAlignment="true" applyProtection="false">
      <alignment horizontal="center" vertical="bottom" textRotation="0" wrapText="false" indent="0" shrinkToFit="false"/>
      <protection locked="true" hidden="false"/>
    </xf>
    <xf numFmtId="182" fontId="10" fillId="6" borderId="31" xfId="21" applyFont="true" applyBorder="true" applyAlignment="true" applyProtection="false">
      <alignment horizontal="center" vertical="bottom" textRotation="0" wrapText="false" indent="0" shrinkToFit="false"/>
      <protection locked="true" hidden="false"/>
    </xf>
    <xf numFmtId="189" fontId="10" fillId="6" borderId="31" xfId="21" applyFont="true" applyBorder="true" applyAlignment="true" applyProtection="false">
      <alignment horizontal="center" vertical="bottom" textRotation="0" wrapText="false" indent="0" shrinkToFit="false"/>
      <protection locked="true" hidden="false"/>
    </xf>
    <xf numFmtId="165" fontId="51" fillId="0"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47" fillId="0" borderId="0" xfId="0" applyFont="true" applyBorder="false" applyAlignment="false" applyProtection="false">
      <alignment horizontal="general" vertical="bottom" textRotation="0" wrapText="false" indent="0" shrinkToFit="false"/>
      <protection locked="true" hidden="false"/>
    </xf>
    <xf numFmtId="164" fontId="17"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72" fontId="0" fillId="0" borderId="0" xfId="0" applyFont="false" applyBorder="false" applyAlignment="true" applyProtection="false">
      <alignment horizontal="left" vertical="bottom" textRotation="0" wrapText="false" indent="0" shrinkToFit="false"/>
      <protection locked="true" hidden="false"/>
    </xf>
    <xf numFmtId="164" fontId="5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true" applyAlignment="true" applyProtection="true">
      <alignment horizontal="general" vertical="center" textRotation="0" wrapText="false" indent="0" shrinkToFit="false"/>
      <protection locked="true" hidden="true"/>
    </xf>
    <xf numFmtId="200" fontId="0" fillId="0" borderId="0" xfId="0" applyFont="true" applyBorder="true" applyAlignment="true" applyProtection="true">
      <alignment horizontal="general" vertical="center" textRotation="0" wrapText="false" indent="0" shrinkToFit="false"/>
      <protection locked="true" hidden="true"/>
    </xf>
    <xf numFmtId="164" fontId="0"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65" fontId="0" fillId="0" borderId="39"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true" applyProtection="false">
      <alignment horizontal="left" vertical="top" textRotation="0" wrapText="fals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4" fillId="0" borderId="24" xfId="0" applyFont="true" applyBorder="true" applyAlignment="true" applyProtection="false">
      <alignment horizontal="center" vertical="bottom" textRotation="0" wrapText="false" indent="0" shrinkToFit="false"/>
      <protection locked="true" hidden="false"/>
    </xf>
    <xf numFmtId="165" fontId="4" fillId="0" borderId="26" xfId="0" applyFont="true" applyBorder="true" applyAlignment="true" applyProtection="false">
      <alignment horizontal="center" vertical="bottom" textRotation="0" wrapText="false" indent="0" shrinkToFit="false"/>
      <protection locked="true" hidden="false"/>
    </xf>
    <xf numFmtId="164" fontId="4" fillId="0" borderId="25" xfId="0" applyFont="true" applyBorder="true" applyAlignment="true" applyProtection="false">
      <alignment horizontal="center" vertical="bottom" textRotation="0" wrapText="false" indent="0" shrinkToFit="false"/>
      <protection locked="true" hidden="false"/>
    </xf>
    <xf numFmtId="170" fontId="4" fillId="0" borderId="26"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bottom" textRotation="0" wrapText="false" indent="0" shrinkToFit="false"/>
      <protection locked="true" hidden="false"/>
    </xf>
    <xf numFmtId="165" fontId="0" fillId="0" borderId="5" xfId="0" applyFont="true" applyBorder="true" applyAlignment="true" applyProtection="true">
      <alignment horizontal="center" vertical="bottom" textRotation="0" wrapText="false" indent="0" shrinkToFit="false"/>
      <protection locked="true" hidden="false"/>
    </xf>
    <xf numFmtId="164" fontId="4" fillId="0" borderId="27" xfId="0" applyFont="true" applyBorder="true" applyAlignment="true" applyProtection="false">
      <alignment horizontal="center" vertical="bottom" textRotation="0" wrapText="false" indent="0" shrinkToFit="false"/>
      <protection locked="true" hidden="false"/>
    </xf>
    <xf numFmtId="164" fontId="4" fillId="0" borderId="28" xfId="0" applyFont="true" applyBorder="true" applyAlignment="true" applyProtection="false">
      <alignment horizontal="center" vertical="bottom" textRotation="0" wrapText="false" indent="0" shrinkToFit="false"/>
      <protection locked="true" hidden="false"/>
    </xf>
    <xf numFmtId="170" fontId="4" fillId="0" borderId="28" xfId="0" applyFont="true" applyBorder="true" applyAlignment="true" applyProtection="false">
      <alignment horizontal="center" vertical="center" textRotation="0" wrapText="false" indent="0" shrinkToFit="false"/>
      <protection locked="true" hidden="false"/>
    </xf>
    <xf numFmtId="170" fontId="4" fillId="0" borderId="0" xfId="0" applyFont="true" applyBorder="true" applyAlignment="true" applyProtection="false">
      <alignment horizontal="center" vertical="center" textRotation="0" wrapText="false" indent="0" shrinkToFit="false"/>
      <protection locked="true" hidden="false"/>
    </xf>
    <xf numFmtId="170" fontId="4" fillId="0" borderId="28" xfId="0" applyFont="true" applyBorder="true" applyAlignment="true" applyProtection="false">
      <alignment horizontal="center" vertical="bottom" textRotation="0" wrapText="false" indent="0" shrinkToFit="false"/>
      <protection locked="true" hidden="false"/>
    </xf>
    <xf numFmtId="165" fontId="53" fillId="0" borderId="28" xfId="0" applyFont="true" applyBorder="true" applyAlignment="true" applyProtection="false">
      <alignment horizontal="left" vertical="bottom" textRotation="0" wrapText="false" indent="0" shrinkToFit="false"/>
      <protection locked="true" hidden="false"/>
    </xf>
    <xf numFmtId="170"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true">
      <alignment horizontal="right" vertical="bottom" textRotation="0" wrapText="false" indent="0" shrinkToFit="false"/>
      <protection locked="true" hidden="false"/>
    </xf>
    <xf numFmtId="165" fontId="4" fillId="0" borderId="28" xfId="0" applyFont="true" applyBorder="true" applyAlignment="true" applyProtection="false">
      <alignment horizontal="center" vertical="bottom" textRotation="0" wrapText="false" indent="0" shrinkToFit="false"/>
      <protection locked="true" hidden="false"/>
    </xf>
    <xf numFmtId="165" fontId="4" fillId="0" borderId="28" xfId="0" applyFont="true" applyBorder="true" applyAlignment="true" applyProtection="true">
      <alignment horizontal="center" vertical="center" textRotation="0" wrapText="false" indent="0" shrinkToFit="false"/>
      <protection locked="true" hidden="false"/>
    </xf>
    <xf numFmtId="164" fontId="0" fillId="0" borderId="28" xfId="0" applyFont="true" applyBorder="true" applyAlignment="true" applyProtection="false">
      <alignment horizontal="center"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4" fillId="0" borderId="30" xfId="0" applyFont="true" applyBorder="true" applyAlignment="true" applyProtection="false">
      <alignment horizontal="center" vertical="center" textRotation="0" wrapText="false" indent="0" shrinkToFit="false"/>
      <protection locked="true" hidden="false"/>
    </xf>
    <xf numFmtId="164" fontId="4" fillId="0" borderId="30" xfId="0" applyFont="true" applyBorder="true" applyAlignment="true" applyProtection="false">
      <alignment horizontal="center" vertical="bottom" textRotation="0" wrapText="false" indent="0" shrinkToFit="false"/>
      <protection locked="true" hidden="false"/>
    </xf>
    <xf numFmtId="178" fontId="4" fillId="0" borderId="31" xfId="0" applyFont="true" applyBorder="true" applyAlignment="true" applyProtection="true">
      <alignment horizontal="center" vertical="center" textRotation="0" wrapText="false" indent="0" shrinkToFit="false"/>
      <protection locked="true" hidden="false"/>
    </xf>
    <xf numFmtId="178" fontId="4" fillId="0" borderId="0" xfId="0" applyFont="true" applyBorder="true" applyAlignment="true" applyProtection="true">
      <alignment horizontal="center" vertical="center" textRotation="0" wrapText="false" indent="0" shrinkToFit="false"/>
      <protection locked="true" hidden="false"/>
    </xf>
    <xf numFmtId="173" fontId="4" fillId="0" borderId="3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73" fontId="4" fillId="0" borderId="5"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78" fontId="4" fillId="0" borderId="5" xfId="0" applyFont="true" applyBorder="true" applyAlignment="true" applyProtection="true">
      <alignment horizontal="center" vertical="center" textRotation="0" wrapText="false" indent="0" shrinkToFit="false"/>
      <protection locked="true" hidden="false"/>
    </xf>
    <xf numFmtId="178" fontId="4" fillId="0" borderId="5" xfId="0" applyFont="true" applyBorder="true" applyAlignment="true" applyProtection="true">
      <alignment horizontal="right" vertical="center" textRotation="0" wrapText="false" indent="0" shrinkToFit="false"/>
      <protection locked="true" hidden="false"/>
    </xf>
    <xf numFmtId="165" fontId="4" fillId="0" borderId="5" xfId="0" applyFont="true" applyBorder="true" applyAlignment="true" applyProtection="false">
      <alignment horizontal="center" vertical="center" textRotation="0" wrapText="false" indent="0" shrinkToFit="false"/>
      <protection locked="true" hidden="false"/>
    </xf>
    <xf numFmtId="165" fontId="4" fillId="0" borderId="5" xfId="0" applyFont="true" applyBorder="true" applyAlignment="true" applyProtection="false">
      <alignment horizontal="center" vertical="bottom" textRotation="0" wrapText="false" indent="0" shrinkToFit="false"/>
      <protection locked="true" hidden="false"/>
    </xf>
    <xf numFmtId="165" fontId="4" fillId="0" borderId="5" xfId="0" applyFont="true" applyBorder="true" applyAlignment="true" applyProtection="true">
      <alignment horizontal="center" vertical="center" textRotation="0" wrapText="false" indent="0" shrinkToFit="false"/>
      <protection locked="true" hidden="false"/>
    </xf>
    <xf numFmtId="165" fontId="4" fillId="0" borderId="5"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4" fillId="0" borderId="54" xfId="0" applyFont="true" applyBorder="true" applyAlignment="true" applyProtection="false">
      <alignment horizontal="center" vertical="center" textRotation="0" wrapText="false" indent="0" shrinkToFit="false"/>
      <protection locked="true" hidden="false"/>
    </xf>
    <xf numFmtId="164" fontId="4" fillId="0" borderId="55" xfId="0" applyFont="true" applyBorder="true" applyAlignment="true" applyProtection="false">
      <alignment horizontal="center" vertical="center" textRotation="0" wrapText="false" indent="0" shrinkToFit="false"/>
      <protection locked="true" hidden="false"/>
    </xf>
    <xf numFmtId="164" fontId="4" fillId="0" borderId="55" xfId="0" applyFont="true" applyBorder="true" applyAlignment="true" applyProtection="false">
      <alignment horizontal="center" vertical="bottom" textRotation="0" wrapText="false" indent="0" shrinkToFit="false"/>
      <protection locked="true" hidden="false"/>
    </xf>
    <xf numFmtId="205" fontId="4" fillId="0" borderId="55" xfId="0" applyFont="true" applyBorder="true" applyAlignment="true" applyProtection="false">
      <alignment horizontal="center" vertical="bottom" textRotation="0" wrapText="false" indent="0" shrinkToFit="false"/>
      <protection locked="true" hidden="false"/>
    </xf>
    <xf numFmtId="173" fontId="4" fillId="0" borderId="55" xfId="0" applyFont="true" applyBorder="true" applyAlignment="true" applyProtection="false">
      <alignment horizontal="center" vertical="bottom" textRotation="0" wrapText="false" indent="0" shrinkToFit="false"/>
      <protection locked="true" hidden="false"/>
    </xf>
    <xf numFmtId="170" fontId="4" fillId="0" borderId="55" xfId="0" applyFont="true" applyBorder="true" applyAlignment="true" applyProtection="false">
      <alignment horizontal="center" vertical="center" textRotation="0" wrapText="false" indent="0" shrinkToFit="false"/>
      <protection locked="true" hidden="false"/>
    </xf>
    <xf numFmtId="173" fontId="4" fillId="0" borderId="55" xfId="0" applyFont="true" applyBorder="true" applyAlignment="true" applyProtection="false">
      <alignment horizontal="center" vertical="center" textRotation="0" wrapText="false" indent="0" shrinkToFit="false"/>
      <protection locked="true" hidden="false"/>
    </xf>
    <xf numFmtId="170" fontId="4" fillId="0" borderId="5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xf numFmtId="205" fontId="4" fillId="0" borderId="0" xfId="0" applyFont="true" applyBorder="true" applyAlignment="true" applyProtection="false">
      <alignment horizontal="center" vertical="bottom" textRotation="0" wrapText="false" indent="0" shrinkToFit="false"/>
      <protection locked="true" hidden="false"/>
    </xf>
    <xf numFmtId="173" fontId="4" fillId="0" borderId="0" xfId="0" applyFont="true" applyBorder="true" applyAlignment="true" applyProtection="false">
      <alignment horizontal="center" vertical="bottom" textRotation="0" wrapText="false" indent="0" shrinkToFit="false"/>
      <protection locked="true" hidden="false"/>
    </xf>
    <xf numFmtId="173" fontId="4" fillId="0" borderId="0" xfId="0" applyFont="true" applyBorder="true" applyAlignment="true" applyProtection="false">
      <alignment horizontal="center" vertical="center" textRotation="0" wrapText="false" indent="0" shrinkToFit="false"/>
      <protection locked="true" hidden="false"/>
    </xf>
    <xf numFmtId="170" fontId="4" fillId="0" borderId="0" xfId="0" applyFont="true" applyBorder="true" applyAlignment="true" applyProtection="false">
      <alignment horizontal="center" vertical="bottom" textRotation="0" wrapText="false" indent="0" shrinkToFit="false"/>
      <protection locked="true" hidden="false"/>
    </xf>
    <xf numFmtId="165" fontId="0" fillId="0" borderId="39" xfId="0" applyFont="false" applyBorder="true" applyAlignment="true" applyProtection="false">
      <alignment horizontal="center" vertical="bottom" textRotation="0" wrapText="false" indent="0" shrinkToFit="false"/>
      <protection locked="true" hidden="false"/>
    </xf>
    <xf numFmtId="173" fontId="0" fillId="0" borderId="0" xfId="0" applyFont="true" applyBorder="true" applyAlignment="true" applyProtection="false">
      <alignment horizontal="center" vertical="bottom" textRotation="0" wrapText="false" indent="0" shrinkToFit="false"/>
      <protection locked="true" hidden="false"/>
    </xf>
    <xf numFmtId="170" fontId="0" fillId="0" borderId="0" xfId="0" applyFont="true" applyBorder="true" applyAlignment="true" applyProtection="false">
      <alignment horizontal="center" vertical="center" textRotation="0" wrapText="false" indent="0" shrinkToFit="false"/>
      <protection locked="true" hidden="false"/>
    </xf>
    <xf numFmtId="173" fontId="0" fillId="0" borderId="0" xfId="0" applyFont="true" applyBorder="true" applyAlignment="true" applyProtection="false">
      <alignment horizontal="center" vertical="center" textRotation="0" wrapText="false" indent="0" shrinkToFit="false"/>
      <protection locked="true" hidden="false"/>
    </xf>
    <xf numFmtId="170" fontId="0" fillId="0" borderId="0" xfId="0" applyFont="true" applyBorder="true" applyAlignment="true" applyProtection="false">
      <alignment horizontal="center" vertical="bottom"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right" vertical="bottom" textRotation="0" wrapText="false" indent="0" shrinkToFit="false"/>
      <protection locked="true" hidden="false"/>
    </xf>
    <xf numFmtId="165" fontId="0" fillId="0" borderId="5" xfId="0" applyFont="true" applyBorder="true" applyAlignment="true" applyProtection="false">
      <alignment horizontal="center" vertical="bottom" textRotation="0" wrapText="false" indent="0" shrinkToFit="false"/>
      <protection locked="true" hidden="false"/>
    </xf>
    <xf numFmtId="165" fontId="4" fillId="0" borderId="25" xfId="0" applyFont="true" applyBorder="true" applyAlignment="true" applyProtection="false">
      <alignment horizontal="center"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0" fillId="0" borderId="26" xfId="0" applyFont="true" applyBorder="true" applyAlignment="true" applyProtection="false">
      <alignment horizontal="center" vertical="bottom" textRotation="0" wrapText="false" indent="0" shrinkToFit="false"/>
      <protection locked="true" hidden="false"/>
    </xf>
    <xf numFmtId="164" fontId="4" fillId="0" borderId="30" xfId="0" applyFont="true" applyBorder="true" applyAlignment="false" applyProtection="false">
      <alignment horizontal="general" vertical="bottom" textRotation="0" wrapText="false" indent="0" shrinkToFit="false"/>
      <protection locked="true" hidden="false"/>
    </xf>
    <xf numFmtId="173" fontId="4" fillId="0" borderId="31" xfId="0" applyFont="true" applyBorder="true" applyAlignment="true" applyProtection="false">
      <alignment horizontal="center" vertical="bottom" textRotation="0" wrapText="false" indent="0" shrinkToFit="false"/>
      <protection locked="true" hidden="false"/>
    </xf>
    <xf numFmtId="170" fontId="4" fillId="0" borderId="26" xfId="0" applyFont="true" applyBorder="true" applyAlignment="true" applyProtection="false">
      <alignment horizontal="center" vertical="center" textRotation="0" wrapText="false" indent="0" shrinkToFit="false"/>
      <protection locked="true" hidden="false"/>
    </xf>
    <xf numFmtId="170" fontId="4" fillId="0" borderId="28" xfId="0" applyFont="true" applyBorder="true" applyAlignment="true" applyProtection="false">
      <alignment horizontal="center" vertical="center" textRotation="0" wrapText="false" indent="0" shrinkToFit="false"/>
      <protection locked="true" hidden="false"/>
    </xf>
    <xf numFmtId="170" fontId="4" fillId="0" borderId="0" xfId="0" applyFont="true" applyBorder="true" applyAlignment="true" applyProtection="false">
      <alignment horizontal="center" vertical="center" textRotation="0" wrapText="false" indent="0" shrinkToFit="false"/>
      <protection locked="true" hidden="false"/>
    </xf>
    <xf numFmtId="170" fontId="4" fillId="0" borderId="28" xfId="0" applyFont="true" applyBorder="true" applyAlignment="true" applyProtection="false">
      <alignment horizontal="center" vertical="bottom" textRotation="0" wrapText="false" indent="0" shrinkToFit="false"/>
      <protection locked="true" hidden="false"/>
    </xf>
    <xf numFmtId="164" fontId="4" fillId="0" borderId="30" xfId="0" applyFont="true" applyBorder="true" applyAlignment="true" applyProtection="false">
      <alignment horizontal="center" vertical="bottom" textRotation="0" wrapText="false" indent="0" shrinkToFit="false"/>
      <protection locked="true" hidden="false"/>
    </xf>
    <xf numFmtId="170" fontId="4" fillId="0" borderId="30" xfId="0" applyFont="true" applyBorder="true" applyAlignment="true" applyProtection="false">
      <alignment horizontal="center" vertical="center" textRotation="0" wrapText="false" indent="0" shrinkToFit="false"/>
      <protection locked="true" hidden="false"/>
    </xf>
    <xf numFmtId="170" fontId="4" fillId="0" borderId="3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4" fillId="0" borderId="29" xfId="0" applyFont="true" applyBorder="true" applyAlignment="true" applyProtection="false">
      <alignment horizontal="center" vertical="bottom" textRotation="0" wrapText="false" indent="0" shrinkToFit="false"/>
      <protection locked="true" hidden="false"/>
    </xf>
    <xf numFmtId="165" fontId="4" fillId="0" borderId="31" xfId="0" applyFont="true" applyBorder="true" applyAlignment="true" applyProtection="false">
      <alignment horizontal="center" vertical="bottom" textRotation="0" wrapText="false" indent="0" shrinkToFit="false"/>
      <protection locked="true" hidden="false"/>
    </xf>
    <xf numFmtId="164" fontId="4" fillId="0" borderId="27" xfId="0" applyFont="true" applyBorder="true" applyAlignment="true" applyProtection="false">
      <alignment horizontal="center" vertical="center" textRotation="0" wrapText="false" indent="0" shrinkToFit="false"/>
      <protection locked="true" hidden="false"/>
    </xf>
    <xf numFmtId="164" fontId="4" fillId="4" borderId="0" xfId="0" applyFont="true" applyBorder="true" applyAlignment="true" applyProtection="true">
      <alignment horizontal="center" vertical="center" textRotation="0" wrapText="false" indent="0" shrinkToFit="false"/>
      <protection locked="false" hidden="false"/>
    </xf>
    <xf numFmtId="164" fontId="4" fillId="4" borderId="28" xfId="0" applyFont="true" applyBorder="true" applyAlignment="true" applyProtection="true">
      <alignment horizontal="center" vertical="center" textRotation="0" wrapText="false" indent="0" shrinkToFit="false"/>
      <protection locked="false" hidden="false"/>
    </xf>
    <xf numFmtId="173" fontId="4" fillId="0" borderId="0" xfId="0" applyFont="true" applyBorder="true" applyAlignment="true" applyProtection="false">
      <alignment horizontal="center" vertical="bottom" textRotation="0" wrapText="false" indent="0" shrinkToFit="false"/>
      <protection locked="true" hidden="false"/>
    </xf>
    <xf numFmtId="164" fontId="4" fillId="0" borderId="25"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3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73" fontId="4" fillId="0" borderId="28" xfId="0" applyFont="true" applyBorder="true" applyAlignment="true" applyProtection="false">
      <alignment horizontal="center" vertical="bottom" textRotation="0" wrapText="false" indent="0" shrinkToFit="false"/>
      <protection locked="true" hidden="false"/>
    </xf>
    <xf numFmtId="170" fontId="4" fillId="0" borderId="0" xfId="0" applyFont="true" applyBorder="true" applyAlignment="true" applyProtection="false">
      <alignment horizontal="center" vertical="bottom" textRotation="0" wrapText="false" indent="0" shrinkToFit="false"/>
      <protection locked="true" hidden="false"/>
    </xf>
    <xf numFmtId="165" fontId="4" fillId="4" borderId="26" xfId="0" applyFont="true" applyBorder="true" applyAlignment="true" applyProtection="true">
      <alignment horizontal="center" vertical="center" textRotation="0" wrapText="false" indent="0" shrinkToFit="false"/>
      <protection locked="false" hidden="false"/>
    </xf>
    <xf numFmtId="170" fontId="4" fillId="0" borderId="30" xfId="0" applyFont="true" applyBorder="true" applyAlignment="true" applyProtection="false">
      <alignment horizontal="center" vertical="bottom" textRotation="0" wrapText="false" indent="0" shrinkToFit="false"/>
      <protection locked="true" hidden="false"/>
    </xf>
    <xf numFmtId="165" fontId="4" fillId="0" borderId="31" xfId="0" applyFont="true" applyBorder="true" applyAlignment="false" applyProtection="false">
      <alignment horizontal="general" vertical="bottom" textRotation="0" wrapText="false" indent="0" shrinkToFit="false"/>
      <protection locked="true" hidden="false"/>
    </xf>
    <xf numFmtId="164" fontId="4" fillId="0" borderId="17" xfId="0" applyFont="true" applyBorder="true" applyAlignment="true" applyProtection="false">
      <alignment horizontal="center" vertical="bottom" textRotation="0" wrapText="false" indent="0" shrinkToFit="false"/>
      <protection locked="true" hidden="false"/>
    </xf>
    <xf numFmtId="164" fontId="4" fillId="0" borderId="56" xfId="0" applyFont="true" applyBorder="true" applyAlignment="true" applyProtection="false">
      <alignment horizontal="general" vertical="bottom" textRotation="0" wrapText="false" indent="0" shrinkToFit="false"/>
      <protection locked="true" hidden="false"/>
    </xf>
    <xf numFmtId="173" fontId="4" fillId="0" borderId="56" xfId="0" applyFont="true" applyBorder="true" applyAlignment="true" applyProtection="false">
      <alignment horizontal="center" vertical="bottom" textRotation="0" wrapText="false" indent="0" shrinkToFit="false"/>
      <protection locked="true" hidden="false"/>
    </xf>
    <xf numFmtId="164" fontId="4" fillId="0" borderId="56" xfId="0" applyFont="true" applyBorder="true" applyAlignment="true" applyProtection="false">
      <alignment horizontal="center" vertical="bottom" textRotation="0" wrapText="false" indent="0" shrinkToFit="false"/>
      <protection locked="true" hidden="false"/>
    </xf>
    <xf numFmtId="165" fontId="4" fillId="4" borderId="31" xfId="0" applyFont="true" applyBorder="true" applyAlignment="true" applyProtection="true">
      <alignment horizontal="center" vertical="center" textRotation="0" wrapText="false" indent="0" shrinkToFit="false"/>
      <protection locked="fals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4" fillId="0" borderId="25"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73" fontId="4" fillId="0" borderId="0" xfId="0" applyFont="true" applyBorder="true" applyAlignment="true" applyProtection="false">
      <alignment horizontal="center" vertical="center" textRotation="0" wrapText="false" indent="0" shrinkToFit="false"/>
      <protection locked="true" hidden="false"/>
    </xf>
    <xf numFmtId="173" fontId="4" fillId="0" borderId="28" xfId="0" applyFont="true" applyBorder="true" applyAlignment="true" applyProtection="false">
      <alignment horizontal="center" vertical="center" textRotation="0" wrapText="false" indent="0" shrinkToFit="false"/>
      <protection locked="true" hidden="false"/>
    </xf>
    <xf numFmtId="170" fontId="4" fillId="0" borderId="31" xfId="0" applyFont="true" applyBorder="true" applyAlignment="true" applyProtection="false">
      <alignment horizontal="center" vertical="center" textRotation="0" wrapText="false" indent="0" shrinkToFit="false"/>
      <protection locked="true" hidden="false"/>
    </xf>
    <xf numFmtId="164" fontId="54" fillId="0" borderId="0" xfId="0" applyFont="true" applyBorder="true" applyAlignment="true" applyProtection="true">
      <alignment horizontal="center" vertical="bottom" textRotation="0" wrapText="false" indent="0" shrinkToFit="false"/>
      <protection locked="true" hidden="false"/>
    </xf>
    <xf numFmtId="164" fontId="54" fillId="0" borderId="0" xfId="0" applyFont="true" applyBorder="true" applyAlignment="true" applyProtection="true">
      <alignment horizontal="general" vertical="bottom" textRotation="0" wrapText="false" indent="0" shrinkToFit="false"/>
      <protection locked="true" hidden="false"/>
    </xf>
    <xf numFmtId="164" fontId="4" fillId="0" borderId="27" xfId="0" applyFont="true" applyBorder="true" applyAlignment="true" applyProtection="false">
      <alignment horizontal="left" vertical="bottom" textRotation="0" wrapText="false" indent="0" shrinkToFit="false"/>
      <protection locked="true" hidden="false"/>
    </xf>
    <xf numFmtId="172" fontId="4" fillId="0" borderId="3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4" fillId="0" borderId="24" xfId="0" applyFont="true" applyBorder="true" applyAlignment="false" applyProtection="false">
      <alignment horizontal="general" vertical="bottom" textRotation="0" wrapText="false" indent="0" shrinkToFit="false"/>
      <protection locked="true" hidden="false"/>
    </xf>
    <xf numFmtId="164" fontId="4" fillId="0" borderId="26" xfId="0" applyFont="true" applyBorder="true" applyAlignment="false" applyProtection="false">
      <alignment horizontal="general" vertical="bottom" textRotation="0" wrapText="false" indent="0" shrinkToFit="false"/>
      <protection locked="true" hidden="false"/>
    </xf>
    <xf numFmtId="164" fontId="4" fillId="0" borderId="27" xfId="0" applyFont="true" applyBorder="true" applyAlignment="false" applyProtection="false">
      <alignment horizontal="general" vertical="bottom" textRotation="0" wrapText="false" indent="0" shrinkToFit="false"/>
      <protection locked="true" hidden="false"/>
    </xf>
    <xf numFmtId="164" fontId="4" fillId="0" borderId="28" xfId="0" applyFont="true" applyBorder="true" applyAlignment="false" applyProtection="false">
      <alignment horizontal="general" vertical="bottom" textRotation="0" wrapText="false" indent="0" shrinkToFit="false"/>
      <protection locked="true" hidden="false"/>
    </xf>
    <xf numFmtId="164" fontId="4" fillId="0" borderId="29" xfId="0" applyFont="true" applyBorder="true" applyAlignment="false" applyProtection="false">
      <alignment horizontal="general" vertical="bottom" textRotation="0" wrapText="false" indent="0" shrinkToFit="false"/>
      <protection locked="true" hidden="false"/>
    </xf>
    <xf numFmtId="164" fontId="4" fillId="0" borderId="17" xfId="0" applyFont="true" applyBorder="true" applyAlignment="false" applyProtection="false">
      <alignment horizontal="general" vertical="bottom" textRotation="0" wrapText="false" indent="0" shrinkToFit="false"/>
      <protection locked="true" hidden="false"/>
    </xf>
    <xf numFmtId="165" fontId="4" fillId="0" borderId="19" xfId="0" applyFont="true" applyBorder="true" applyAlignment="true" applyProtection="false">
      <alignment horizontal="center" vertical="bottom" textRotation="0" wrapText="false" indent="0" shrinkToFit="false"/>
      <protection locked="true" hidden="false"/>
    </xf>
    <xf numFmtId="164" fontId="4" fillId="0" borderId="24" xfId="0" applyFont="true" applyBorder="true" applyAlignment="false" applyProtection="true">
      <alignment horizontal="general" vertical="bottom" textRotation="0" wrapText="false" indent="0" shrinkToFit="false"/>
      <protection locked="true" hidden="false"/>
    </xf>
    <xf numFmtId="164" fontId="4" fillId="0" borderId="25" xfId="0" applyFont="true" applyBorder="true" applyAlignment="false" applyProtection="true">
      <alignment horizontal="general" vertical="bottom" textRotation="0" wrapText="false" indent="0" shrinkToFit="false"/>
      <protection locked="true" hidden="false"/>
    </xf>
    <xf numFmtId="206" fontId="4" fillId="4" borderId="26" xfId="0" applyFont="true" applyBorder="true" applyAlignment="false" applyProtection="true">
      <alignment horizontal="general" vertical="bottom" textRotation="0" wrapText="false" indent="0" shrinkToFit="false"/>
      <protection locked="false" hidden="false"/>
    </xf>
    <xf numFmtId="164" fontId="4" fillId="0" borderId="29" xfId="0" applyFont="true" applyBorder="true" applyAlignment="false" applyProtection="true">
      <alignment horizontal="general" vertical="bottom" textRotation="0" wrapText="false" indent="0" shrinkToFit="false"/>
      <protection locked="true" hidden="false"/>
    </xf>
    <xf numFmtId="164" fontId="4" fillId="0" borderId="30" xfId="0" applyFont="true" applyBorder="true" applyAlignment="false" applyProtection="true">
      <alignment horizontal="general" vertical="bottom" textRotation="0" wrapText="false" indent="0" shrinkToFit="false"/>
      <protection locked="true" hidden="false"/>
    </xf>
    <xf numFmtId="207" fontId="4" fillId="0" borderId="31" xfId="0" applyFont="true" applyBorder="true" applyAlignment="false" applyProtection="true">
      <alignment horizontal="general" vertical="bottom" textRotation="0" wrapText="false" indent="0" shrinkToFit="false"/>
      <protection locked="true" hidden="false"/>
    </xf>
    <xf numFmtId="164" fontId="4" fillId="0" borderId="24" xfId="0" applyFont="true" applyBorder="true" applyAlignment="true" applyProtection="true">
      <alignment horizontal="general" vertical="bottom" textRotation="0" wrapText="false" indent="0" shrinkToFit="false"/>
      <protection locked="true" hidden="false"/>
    </xf>
    <xf numFmtId="164" fontId="4" fillId="0" borderId="25" xfId="0" applyFont="true" applyBorder="true" applyAlignment="true" applyProtection="true">
      <alignment horizontal="general" vertical="bottom" textRotation="0" wrapText="false" indent="0" shrinkToFit="false"/>
      <protection locked="true" hidden="false"/>
    </xf>
    <xf numFmtId="208" fontId="4" fillId="0" borderId="25" xfId="0" applyFont="true" applyBorder="true" applyAlignment="true" applyProtection="true">
      <alignment horizontal="center" vertical="bottom" textRotation="0" wrapText="false" indent="0" shrinkToFit="false"/>
      <protection locked="true" hidden="false"/>
    </xf>
    <xf numFmtId="209" fontId="4" fillId="0" borderId="26" xfId="0" applyFont="true" applyBorder="true" applyAlignment="true" applyProtection="true">
      <alignment horizontal="center" vertical="bottom" textRotation="0" wrapText="false" indent="0" shrinkToFit="false"/>
      <protection locked="true" hidden="false"/>
    </xf>
    <xf numFmtId="164" fontId="4" fillId="0" borderId="27"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210" fontId="4" fillId="0" borderId="0" xfId="0" applyFont="true" applyBorder="true" applyAlignment="true" applyProtection="true">
      <alignment horizontal="center" vertical="bottom" textRotation="0" wrapText="false" indent="0" shrinkToFit="false"/>
      <protection locked="true" hidden="false"/>
    </xf>
    <xf numFmtId="206" fontId="4" fillId="0" borderId="28" xfId="0" applyFont="true" applyBorder="true" applyAlignment="true" applyProtection="true">
      <alignment horizontal="center" vertical="bottom" textRotation="0" wrapText="false" indent="0" shrinkToFit="false"/>
      <protection locked="true" hidden="false"/>
    </xf>
    <xf numFmtId="164" fontId="4" fillId="0" borderId="29" xfId="0" applyFont="true" applyBorder="true" applyAlignment="true" applyProtection="true">
      <alignment horizontal="general" vertical="bottom" textRotation="0" wrapText="false" indent="0" shrinkToFit="false"/>
      <protection locked="true" hidden="false"/>
    </xf>
    <xf numFmtId="164" fontId="4" fillId="0" borderId="30" xfId="0" applyFont="true" applyBorder="true" applyAlignment="true" applyProtection="true">
      <alignment horizontal="general" vertical="bottom" textRotation="0" wrapText="false" indent="0" shrinkToFit="false"/>
      <protection locked="true" hidden="false"/>
    </xf>
    <xf numFmtId="210" fontId="4" fillId="0" borderId="30" xfId="0" applyFont="true" applyBorder="true" applyAlignment="true" applyProtection="true">
      <alignment horizontal="center" vertical="bottom" textRotation="0" wrapText="false" indent="0" shrinkToFit="false"/>
      <protection locked="true" hidden="false"/>
    </xf>
    <xf numFmtId="206" fontId="4" fillId="0" borderId="31" xfId="0" applyFont="true" applyBorder="true" applyAlignment="true" applyProtection="true">
      <alignment horizontal="center" vertical="bottom" textRotation="0" wrapText="false" indent="0" shrinkToFit="false"/>
      <protection locked="true" hidden="false"/>
    </xf>
    <xf numFmtId="164" fontId="55"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211" fontId="4" fillId="4" borderId="26" xfId="0" applyFont="true" applyBorder="true" applyAlignment="true" applyProtection="true">
      <alignment horizontal="center" vertical="bottom" textRotation="0" wrapText="false" indent="0" shrinkToFit="false"/>
      <protection locked="true" hidden="false"/>
    </xf>
    <xf numFmtId="212" fontId="4" fillId="0" borderId="31" xfId="0" applyFont="true" applyBorder="true" applyAlignment="true" applyProtection="true">
      <alignment horizontal="center" vertical="bottom" textRotation="0" wrapText="false" indent="0" shrinkToFit="false"/>
      <protection locked="true" hidden="false"/>
    </xf>
    <xf numFmtId="164" fontId="4" fillId="0" borderId="24" xfId="0" applyFont="true" applyBorder="true" applyAlignment="true" applyProtection="true">
      <alignment horizontal="left" vertical="bottom" textRotation="0" wrapText="false" indent="0" shrinkToFit="false"/>
      <protection locked="true" hidden="false"/>
    </xf>
    <xf numFmtId="210" fontId="4" fillId="0" borderId="25" xfId="0" applyFont="true" applyBorder="true" applyAlignment="true" applyProtection="true">
      <alignment horizontal="center" vertical="bottom" textRotation="0" wrapText="false" indent="0" shrinkToFit="false"/>
      <protection locked="true" hidden="false"/>
    </xf>
    <xf numFmtId="206" fontId="4" fillId="0" borderId="26" xfId="0" applyFont="true" applyBorder="true" applyAlignment="true" applyProtection="true">
      <alignment horizontal="center" vertical="bottom" textRotation="0" wrapText="false" indent="0" shrinkToFit="false"/>
      <protection locked="true" hidden="false"/>
    </xf>
    <xf numFmtId="164" fontId="4" fillId="0" borderId="29" xfId="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left" vertical="bottom" textRotation="0" wrapText="false" indent="0" shrinkToFit="false"/>
      <protection locked="true" hidden="false"/>
    </xf>
    <xf numFmtId="210" fontId="0" fillId="0" borderId="0" xfId="0" applyFont="false" applyBorder="true" applyAlignment="false" applyProtection="true">
      <alignment horizontal="general" vertical="bottom" textRotation="0" wrapText="false" indent="0" shrinkToFit="false"/>
      <protection locked="true" hidden="false"/>
    </xf>
    <xf numFmtId="206" fontId="0" fillId="0" borderId="0" xfId="0" applyFont="false" applyBorder="true" applyAlignment="false" applyProtection="true">
      <alignment horizontal="general" vertical="bottom" textRotation="0" wrapText="false" indent="0" shrinkToFit="false"/>
      <protection locked="true" hidden="false"/>
    </xf>
    <xf numFmtId="206" fontId="4" fillId="4" borderId="26" xfId="0" applyFont="true" applyBorder="true" applyAlignment="true" applyProtection="true">
      <alignment horizontal="center" vertical="bottom" textRotation="0" wrapText="false" indent="0" shrinkToFit="false"/>
      <protection locked="false" hidden="false"/>
    </xf>
    <xf numFmtId="212" fontId="0" fillId="0" borderId="0" xfId="0" applyFont="true" applyBorder="true" applyAlignment="false" applyProtection="true">
      <alignment horizontal="general" vertical="bottom" textRotation="0" wrapText="false" indent="0" shrinkToFit="false"/>
      <protection locked="true" hidden="false"/>
    </xf>
    <xf numFmtId="164" fontId="4" fillId="0" borderId="29" xfId="0" applyFont="true" applyBorder="true" applyAlignment="true" applyProtection="true">
      <alignment horizontal="left" vertical="bottom" textRotation="0" wrapText="false" indent="0" shrinkToFit="false"/>
      <protection locked="true" hidden="false"/>
    </xf>
    <xf numFmtId="213" fontId="4" fillId="0" borderId="31" xfId="0" applyFont="true" applyBorder="true" applyAlignment="true" applyProtection="true">
      <alignment horizontal="center" vertical="bottom" textRotation="0" wrapText="false" indent="0" shrinkToFit="false"/>
      <protection locked="true" hidden="false"/>
    </xf>
    <xf numFmtId="164" fontId="0" fillId="0" borderId="22" xfId="0" applyFont="true" applyBorder="true" applyAlignment="false" applyProtection="true">
      <alignment horizontal="general" vertical="bottom" textRotation="0" wrapText="false" indent="0" shrinkToFit="false"/>
      <protection locked="true" hidden="false"/>
    </xf>
    <xf numFmtId="164" fontId="0" fillId="0" borderId="22" xfId="0" applyFont="true" applyBorder="true" applyAlignment="fals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6">
    <dxf>
      <font>
        <color rgb="FFFF0000"/>
      </font>
    </dxf>
    <dxf>
      <font>
        <color rgb="FF000000"/>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FF0000"/>
      </font>
    </dxf>
    <dxf>
      <font>
        <color rgb="FF808080"/>
      </font>
    </dxf>
    <dxf>
      <font>
        <color rgb="FFFFFFFF"/>
      </font>
      <fill>
        <patternFill>
          <bgColor rgb="00FFFFFF"/>
        </patternFill>
      </fill>
      <border diagonalUp="false" diagonalDown="false">
        <left/>
        <right/>
        <top/>
        <bottom/>
        <diagonal/>
      </border>
    </dxf>
    <dxf>
      <font>
        <color rgb="FFFFFFFF"/>
      </font>
      <fill>
        <patternFill>
          <bgColor rgb="FFFFFFFF"/>
        </patternFill>
      </fill>
      <border diagonalUp="false" diagonalDown="false">
        <left/>
        <right/>
        <top/>
        <bottom/>
        <diagonal/>
      </border>
    </dxf>
    <dxf>
      <font>
        <color rgb="FFFF0000"/>
      </font>
    </dxf>
    <dxf>
      <font>
        <color rgb="FFFF0000"/>
      </font>
    </dxf>
    <dxf>
      <font>
        <color rgb="FFFF0000"/>
      </font>
    </dxf>
    <dxf>
      <font>
        <color rgb="FFFF0000"/>
      </font>
    </dxf>
    <dxf>
      <font>
        <color rgb="FFFF0000"/>
      </font>
    </dxf>
    <dxf>
      <font>
        <color rgb="FFFF0000"/>
      </font>
    </dxf>
    <dxf>
      <font>
        <color rgb="FFFFFFFF"/>
      </font>
      <fill>
        <patternFill>
          <bgColor rgb="00FFFFFF"/>
        </patternFill>
      </fill>
      <border diagonalUp="false" diagonalDown="false">
        <left/>
        <right/>
        <top/>
        <bottom/>
        <diagonal/>
      </border>
    </dxf>
    <dxf>
      <font>
        <color rgb="FF00FF00"/>
      </font>
    </dxf>
    <dxf>
      <font>
        <color rgb="FFFFFFFF"/>
      </font>
      <fill>
        <patternFill>
          <bgColor rgb="FFFFFFFF"/>
        </patternFill>
      </fill>
      <border diagonalUp="false" diagonalDown="false">
        <left/>
        <right/>
        <top/>
        <bottom/>
        <diagonal/>
      </border>
    </dxf>
    <dxf>
      <font>
        <color rgb="FFFFFFFF"/>
      </font>
      <fill>
        <patternFill>
          <bgColor rgb="00FFFFFF"/>
        </patternFill>
      </fill>
      <border diagonalUp="false" diagonalDown="false">
        <left/>
        <right/>
        <top/>
        <bottom/>
        <diagonal/>
      </border>
    </dxf>
    <dxf>
      <font>
        <color rgb="FFFF0000"/>
      </font>
    </dxf>
    <dxf>
      <font>
        <color rgb="FF000000"/>
      </font>
    </dxf>
    <dxf>
      <font>
        <color rgb="FFFFFFFF"/>
      </font>
    </dxf>
    <dxf>
      <font>
        <color rgb="FFFFFFFF"/>
      </font>
      <fill>
        <patternFill>
          <bgColor rgb="FFFFFFFF"/>
        </patternFill>
      </fill>
      <border diagonalUp="false" diagonalDown="false">
        <left/>
        <right/>
        <top/>
        <bottom/>
        <diagonal/>
      </border>
    </dxf>
    <dxf>
      <fill>
        <patternFill>
          <bgColor rgb="FFFF0000"/>
        </patternFill>
      </fill>
    </dxf>
    <dxf>
      <fill>
        <patternFill>
          <bgColor rgb="FFFF0000"/>
        </patternFill>
      </fill>
    </dxf>
    <dxf>
      <font>
        <color rgb="FFCC6600"/>
      </font>
    </dxf>
    <dxf>
      <font>
        <color rgb="FFCC6600"/>
      </font>
    </dxf>
    <dxf>
      <font>
        <color rgb="FF808080"/>
      </font>
    </dxf>
    <dxf>
      <font>
        <color rgb="FFFF0000"/>
      </font>
    </dxf>
    <dxf>
      <font>
        <color rgb="FFFFFFFF"/>
      </font>
      <fill>
        <patternFill>
          <bgColor rgb="00FFFFFF"/>
        </patternFill>
      </fill>
      <border diagonalUp="false" diagonalDown="false">
        <left/>
        <right/>
        <top/>
        <bottom/>
        <diagonal/>
      </border>
    </dxf>
    <dxf>
      <font>
        <color rgb="FFFFFFFF"/>
      </font>
      <fill>
        <patternFill>
          <bgColor rgb="00FFFFFF"/>
        </patternFill>
      </fill>
      <border diagonalUp="false" diagonalDown="false">
        <left/>
        <right/>
        <top/>
        <bottom/>
        <diagonal/>
      </border>
    </dxf>
    <dxf>
      <font>
        <color rgb="FF99CCFF"/>
      </font>
    </dxf>
    <dxf>
      <fill>
        <patternFill>
          <bgColor rgb="FFFF0000"/>
        </patternFill>
      </fill>
    </dxf>
    <dxf>
      <font>
        <color rgb="FFFFFFFF"/>
      </font>
      <fill>
        <patternFill>
          <bgColor rgb="FFFFFFFF"/>
        </patternFill>
      </fill>
      <border diagonalUp="false" diagonalDown="false">
        <left/>
        <right/>
        <top/>
        <bottom/>
        <diagonal/>
      </border>
    </dxf>
    <dxf>
      <font>
        <color rgb="FFFFFFFF"/>
      </font>
      <fill>
        <patternFill>
          <bgColor rgb="FFFFFFFF"/>
        </patternFill>
      </fill>
      <border diagonalUp="false" diagonalDown="false">
        <left/>
        <right/>
        <top/>
        <bottom/>
        <diagonal/>
      </border>
    </dxf>
    <dxf>
      <fill>
        <patternFill>
          <bgColor rgb="FFFF0000"/>
        </patternFill>
      </fill>
    </dxf>
    <dxf>
      <font>
        <color rgb="FFCCFFFF"/>
      </font>
    </dxf>
    <dxf>
      <fill>
        <patternFill>
          <bgColor rgb="FFFF0000"/>
        </patternFill>
      </fill>
    </dxf>
    <dxf>
      <fill>
        <patternFill>
          <bgColor rgb="FFFF0000"/>
        </patternFill>
      </fill>
    </dxf>
    <dxf>
      <fill>
        <patternFill>
          <bgColor rgb="FFFF0000"/>
        </patternFill>
      </fill>
    </dxf>
    <dxf>
      <font>
        <color rgb="FFFFFFFF"/>
      </font>
      <fill>
        <patternFill>
          <bgColor rgb="FFFFFFFF"/>
        </patternFill>
      </fill>
      <border diagonalUp="false" diagonalDown="false">
        <left/>
        <right/>
        <top/>
        <bottom/>
        <diagonal/>
      </border>
    </dxf>
    <dxf>
      <font>
        <color rgb="FFFFCC99"/>
      </font>
    </dxf>
    <dxf>
      <font>
        <name val="Cambria"/>
        <charset val="1"/>
        <family val="0"/>
        <color rgb="FFFFFF99"/>
      </font>
    </dxf>
    <dxf>
      <fill>
        <patternFill patternType="solid">
          <fgColor rgb="FFFFFF99"/>
        </patternFill>
      </fill>
    </dxf>
    <dxf>
      <fill>
        <patternFill patternType="solid">
          <fgColor rgb="00FFFFFF"/>
        </patternFill>
      </fill>
    </dxf>
    <dxf>
      <fill>
        <patternFill>
          <bgColor rgb="FFFFCCFF"/>
        </patternFill>
      </fill>
    </dxf>
    <dxf>
      <fill>
        <patternFill>
          <bgColor rgb="FFC0C0C0"/>
        </patternFill>
      </fill>
    </dxf>
    <dxf>
      <fill>
        <patternFill>
          <bgColor rgb="FFFFFFCC"/>
        </patternFill>
      </fill>
    </dxf>
    <dxf>
      <font>
        <color rgb="FFFFFFFF"/>
      </font>
    </dxf>
    <dxf>
      <font>
        <color rgb="FFFFFFFF"/>
      </font>
    </dxf>
    <dxf>
      <font>
        <color rgb="FFFFFFFF"/>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CC6600"/>
      <rgbColor rgb="FF800080"/>
      <rgbColor rgb="FF008080"/>
      <rgbColor rgb="FFC0C0C0"/>
      <rgbColor rgb="FF808080"/>
      <rgbColor rgb="FF9999FF"/>
      <rgbColor rgb="FFBE4B48"/>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E6E6E6"/>
      <rgbColor rgb="FFCCFFCC"/>
      <rgbColor rgb="FFFFFF99"/>
      <rgbColor rgb="FF99CCFF"/>
      <rgbColor rgb="FFFFCCFF"/>
      <rgbColor rgb="FFB3B3B3"/>
      <rgbColor rgb="FFFFCC99"/>
      <rgbColor rgb="FF3366FF"/>
      <rgbColor rgb="FF33CCCC"/>
      <rgbColor rgb="FF98B855"/>
      <rgbColor rgb="FFFFCC00"/>
      <rgbColor rgb="FFFF9900"/>
      <rgbColor rgb="FFFF6600"/>
      <rgbColor rgb="FF4A7EBB"/>
      <rgbColor rgb="FF878787"/>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479639083461949"/>
          <c:y val="0.0646689221846303"/>
          <c:w val="0.848628754600499"/>
          <c:h val="0.905558240695988"/>
        </c:manualLayout>
      </c:layout>
      <c:scatterChart>
        <c:scatterStyle val="lineMarker"/>
        <c:varyColors val="0"/>
        <c:ser>
          <c:idx val="0"/>
          <c:order val="0"/>
          <c:tx>
            <c:strRef>
              <c:f>"fuselage"</c:f>
              <c:strCache>
                <c:ptCount val="1"/>
                <c:pt idx="0">
                  <c:v>fuselage</c:v>
                </c:pt>
              </c:strCache>
            </c:strRef>
          </c:tx>
          <c:spPr>
            <a:solidFill>
              <a:srgbClr val="000080"/>
            </a:solidFill>
            <a:ln w="25560">
              <a:solidFill>
                <a:srgbClr val="00008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Stabilito!$D$124:$D$131</c:f>
              <c:numCache>
                <c:formatCode>General</c:formatCode>
                <c:ptCount val="8"/>
                <c:pt idx="0">
                  <c:v>0</c:v>
                </c:pt>
                <c:pt idx="1">
                  <c:v>40</c:v>
                </c:pt>
                <c:pt idx="2">
                  <c:v>40</c:v>
                </c:pt>
                <c:pt idx="3">
                  <c:v>50</c:v>
                </c:pt>
                <c:pt idx="4">
                  <c:v>50</c:v>
                </c:pt>
                <c:pt idx="5">
                  <c:v>50</c:v>
                </c:pt>
                <c:pt idx="6">
                  <c:v>50</c:v>
                </c:pt>
                <c:pt idx="7">
                  <c:v>0</c:v>
                </c:pt>
              </c:numCache>
            </c:numRef>
          </c:xVal>
          <c:yVal>
            <c:numRef>
              <c:f>Stabilito!$C$124:$C$131</c:f>
              <c:numCache>
                <c:formatCode>General</c:formatCode>
                <c:ptCount val="8"/>
                <c:pt idx="0">
                  <c:v>-40</c:v>
                </c:pt>
                <c:pt idx="1">
                  <c:v>-40</c:v>
                </c:pt>
                <c:pt idx="2">
                  <c:v>-40</c:v>
                </c:pt>
                <c:pt idx="3">
                  <c:v>-190</c:v>
                </c:pt>
                <c:pt idx="4">
                  <c:v>-2152</c:v>
                </c:pt>
                <c:pt idx="5">
                  <c:v>-2152</c:v>
                </c:pt>
                <c:pt idx="6">
                  <c:v>-2192</c:v>
                </c:pt>
                <c:pt idx="7">
                  <c:v>-2192</c:v>
                </c:pt>
              </c:numCache>
            </c:numRef>
          </c:yVal>
          <c:smooth val="0"/>
        </c:ser>
        <c:ser>
          <c:idx val="1"/>
          <c:order val="1"/>
          <c:tx>
            <c:strRef>
              <c:f>"aileron"</c:f>
              <c:strCache>
                <c:ptCount val="1"/>
                <c:pt idx="0">
                  <c:v>aileron</c:v>
                </c:pt>
              </c:strCache>
            </c:strRef>
          </c:tx>
          <c:spPr>
            <a:solidFill>
              <a:srgbClr val="00ff00"/>
            </a:solidFill>
            <a:ln w="25560">
              <a:solidFill>
                <a:srgbClr val="00ff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Stabilito!$D$132:$D$136</c:f>
              <c:numCache>
                <c:formatCode>General</c:formatCode>
                <c:ptCount val="5"/>
                <c:pt idx="0">
                  <c:v>50</c:v>
                </c:pt>
                <c:pt idx="1">
                  <c:v>180</c:v>
                </c:pt>
                <c:pt idx="2">
                  <c:v>180</c:v>
                </c:pt>
                <c:pt idx="3">
                  <c:v>50</c:v>
                </c:pt>
                <c:pt idx="4">
                  <c:v>50</c:v>
                </c:pt>
              </c:numCache>
            </c:numRef>
          </c:xVal>
          <c:yVal>
            <c:numRef>
              <c:f>Stabilito!$C$132:$C$136</c:f>
              <c:numCache>
                <c:formatCode>General</c:formatCode>
                <c:ptCount val="5"/>
                <c:pt idx="0">
                  <c:v>-1892</c:v>
                </c:pt>
                <c:pt idx="1">
                  <c:v>-1967</c:v>
                </c:pt>
                <c:pt idx="2">
                  <c:v>-2117</c:v>
                </c:pt>
                <c:pt idx="3">
                  <c:v>-2192</c:v>
                </c:pt>
                <c:pt idx="4">
                  <c:v>-1892</c:v>
                </c:pt>
              </c:numCache>
            </c:numRef>
          </c:yVal>
          <c:smooth val="0"/>
        </c:ser>
        <c:ser>
          <c:idx val="2"/>
          <c:order val="2"/>
          <c:tx>
            <c:strRef>
              <c:f>"fuselage2"</c:f>
              <c:strCache>
                <c:ptCount val="1"/>
                <c:pt idx="0">
                  <c:v>fuselage2</c:v>
                </c:pt>
              </c:strCache>
            </c:strRef>
          </c:tx>
          <c:spPr>
            <a:solidFill>
              <a:srgbClr val="000080"/>
            </a:solidFill>
            <a:ln w="25560">
              <a:solidFill>
                <a:srgbClr val="00008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Stabilito!$E$124:$E$131</c:f>
              <c:numCache>
                <c:formatCode>General</c:formatCode>
                <c:ptCount val="8"/>
                <c:pt idx="0">
                  <c:v>-0</c:v>
                </c:pt>
                <c:pt idx="1">
                  <c:v>-40</c:v>
                </c:pt>
                <c:pt idx="2">
                  <c:v>-40</c:v>
                </c:pt>
                <c:pt idx="3">
                  <c:v>-50</c:v>
                </c:pt>
                <c:pt idx="4">
                  <c:v>-50</c:v>
                </c:pt>
                <c:pt idx="5">
                  <c:v>-50</c:v>
                </c:pt>
                <c:pt idx="6">
                  <c:v>-50</c:v>
                </c:pt>
                <c:pt idx="7">
                  <c:v>-0</c:v>
                </c:pt>
              </c:numCache>
            </c:numRef>
          </c:xVal>
          <c:yVal>
            <c:numRef>
              <c:f>Stabilito!$C$124:$C$131</c:f>
              <c:numCache>
                <c:formatCode>General</c:formatCode>
                <c:ptCount val="8"/>
                <c:pt idx="0">
                  <c:v>-40</c:v>
                </c:pt>
                <c:pt idx="1">
                  <c:v>-40</c:v>
                </c:pt>
                <c:pt idx="2">
                  <c:v>-40</c:v>
                </c:pt>
                <c:pt idx="3">
                  <c:v>-190</c:v>
                </c:pt>
                <c:pt idx="4">
                  <c:v>-2152</c:v>
                </c:pt>
                <c:pt idx="5">
                  <c:v>-2152</c:v>
                </c:pt>
                <c:pt idx="6">
                  <c:v>-2192</c:v>
                </c:pt>
                <c:pt idx="7">
                  <c:v>-2192</c:v>
                </c:pt>
              </c:numCache>
            </c:numRef>
          </c:yVal>
          <c:smooth val="0"/>
        </c:ser>
        <c:ser>
          <c:idx val="3"/>
          <c:order val="3"/>
          <c:tx>
            <c:strRef>
              <c:f>"aileron2"</c:f>
              <c:strCache>
                <c:ptCount val="1"/>
                <c:pt idx="0">
                  <c:v>aileron2</c:v>
                </c:pt>
              </c:strCache>
            </c:strRef>
          </c:tx>
          <c:spPr>
            <a:solidFill>
              <a:srgbClr val="00ff00"/>
            </a:solidFill>
            <a:ln w="25560">
              <a:solidFill>
                <a:srgbClr val="00ff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Stabilito!$E$132:$E$136</c:f>
              <c:numCache>
                <c:formatCode>General</c:formatCode>
                <c:ptCount val="5"/>
                <c:pt idx="0">
                  <c:v>-50</c:v>
                </c:pt>
                <c:pt idx="1">
                  <c:v>-180</c:v>
                </c:pt>
                <c:pt idx="2">
                  <c:v>-180</c:v>
                </c:pt>
                <c:pt idx="3">
                  <c:v>-50</c:v>
                </c:pt>
                <c:pt idx="4">
                  <c:v>-50</c:v>
                </c:pt>
              </c:numCache>
            </c:numRef>
          </c:xVal>
          <c:yVal>
            <c:numRef>
              <c:f>Stabilito!$C$132:$C$136</c:f>
              <c:numCache>
                <c:formatCode>General</c:formatCode>
                <c:ptCount val="5"/>
                <c:pt idx="0">
                  <c:v>-1892</c:v>
                </c:pt>
                <c:pt idx="1">
                  <c:v>-1967</c:v>
                </c:pt>
                <c:pt idx="2">
                  <c:v>-2117</c:v>
                </c:pt>
                <c:pt idx="3">
                  <c:v>-2192</c:v>
                </c:pt>
                <c:pt idx="4">
                  <c:v>-1892</c:v>
                </c:pt>
              </c:numCache>
            </c:numRef>
          </c:yVal>
          <c:smooth val="0"/>
        </c:ser>
        <c:ser>
          <c:idx val="4"/>
          <c:order val="4"/>
          <c:tx>
            <c:strRef>
              <c:f>Stabilito!$B$12</c:f>
              <c:strCache>
                <c:ptCount val="1"/>
                <c:pt idx="0">
                  <c:v>Centre de Masse</c:v>
                </c:pt>
              </c:strCache>
            </c:strRef>
          </c:tx>
          <c:spPr>
            <a:solidFill>
              <a:srgbClr val="0000ff"/>
            </a:solidFill>
            <a:ln w="25560">
              <a:solidFill>
                <a:srgbClr val="0000ff"/>
              </a:solidFill>
              <a:round/>
            </a:ln>
          </c:spPr>
          <c:marker>
            <c:symbol val="circle"/>
            <c:size val="5"/>
            <c:spPr>
              <a:solidFill>
                <a:srgbClr val="0000ff"/>
              </a:solidFill>
            </c:spPr>
          </c:marker>
          <c:dPt>
            <c:idx val="1"/>
            <c:marker>
              <c:symbol val="circle"/>
              <c:size val="5"/>
              <c:spPr>
                <a:solidFill>
                  <a:srgbClr val="0000ff"/>
                </a:solidFill>
              </c:spPr>
            </c:marker>
          </c:dPt>
          <c:dLbls>
            <c:dLbl>
              <c:idx val="1"/>
              <c:txPr>
                <a:bodyPr wrap="square"/>
                <a:lstStyle/>
                <a:p>
                  <a:pPr>
                    <a:defRPr b="0" sz="800" spc="-1" strike="noStrike">
                      <a:solidFill>
                        <a:srgbClr val="0000ff"/>
                      </a:solidFill>
                      <a:latin typeface="Arial"/>
                      <a:ea typeface="Arial"/>
                    </a:defRPr>
                  </a:pPr>
                </a:p>
              </c:txPr>
              <c:dLblPos val="t"/>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Stabilito!$D$149:$D$150</c:f>
              <c:numCache>
                <c:formatCode>General</c:formatCode>
                <c:ptCount val="2"/>
                <c:pt idx="0">
                  <c:v>0</c:v>
                </c:pt>
                <c:pt idx="1">
                  <c:v>0</c:v>
                </c:pt>
              </c:numCache>
            </c:numRef>
          </c:xVal>
          <c:yVal>
            <c:numRef>
              <c:f>Stabilito!$C$149:$C$150</c:f>
              <c:numCache>
                <c:formatCode>General</c:formatCode>
                <c:ptCount val="2"/>
                <c:pt idx="0">
                  <c:v>-1289.88022715539</c:v>
                </c:pt>
                <c:pt idx="1">
                  <c:v>-1209.83448913546</c:v>
                </c:pt>
              </c:numCache>
            </c:numRef>
          </c:yVal>
          <c:smooth val="0"/>
        </c:ser>
        <c:ser>
          <c:idx val="5"/>
          <c:order val="5"/>
          <c:tx>
            <c:strRef>
              <c:f>Stabilito!$F$28</c:f>
              <c:strCache>
                <c:ptCount val="1"/>
                <c:pt idx="0">
                  <c:v>Portance</c:v>
                </c:pt>
              </c:strCache>
            </c:strRef>
          </c:tx>
          <c:spPr>
            <a:solidFill>
              <a:srgbClr val="800000"/>
            </a:solidFill>
            <a:ln w="25560">
              <a:solidFill>
                <a:srgbClr val="800000"/>
              </a:solidFill>
              <a:round/>
            </a:ln>
          </c:spPr>
          <c:marker>
            <c:symbol val="diamond"/>
            <c:size val="5"/>
            <c:spPr>
              <a:solidFill>
                <a:srgbClr val="800000"/>
              </a:solidFill>
            </c:spPr>
          </c:marker>
          <c:dPt>
            <c:idx val="1"/>
            <c:marker>
              <c:symbol val="diamond"/>
              <c:size val="5"/>
              <c:spPr>
                <a:solidFill>
                  <a:srgbClr val="800000"/>
                </a:solidFill>
              </c:spPr>
            </c:marker>
          </c:dPt>
          <c:dLbls>
            <c:dLbl>
              <c:idx val="1"/>
              <c:txPr>
                <a:bodyPr wrap="square"/>
                <a:lstStyle/>
                <a:p>
                  <a:pPr>
                    <a:defRPr b="0" sz="800" spc="-1" strike="noStrike">
                      <a:solidFill>
                        <a:srgbClr val="800000"/>
                      </a:solidFill>
                      <a:latin typeface="Arial"/>
                      <a:ea typeface="Arial"/>
                    </a:defRPr>
                  </a:pPr>
                </a:p>
              </c:txPr>
              <c:dLblPos val="t"/>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Stabilito!$D$151:$D$154</c:f>
              <c:numCache>
                <c:formatCode>General</c:formatCode>
                <c:ptCount val="4"/>
                <c:pt idx="0">
                  <c:v>0</c:v>
                </c:pt>
                <c:pt idx="1">
                  <c:v>128.166079165878</c:v>
                </c:pt>
                <c:pt idx="2">
                  <c:v>136.353358866956</c:v>
                </c:pt>
                <c:pt idx="3">
                  <c:v>0</c:v>
                </c:pt>
              </c:numCache>
            </c:numRef>
          </c:xVal>
          <c:yVal>
            <c:numRef>
              <c:f>Stabilito!$C$151:$C$154</c:f>
              <c:numCache>
                <c:formatCode>General</c:formatCode>
                <c:ptCount val="4"/>
                <c:pt idx="0">
                  <c:v>-1595.42236096406</c:v>
                </c:pt>
                <c:pt idx="1">
                  <c:v>-1595.42236096406</c:v>
                </c:pt>
                <c:pt idx="2">
                  <c:v>-1618.11098866274</c:v>
                </c:pt>
                <c:pt idx="3">
                  <c:v>-1618.11098866274</c:v>
                </c:pt>
              </c:numCache>
            </c:numRef>
          </c:yVal>
          <c:smooth val="0"/>
        </c:ser>
        <c:ser>
          <c:idx val="6"/>
          <c:order val="6"/>
          <c:tx>
            <c:strRef>
              <c:f>"canard"</c:f>
              <c:strCache>
                <c:ptCount val="1"/>
                <c:pt idx="0">
                  <c:v>canard</c:v>
                </c:pt>
              </c:strCache>
            </c:strRef>
          </c:tx>
          <c:spPr>
            <a:solidFill>
              <a:srgbClr val="008000"/>
            </a:solidFill>
            <a:ln w="25560">
              <a:solidFill>
                <a:srgbClr val="008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Stabilito!$D$158:$D$162</c:f>
              <c:numCache>
                <c:formatCode>General</c:formatCode>
                <c:ptCount val="5"/>
                <c:pt idx="0">
                  <c:v>50</c:v>
                </c:pt>
                <c:pt idx="1">
                  <c:v>95</c:v>
                </c:pt>
                <c:pt idx="2">
                  <c:v>95</c:v>
                </c:pt>
                <c:pt idx="3">
                  <c:v>50</c:v>
                </c:pt>
                <c:pt idx="4">
                  <c:v>50</c:v>
                </c:pt>
              </c:numCache>
            </c:numRef>
          </c:xVal>
          <c:yVal>
            <c:numRef>
              <c:f>Stabilito!$C$158:$C$162</c:f>
              <c:numCache>
                <c:formatCode>General</c:formatCode>
                <c:ptCount val="5"/>
                <c:pt idx="0">
                  <c:v>-450</c:v>
                </c:pt>
                <c:pt idx="1">
                  <c:v>-450</c:v>
                </c:pt>
                <c:pt idx="2">
                  <c:v>-600</c:v>
                </c:pt>
                <c:pt idx="3">
                  <c:v>-600</c:v>
                </c:pt>
                <c:pt idx="4">
                  <c:v>-450</c:v>
                </c:pt>
              </c:numCache>
            </c:numRef>
          </c:yVal>
          <c:smooth val="0"/>
        </c:ser>
        <c:ser>
          <c:idx val="7"/>
          <c:order val="7"/>
          <c:tx>
            <c:strRef>
              <c:f>"canard2"</c:f>
              <c:strCache>
                <c:ptCount val="1"/>
                <c:pt idx="0">
                  <c:v>canard2</c:v>
                </c:pt>
              </c:strCache>
            </c:strRef>
          </c:tx>
          <c:spPr>
            <a:solidFill>
              <a:srgbClr val="008000"/>
            </a:solidFill>
            <a:ln w="25560">
              <a:solidFill>
                <a:srgbClr val="008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Stabilito!$E$158:$E$162</c:f>
              <c:numCache>
                <c:formatCode>General</c:formatCode>
                <c:ptCount val="5"/>
                <c:pt idx="0">
                  <c:v>-50</c:v>
                </c:pt>
                <c:pt idx="1">
                  <c:v>-95</c:v>
                </c:pt>
                <c:pt idx="2">
                  <c:v>-95</c:v>
                </c:pt>
                <c:pt idx="3">
                  <c:v>-50</c:v>
                </c:pt>
                <c:pt idx="4">
                  <c:v>-50</c:v>
                </c:pt>
              </c:numCache>
            </c:numRef>
          </c:xVal>
          <c:yVal>
            <c:numRef>
              <c:f>Stabilito!$C$158:$C$162</c:f>
              <c:numCache>
                <c:formatCode>General</c:formatCode>
                <c:ptCount val="5"/>
                <c:pt idx="0">
                  <c:v>-450</c:v>
                </c:pt>
                <c:pt idx="1">
                  <c:v>-450</c:v>
                </c:pt>
                <c:pt idx="2">
                  <c:v>-600</c:v>
                </c:pt>
                <c:pt idx="3">
                  <c:v>-600</c:v>
                </c:pt>
                <c:pt idx="4">
                  <c:v>-450</c:v>
                </c:pt>
              </c:numCache>
            </c:numRef>
          </c:yVal>
          <c:smooth val="0"/>
        </c:ser>
        <c:ser>
          <c:idx val="8"/>
          <c:order val="8"/>
          <c:tx>
            <c:strRef>
              <c:f>"masquage"</c:f>
              <c:strCache>
                <c:ptCount val="1"/>
                <c:pt idx="0">
                  <c:v>masquage</c:v>
                </c:pt>
              </c:strCache>
            </c:strRef>
          </c:tx>
          <c:spPr>
            <a:solidFill>
              <a:srgbClr val="ff0000"/>
            </a:solidFill>
            <a:ln w="25560">
              <a:solidFill>
                <a:srgbClr val="ff0000"/>
              </a:solidFill>
              <a:prstDash val="sysDash"/>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Stabilito!$D$163:$D$167</c:f>
              <c:numCache>
                <c:formatCode>General</c:formatCode>
                <c:ptCount val="5"/>
                <c:pt idx="0">
                  <c:v>50</c:v>
                </c:pt>
                <c:pt idx="1">
                  <c:v>95</c:v>
                </c:pt>
                <c:pt idx="2">
                  <c:v>95</c:v>
                </c:pt>
                <c:pt idx="3">
                  <c:v>50</c:v>
                </c:pt>
                <c:pt idx="4">
                  <c:v>50</c:v>
                </c:pt>
              </c:numCache>
            </c:numRef>
          </c:xVal>
          <c:yVal>
            <c:numRef>
              <c:f>Stabilito!$C$163:$C$167</c:f>
              <c:numCache>
                <c:formatCode>General</c:formatCode>
                <c:ptCount val="5"/>
                <c:pt idx="0">
                  <c:v>-1892</c:v>
                </c:pt>
                <c:pt idx="1">
                  <c:v>-1917.96153846154</c:v>
                </c:pt>
                <c:pt idx="2">
                  <c:v>-2166.03846153846</c:v>
                </c:pt>
                <c:pt idx="3">
                  <c:v>-2192</c:v>
                </c:pt>
                <c:pt idx="4">
                  <c:v>-1892</c:v>
                </c:pt>
              </c:numCache>
            </c:numRef>
          </c:yVal>
          <c:smooth val="0"/>
        </c:ser>
        <c:ser>
          <c:idx val="9"/>
          <c:order val="9"/>
          <c:tx>
            <c:strRef>
              <c:f>"masquage2"</c:f>
              <c:strCache>
                <c:ptCount val="1"/>
                <c:pt idx="0">
                  <c:v>masquage2</c:v>
                </c:pt>
              </c:strCache>
            </c:strRef>
          </c:tx>
          <c:spPr>
            <a:solidFill>
              <a:srgbClr val="ff0000"/>
            </a:solidFill>
            <a:ln w="25560">
              <a:solidFill>
                <a:srgbClr val="ff0000"/>
              </a:solidFill>
              <a:prstDash val="sysDash"/>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Stabilito!$E$163:$E$167</c:f>
              <c:numCache>
                <c:formatCode>General</c:formatCode>
                <c:ptCount val="5"/>
                <c:pt idx="0">
                  <c:v>-50</c:v>
                </c:pt>
                <c:pt idx="1">
                  <c:v>-95</c:v>
                </c:pt>
                <c:pt idx="2">
                  <c:v>-95</c:v>
                </c:pt>
                <c:pt idx="3">
                  <c:v>-50</c:v>
                </c:pt>
                <c:pt idx="4">
                  <c:v>-50</c:v>
                </c:pt>
              </c:numCache>
            </c:numRef>
          </c:xVal>
          <c:yVal>
            <c:numRef>
              <c:f>Stabilito!$C$163:$C$167</c:f>
              <c:numCache>
                <c:formatCode>General</c:formatCode>
                <c:ptCount val="5"/>
                <c:pt idx="0">
                  <c:v>-1892</c:v>
                </c:pt>
                <c:pt idx="1">
                  <c:v>-1917.96153846154</c:v>
                </c:pt>
                <c:pt idx="2">
                  <c:v>-2166.03846153846</c:v>
                </c:pt>
                <c:pt idx="3">
                  <c:v>-2192</c:v>
                </c:pt>
                <c:pt idx="4">
                  <c:v>-1892</c:v>
                </c:pt>
              </c:numCache>
            </c:numRef>
          </c:yVal>
          <c:smooth val="0"/>
        </c:ser>
        <c:ser>
          <c:idx val="10"/>
          <c:order val="10"/>
          <c:tx>
            <c:strRef>
              <c:f>"cadre"</c:f>
              <c:strCache>
                <c:ptCount val="1"/>
                <c:pt idx="0">
                  <c:v>cadre</c:v>
                </c:pt>
              </c:strCache>
            </c:strRef>
          </c:tx>
          <c:spPr>
            <a:solidFill>
              <a:srgbClr val="ffffff"/>
            </a:solidFill>
            <a:ln w="12600">
              <a:solidFill>
                <a:srgbClr val="ffffff"/>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Stabilito!$D$168:$D$169</c:f>
              <c:numCache>
                <c:formatCode>General</c:formatCode>
                <c:ptCount val="2"/>
                <c:pt idx="0">
                  <c:v>730.666666666667</c:v>
                </c:pt>
                <c:pt idx="1">
                  <c:v>-730.666666666667</c:v>
                </c:pt>
              </c:numCache>
            </c:numRef>
          </c:xVal>
          <c:yVal>
            <c:numRef>
              <c:f>Stabilito!$C$168:$C$169</c:f>
              <c:numCache>
                <c:formatCode>General</c:formatCode>
                <c:ptCount val="2"/>
                <c:pt idx="0">
                  <c:v>-2213.92</c:v>
                </c:pt>
                <c:pt idx="1">
                  <c:v>-2213.92</c:v>
                </c:pt>
              </c:numCache>
            </c:numRef>
          </c:yVal>
          <c:smooth val="0"/>
        </c:ser>
        <c:ser>
          <c:idx val="11"/>
          <c:order val="11"/>
          <c:tx>
            <c:strRef>
              <c:f>"Propu"</c:f>
              <c:strCache>
                <c:ptCount val="1"/>
                <c:pt idx="0">
                  <c:v>Propu</c:v>
                </c:pt>
              </c:strCache>
            </c:strRef>
          </c:tx>
          <c:spPr>
            <a:solidFill>
              <a:srgbClr val="ff00ff"/>
            </a:solidFill>
            <a:ln w="25560">
              <a:solidFill>
                <a:srgbClr val="ff00ff"/>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Stabilito!$D$170:$D$174</c:f>
              <c:numCache>
                <c:formatCode>General</c:formatCode>
                <c:ptCount val="5"/>
                <c:pt idx="0">
                  <c:v>-27</c:v>
                </c:pt>
                <c:pt idx="1">
                  <c:v>27</c:v>
                </c:pt>
                <c:pt idx="2">
                  <c:v>27</c:v>
                </c:pt>
                <c:pt idx="3">
                  <c:v>-27</c:v>
                </c:pt>
                <c:pt idx="4">
                  <c:v>-27</c:v>
                </c:pt>
              </c:numCache>
            </c:numRef>
          </c:xVal>
          <c:yVal>
            <c:numRef>
              <c:f>Stabilito!$C$170:$C$174</c:f>
              <c:numCache>
                <c:formatCode>General</c:formatCode>
                <c:ptCount val="5"/>
                <c:pt idx="0">
                  <c:v>-1704</c:v>
                </c:pt>
                <c:pt idx="1">
                  <c:v>-1704</c:v>
                </c:pt>
                <c:pt idx="2">
                  <c:v>-2192</c:v>
                </c:pt>
                <c:pt idx="3">
                  <c:v>-2192</c:v>
                </c:pt>
                <c:pt idx="4">
                  <c:v>-1704</c:v>
                </c:pt>
              </c:numCache>
            </c:numRef>
          </c:yVal>
          <c:smooth val="0"/>
        </c:ser>
        <c:ser>
          <c:idx val="12"/>
          <c:order val="12"/>
          <c:tx>
            <c:strRef>
              <c:f>"Cone"</c:f>
              <c:strCache>
                <c:ptCount val="1"/>
                <c:pt idx="0">
                  <c:v>Cone</c:v>
                </c:pt>
              </c:strCache>
            </c:strRef>
          </c:tx>
          <c:spPr>
            <a:solidFill>
              <a:srgbClr val="800080"/>
            </a:solidFill>
            <a:ln w="25560">
              <a:solidFill>
                <a:srgbClr val="80008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Stabilito!$D$175:$D$180</c:f>
              <c:numCache>
                <c:formatCode>General</c:formatCode>
                <c:ptCount val="6"/>
                <c:pt idx="0">
                  <c:v>0</c:v>
                </c:pt>
                <c:pt idx="1">
                  <c:v>20</c:v>
                </c:pt>
                <c:pt idx="2">
                  <c:v>28</c:v>
                </c:pt>
                <c:pt idx="3">
                  <c:v>35.2</c:v>
                </c:pt>
                <c:pt idx="4">
                  <c:v>38</c:v>
                </c:pt>
                <c:pt idx="5">
                  <c:v>40</c:v>
                </c:pt>
              </c:numCache>
            </c:numRef>
          </c:xVal>
          <c:yVal>
            <c:numRef>
              <c:f>Stabilito!$C$175:$C$180</c:f>
              <c:numCache>
                <c:formatCode>General</c:formatCode>
                <c:ptCount val="6"/>
                <c:pt idx="0">
                  <c:v>0</c:v>
                </c:pt>
                <c:pt idx="1">
                  <c:v>-4</c:v>
                </c:pt>
                <c:pt idx="2">
                  <c:v>-10</c:v>
                </c:pt>
                <c:pt idx="3">
                  <c:v>-20</c:v>
                </c:pt>
                <c:pt idx="4">
                  <c:v>-30</c:v>
                </c:pt>
                <c:pt idx="5">
                  <c:v>-40</c:v>
                </c:pt>
              </c:numCache>
            </c:numRef>
          </c:yVal>
          <c:smooth val="0"/>
        </c:ser>
        <c:ser>
          <c:idx val="13"/>
          <c:order val="13"/>
          <c:tx>
            <c:strRef>
              <c:f>"Cone1"</c:f>
              <c:strCache>
                <c:ptCount val="1"/>
                <c:pt idx="0">
                  <c:v>Cone1</c:v>
                </c:pt>
              </c:strCache>
            </c:strRef>
          </c:tx>
          <c:spPr>
            <a:solidFill>
              <a:srgbClr val="800080"/>
            </a:solidFill>
            <a:ln w="25560">
              <a:solidFill>
                <a:srgbClr val="80008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Stabilito!$E$175:$E$180</c:f>
              <c:numCache>
                <c:formatCode>General</c:formatCode>
                <c:ptCount val="6"/>
                <c:pt idx="0">
                  <c:v>-0</c:v>
                </c:pt>
                <c:pt idx="1">
                  <c:v>-20</c:v>
                </c:pt>
                <c:pt idx="2">
                  <c:v>-28</c:v>
                </c:pt>
                <c:pt idx="3">
                  <c:v>-35.2</c:v>
                </c:pt>
                <c:pt idx="4">
                  <c:v>-38</c:v>
                </c:pt>
                <c:pt idx="5">
                  <c:v>-40</c:v>
                </c:pt>
              </c:numCache>
            </c:numRef>
          </c:xVal>
          <c:yVal>
            <c:numRef>
              <c:f>Stabilito!$C$175:$C$180</c:f>
              <c:numCache>
                <c:formatCode>General</c:formatCode>
                <c:ptCount val="6"/>
                <c:pt idx="0">
                  <c:v>0</c:v>
                </c:pt>
                <c:pt idx="1">
                  <c:v>-4</c:v>
                </c:pt>
                <c:pt idx="2">
                  <c:v>-10</c:v>
                </c:pt>
                <c:pt idx="3">
                  <c:v>-20</c:v>
                </c:pt>
                <c:pt idx="4">
                  <c:v>-30</c:v>
                </c:pt>
                <c:pt idx="5">
                  <c:v>-40</c:v>
                </c:pt>
              </c:numCache>
            </c:numRef>
          </c:yVal>
          <c:smooth val="0"/>
        </c:ser>
        <c:ser>
          <c:idx val="14"/>
          <c:order val="14"/>
          <c:tx>
            <c:strRef>
              <c:f>Stabilito!$B$137</c:f>
              <c:strCache>
                <c:ptCount val="1"/>
                <c:pt idx="0">
                  <c:v>Envergure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b"/>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Stabilito!$D$137:$D$139</c:f>
              <c:numCache>
                <c:formatCode>General</c:formatCode>
                <c:ptCount val="3"/>
                <c:pt idx="0">
                  <c:v>-180</c:v>
                </c:pt>
                <c:pt idx="1">
                  <c:v>-115</c:v>
                </c:pt>
                <c:pt idx="2">
                  <c:v>-50</c:v>
                </c:pt>
              </c:numCache>
            </c:numRef>
          </c:xVal>
          <c:yVal>
            <c:numRef>
              <c:f>Stabilito!$C$137:$C$139</c:f>
              <c:numCache>
                <c:formatCode>General</c:formatCode>
                <c:ptCount val="3"/>
                <c:pt idx="0">
                  <c:v>-2265.06666666667</c:v>
                </c:pt>
                <c:pt idx="1">
                  <c:v>-2265.06666666667</c:v>
                </c:pt>
                <c:pt idx="2">
                  <c:v>-2265.06666666667</c:v>
                </c:pt>
              </c:numCache>
            </c:numRef>
          </c:yVal>
          <c:smooth val="0"/>
        </c:ser>
        <c:ser>
          <c:idx val="15"/>
          <c:order val="15"/>
          <c:tx>
            <c:strRef>
              <c:f>Stabilito!$B$143</c:f>
              <c:strCache>
                <c:ptCount val="1"/>
                <c:pt idx="0">
                  <c:v>Flèche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Stabilito!$D$143:$D$145</c:f>
              <c:numCache>
                <c:formatCode>General</c:formatCode>
                <c:ptCount val="3"/>
                <c:pt idx="0">
                  <c:v>-253.066666666667</c:v>
                </c:pt>
                <c:pt idx="1">
                  <c:v>-253.066666666667</c:v>
                </c:pt>
                <c:pt idx="2">
                  <c:v>-253.066666666667</c:v>
                </c:pt>
              </c:numCache>
            </c:numRef>
          </c:xVal>
          <c:yVal>
            <c:numRef>
              <c:f>Stabilito!$C$143:$C$145</c:f>
              <c:numCache>
                <c:formatCode>General</c:formatCode>
                <c:ptCount val="3"/>
                <c:pt idx="0">
                  <c:v>-1892</c:v>
                </c:pt>
                <c:pt idx="1">
                  <c:v>-1929.5</c:v>
                </c:pt>
                <c:pt idx="2">
                  <c:v>-1967</c:v>
                </c:pt>
              </c:numCache>
            </c:numRef>
          </c:yVal>
          <c:smooth val="0"/>
        </c:ser>
        <c:ser>
          <c:idx val="16"/>
          <c:order val="16"/>
          <c:tx>
            <c:strRef>
              <c:f>Stabilito!$B$146</c:f>
              <c:strCache>
                <c:ptCount val="1"/>
                <c:pt idx="0">
                  <c:v>Saumon</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Stabilito!$D$146:$D$148</c:f>
              <c:numCache>
                <c:formatCode>General</c:formatCode>
                <c:ptCount val="3"/>
                <c:pt idx="0">
                  <c:v>-289.6</c:v>
                </c:pt>
                <c:pt idx="1">
                  <c:v>-289.6</c:v>
                </c:pt>
                <c:pt idx="2">
                  <c:v>-289.6</c:v>
                </c:pt>
              </c:numCache>
            </c:numRef>
          </c:xVal>
          <c:yVal>
            <c:numRef>
              <c:f>Stabilito!$C$146:$C$148</c:f>
              <c:numCache>
                <c:formatCode>General</c:formatCode>
                <c:ptCount val="3"/>
                <c:pt idx="0">
                  <c:v>-1967</c:v>
                </c:pt>
                <c:pt idx="1">
                  <c:v>-2042</c:v>
                </c:pt>
                <c:pt idx="2">
                  <c:v>-2117</c:v>
                </c:pt>
              </c:numCache>
            </c:numRef>
          </c:yVal>
          <c:smooth val="0"/>
        </c:ser>
        <c:ser>
          <c:idx val="17"/>
          <c:order val="17"/>
          <c:tx>
            <c:strRef>
              <c:f>Stabilito!$B$140</c:f>
              <c:strCache>
                <c:ptCount val="1"/>
                <c:pt idx="0">
                  <c:v>Emplanture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r"/>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Stabilito!$D$140:$D$142</c:f>
              <c:numCache>
                <c:formatCode>General</c:formatCode>
                <c:ptCount val="3"/>
                <c:pt idx="0">
                  <c:v>289.6</c:v>
                </c:pt>
                <c:pt idx="1">
                  <c:v>289.6</c:v>
                </c:pt>
                <c:pt idx="2">
                  <c:v>289.6</c:v>
                </c:pt>
              </c:numCache>
            </c:numRef>
          </c:xVal>
          <c:yVal>
            <c:numRef>
              <c:f>Stabilito!$C$140:$C$142</c:f>
              <c:numCache>
                <c:formatCode>General</c:formatCode>
                <c:ptCount val="3"/>
                <c:pt idx="0">
                  <c:v>-1892</c:v>
                </c:pt>
                <c:pt idx="1">
                  <c:v>-2042</c:v>
                </c:pt>
                <c:pt idx="2">
                  <c:v>-2192</c:v>
                </c:pt>
              </c:numCache>
            </c:numRef>
          </c:yVal>
          <c:smooth val="0"/>
        </c:ser>
        <c:ser>
          <c:idx val="18"/>
          <c:order val="18"/>
          <c:tx>
            <c:strRef>
              <c:f>Stabilito!$B$155</c:f>
              <c:strCache>
                <c:ptCount val="1"/>
                <c:pt idx="0">
                  <c:v>Marge Statique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Stabilito!$D$155:$D$157</c:f>
              <c:numCache>
                <c:formatCode>General</c:formatCode>
                <c:ptCount val="3"/>
                <c:pt idx="0">
                  <c:v>-289.6</c:v>
                </c:pt>
                <c:pt idx="1">
                  <c:v>-289.6</c:v>
                </c:pt>
                <c:pt idx="2">
                  <c:v>-289.6</c:v>
                </c:pt>
              </c:numCache>
            </c:numRef>
          </c:xVal>
          <c:yVal>
            <c:numRef>
              <c:f>Stabilito!$C$155:$C$157</c:f>
              <c:numCache>
                <c:formatCode>General</c:formatCode>
                <c:ptCount val="3"/>
                <c:pt idx="0">
                  <c:v>-1249.85735814543</c:v>
                </c:pt>
                <c:pt idx="1">
                  <c:v>-1422.63985955474</c:v>
                </c:pt>
                <c:pt idx="2">
                  <c:v>-1595.42236096406</c:v>
                </c:pt>
              </c:numCache>
            </c:numRef>
          </c:yVal>
          <c:smooth val="0"/>
        </c:ser>
        <c:axId val="73559260"/>
        <c:axId val="2496072"/>
      </c:scatterChart>
      <c:valAx>
        <c:axId val="73559260"/>
        <c:scaling>
          <c:orientation val="minMax"/>
        </c:scaling>
        <c:delete val="0"/>
        <c:axPos val="b"/>
        <c:numFmt formatCode="0" sourceLinked="0"/>
        <c:majorTickMark val="out"/>
        <c:minorTickMark val="none"/>
        <c:tickLblPos val="nextTo"/>
        <c:spPr>
          <a:ln w="3240">
            <a:solidFill>
              <a:srgbClr val="000000"/>
            </a:solidFill>
            <a:round/>
          </a:ln>
        </c:spPr>
        <c:txPr>
          <a:bodyPr/>
          <a:lstStyle/>
          <a:p>
            <a:pPr>
              <a:defRPr b="0" sz="500" spc="-1" strike="noStrike">
                <a:solidFill>
                  <a:srgbClr val="000000"/>
                </a:solidFill>
                <a:latin typeface="Arial"/>
                <a:ea typeface="Arial"/>
              </a:defRPr>
            </a:pPr>
          </a:p>
        </c:txPr>
        <c:crossAx val="2496072"/>
        <c:crosses val="max"/>
        <c:crossBetween val="midCat"/>
      </c:valAx>
      <c:valAx>
        <c:axId val="2496072"/>
        <c:scaling>
          <c:orientation val="minMax"/>
        </c:scaling>
        <c:delete val="0"/>
        <c:axPos val="l"/>
        <c:numFmt formatCode="0" sourceLinked="0"/>
        <c:majorTickMark val="out"/>
        <c:minorTickMark val="none"/>
        <c:tickLblPos val="nextTo"/>
        <c:spPr>
          <a:ln w="3240">
            <a:solidFill>
              <a:srgbClr val="000000"/>
            </a:solidFill>
            <a:round/>
          </a:ln>
        </c:spPr>
        <c:txPr>
          <a:bodyPr/>
          <a:lstStyle/>
          <a:p>
            <a:pPr>
              <a:defRPr b="0" sz="500" spc="-1" strike="noStrike">
                <a:solidFill>
                  <a:srgbClr val="000000"/>
                </a:solidFill>
                <a:latin typeface="Arial"/>
                <a:ea typeface="Arial"/>
              </a:defRPr>
            </a:pPr>
          </a:p>
        </c:txPr>
        <c:crossAx val="73559260"/>
        <c:crosses val="max"/>
        <c:crossBetween val="midCat"/>
      </c:valAx>
      <c:spPr>
        <a:noFill/>
        <a:ln w="25560">
          <a:noFill/>
        </a:ln>
      </c:spPr>
    </c:plotArea>
    <c:plotVisOnly val="1"/>
    <c:dispBlanksAs val="gap"/>
  </c:chart>
  <c:spPr>
    <a:solidFill>
      <a:srgbClr val="ffffff"/>
    </a:solidFill>
    <a:ln w="3240">
      <a:solidFill>
        <a:srgbClr val="000000"/>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Vitesse max / Masse totale</a:t>
            </a:r>
          </a:p>
        </c:rich>
      </c:tx>
      <c:layout>
        <c:manualLayout>
          <c:xMode val="edge"/>
          <c:yMode val="edge"/>
          <c:x val="0.325785361186414"/>
          <c:y val="0.0325898223587552"/>
        </c:manualLayout>
      </c:layout>
      <c:overlay val="0"/>
      <c:spPr>
        <a:noFill/>
        <a:ln w="0">
          <a:noFill/>
        </a:ln>
      </c:spPr>
    </c:title>
    <c:autoTitleDeleted val="0"/>
    <c:plotArea>
      <c:layout>
        <c:manualLayout>
          <c:layoutTarget val="inner"/>
          <c:xMode val="edge"/>
          <c:yMode val="edge"/>
          <c:x val="0.136102694944985"/>
          <c:y val="0.0514224656070522"/>
          <c:w val="0.813586349864455"/>
          <c:h val="0.832509683451316"/>
        </c:manualLayout>
      </c:layout>
      <c:scatterChart>
        <c:scatterStyle val="lineMarker"/>
        <c:varyColors val="0"/>
        <c:ser>
          <c:idx val="0"/>
          <c:order val="0"/>
          <c:tx>
            <c:strRef>
              <c:f>Abaco!$B$41</c:f>
              <c:strCache>
                <c:ptCount val="1"/>
                <c:pt idx="0">
                  <c:v>Ø = 54 mm</c:v>
                </c:pt>
              </c:strCache>
            </c:strRef>
          </c:tx>
          <c:spPr>
            <a:solidFill>
              <a:srgbClr val="4a7ebb"/>
            </a:solidFill>
            <a:ln w="28440">
              <a:solidFill>
                <a:srgbClr val="4a7ebb"/>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Abaco!$K$41:$K$49</c:f>
              <c:numCache>
                <c:formatCode>General</c:formatCode>
                <c:ptCount val="9"/>
                <c:pt idx="0">
                  <c:v>858.03255877093</c:v>
                </c:pt>
                <c:pt idx="1">
                  <c:v>530.725893022717</c:v>
                </c:pt>
                <c:pt idx="2">
                  <c:v>343.045691557145</c:v>
                </c:pt>
                <c:pt idx="3">
                  <c:v>244.746207872167</c:v>
                </c:pt>
                <c:pt idx="4">
                  <c:v>186.073491524422</c:v>
                </c:pt>
                <c:pt idx="5">
                  <c:v>147.435351761997</c:v>
                </c:pt>
                <c:pt idx="6">
                  <c:v>120.166215583097</c:v>
                </c:pt>
                <c:pt idx="7">
                  <c:v>99.9274212841347</c:v>
                </c:pt>
                <c:pt idx="8">
                  <c:v>84.3255688429026</c:v>
                </c:pt>
              </c:numCache>
            </c:numRef>
          </c:yVal>
          <c:smooth val="0"/>
        </c:ser>
        <c:ser>
          <c:idx val="1"/>
          <c:order val="1"/>
          <c:tx>
            <c:strRef>
              <c:f>Abaco!$B$50</c:f>
              <c:strCache>
                <c:ptCount val="1"/>
                <c:pt idx="0">
                  <c:v>Ø = 100 mm</c:v>
                </c:pt>
              </c:strCache>
            </c:strRef>
          </c:tx>
          <c:spPr>
            <a:solidFill>
              <a:srgbClr val="be4b48"/>
            </a:solidFill>
            <a:ln w="28440">
              <a:solidFill>
                <a:srgbClr val="be4b48"/>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Abaco!$K$50:$K$58</c:f>
              <c:numCache>
                <c:formatCode>General</c:formatCode>
                <c:ptCount val="9"/>
                <c:pt idx="0">
                  <c:v>482.569628915319</c:v>
                </c:pt>
                <c:pt idx="1">
                  <c:v>408.425996592281</c:v>
                </c:pt>
                <c:pt idx="2">
                  <c:v>303.936521247396</c:v>
                </c:pt>
                <c:pt idx="3">
                  <c:v>229.195150290916</c:v>
                </c:pt>
                <c:pt idx="4">
                  <c:v>178.786621874164</c:v>
                </c:pt>
                <c:pt idx="5">
                  <c:v>143.607800957287</c:v>
                </c:pt>
                <c:pt idx="6">
                  <c:v>117.985806795792</c:v>
                </c:pt>
                <c:pt idx="7">
                  <c:v>98.6093290291499</c:v>
                </c:pt>
                <c:pt idx="8">
                  <c:v>83.4924570776588</c:v>
                </c:pt>
              </c:numCache>
            </c:numRef>
          </c:yVal>
          <c:smooth val="0"/>
        </c:ser>
        <c:ser>
          <c:idx val="2"/>
          <c:order val="2"/>
          <c:tx>
            <c:strRef>
              <c:f>Abaco!$B$59</c:f>
              <c:strCache>
                <c:ptCount val="1"/>
                <c:pt idx="0">
                  <c:v>Ø = 150 mm</c:v>
                </c:pt>
              </c:strCache>
            </c:strRef>
          </c:tx>
          <c:spPr>
            <a:solidFill>
              <a:srgbClr val="98b855"/>
            </a:solidFill>
            <a:ln w="28440">
              <a:solidFill>
                <a:srgbClr val="98b855"/>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Abaco!$K$59:$K$67</c:f>
              <c:numCache>
                <c:formatCode>General</c:formatCode>
                <c:ptCount val="9"/>
                <c:pt idx="0">
                  <c:v>322.207499642357</c:v>
                </c:pt>
                <c:pt idx="1">
                  <c:v>303.76208522696</c:v>
                </c:pt>
                <c:pt idx="2">
                  <c:v>255.976065898685</c:v>
                </c:pt>
                <c:pt idx="3">
                  <c:v>206.856299448678</c:v>
                </c:pt>
                <c:pt idx="4">
                  <c:v>167.471828283796</c:v>
                </c:pt>
                <c:pt idx="5">
                  <c:v>137.405448351953</c:v>
                </c:pt>
                <c:pt idx="6">
                  <c:v>114.361458223124</c:v>
                </c:pt>
                <c:pt idx="7">
                  <c:v>96.3825268205508</c:v>
                </c:pt>
                <c:pt idx="8">
                  <c:v>82.0695977262359</c:v>
                </c:pt>
              </c:numCache>
            </c:numRef>
          </c:yVal>
          <c:smooth val="0"/>
        </c:ser>
        <c:axId val="94626905"/>
        <c:axId val="4636903"/>
      </c:scatterChart>
      <c:valAx>
        <c:axId val="94626905"/>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395311752512"/>
              <c:y val="0.80913583544811"/>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4636903"/>
        <c:crosses val="autoZero"/>
        <c:crossBetween val="midCat"/>
      </c:valAx>
      <c:valAx>
        <c:axId val="4636903"/>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Vitesse max</a:t>
                </a:r>
              </a:p>
            </c:rich>
          </c:tx>
          <c:layout>
            <c:manualLayout>
              <c:xMode val="edge"/>
              <c:yMode val="edge"/>
              <c:x val="0.141604209854888"/>
              <c:y val="0.0578335782022172"/>
            </c:manualLayout>
          </c:layout>
          <c:overlay val="0"/>
          <c:spPr>
            <a:noFill/>
            <a:ln w="0">
              <a:noFill/>
            </a:ln>
          </c:spPr>
        </c:title>
        <c:numFmt formatCode="General&quot; m/s&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94626905"/>
        <c:crosses val="autoZero"/>
        <c:crossBetween val="midCat"/>
      </c:valAx>
      <c:spPr>
        <a:noFill/>
        <a:ln w="0">
          <a:noFill/>
        </a:ln>
      </c:spPr>
    </c:plotArea>
    <c:legend>
      <c:legendPos val="r"/>
      <c:layout>
        <c:manualLayout>
          <c:xMode val="edge"/>
          <c:yMode val="edge"/>
          <c:x val="0.719444663167104"/>
          <c:y val="0.187067338291721"/>
          <c:w val="0.208333333333333"/>
          <c:h val="0.247113527668164"/>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Altitude max / Masse totale</a:t>
            </a:r>
          </a:p>
        </c:rich>
      </c:tx>
      <c:layout>
        <c:manualLayout>
          <c:xMode val="edge"/>
          <c:yMode val="edge"/>
          <c:x val="0.325785361186414"/>
          <c:y val="0.0325950689511074"/>
        </c:manualLayout>
      </c:layout>
      <c:overlay val="0"/>
      <c:spPr>
        <a:noFill/>
        <a:ln w="0">
          <a:noFill/>
        </a:ln>
      </c:spPr>
    </c:title>
    <c:autoTitleDeleted val="0"/>
    <c:plotArea>
      <c:layout>
        <c:manualLayout>
          <c:layoutTarget val="inner"/>
          <c:xMode val="edge"/>
          <c:yMode val="edge"/>
          <c:x val="0.136102694944985"/>
          <c:y val="0.0513999164229001"/>
          <c:w val="0.813586349864455"/>
          <c:h val="0.832567209917816"/>
        </c:manualLayout>
      </c:layout>
      <c:scatterChart>
        <c:scatterStyle val="lineMarker"/>
        <c:varyColors val="0"/>
        <c:ser>
          <c:idx val="0"/>
          <c:order val="0"/>
          <c:tx>
            <c:strRef>
              <c:f>Abaco!$B$41</c:f>
              <c:strCache>
                <c:ptCount val="1"/>
                <c:pt idx="0">
                  <c:v>Ø = 54 mm</c:v>
                </c:pt>
              </c:strCache>
            </c:strRef>
          </c:tx>
          <c:spPr>
            <a:solidFill>
              <a:srgbClr val="4a7ebb"/>
            </a:solidFill>
            <a:ln w="28440">
              <a:solidFill>
                <a:srgbClr val="4a7ebb"/>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Abaco!$L$41:$L$49</c:f>
              <c:numCache>
                <c:formatCode>General</c:formatCode>
                <c:ptCount val="9"/>
                <c:pt idx="0">
                  <c:v>4140.01638474441</c:v>
                </c:pt>
                <c:pt idx="1">
                  <c:v>5089.95737874255</c:v>
                </c:pt>
                <c:pt idx="2">
                  <c:v>4058.04564932133</c:v>
                </c:pt>
                <c:pt idx="3">
                  <c:v>2802.60606486734</c:v>
                </c:pt>
                <c:pt idx="4">
                  <c:v>1888.84337610522</c:v>
                </c:pt>
                <c:pt idx="5">
                  <c:v>1300.29691950421</c:v>
                </c:pt>
                <c:pt idx="6">
                  <c:v>924.018184885724</c:v>
                </c:pt>
                <c:pt idx="7">
                  <c:v>676.800434711026</c:v>
                </c:pt>
                <c:pt idx="8">
                  <c:v>508.680611178318</c:v>
                </c:pt>
              </c:numCache>
            </c:numRef>
          </c:yVal>
          <c:smooth val="0"/>
        </c:ser>
        <c:ser>
          <c:idx val="1"/>
          <c:order val="1"/>
          <c:tx>
            <c:strRef>
              <c:f>Abaco!$B$50</c:f>
              <c:strCache>
                <c:ptCount val="1"/>
                <c:pt idx="0">
                  <c:v>Ø = 100 mm</c:v>
                </c:pt>
              </c:strCache>
            </c:strRef>
          </c:tx>
          <c:spPr>
            <a:solidFill>
              <a:srgbClr val="be4b48"/>
            </a:solidFill>
            <a:ln w="28440">
              <a:solidFill>
                <a:srgbClr val="be4b48"/>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Abaco!$L$50:$L$58</c:f>
              <c:numCache>
                <c:formatCode>General</c:formatCode>
                <c:ptCount val="9"/>
                <c:pt idx="0">
                  <c:v>2006.52859285991</c:v>
                </c:pt>
                <c:pt idx="1">
                  <c:v>2429.84371883604</c:v>
                </c:pt>
                <c:pt idx="2">
                  <c:v>2306.10967284898</c:v>
                </c:pt>
                <c:pt idx="3">
                  <c:v>1920.4635223859</c:v>
                </c:pt>
                <c:pt idx="4">
                  <c:v>1490.04844960581</c:v>
                </c:pt>
                <c:pt idx="5">
                  <c:v>1122.7734428019</c:v>
                </c:pt>
                <c:pt idx="6">
                  <c:v>842.697118094334</c:v>
                </c:pt>
                <c:pt idx="7">
                  <c:v>637.858073521038</c:v>
                </c:pt>
                <c:pt idx="8">
                  <c:v>489.148551739144</c:v>
                </c:pt>
              </c:numCache>
            </c:numRef>
          </c:yVal>
          <c:smooth val="0"/>
        </c:ser>
        <c:ser>
          <c:idx val="2"/>
          <c:order val="2"/>
          <c:tx>
            <c:strRef>
              <c:f>Abaco!$B$59</c:f>
              <c:strCache>
                <c:ptCount val="1"/>
                <c:pt idx="0">
                  <c:v>Ø = 150 mm</c:v>
                </c:pt>
              </c:strCache>
            </c:strRef>
          </c:tx>
          <c:spPr>
            <a:solidFill>
              <a:srgbClr val="98b855"/>
            </a:solidFill>
            <a:ln w="28440">
              <a:solidFill>
                <a:srgbClr val="98b855"/>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Abaco!$L$59:$L$67</c:f>
              <c:numCache>
                <c:formatCode>General</c:formatCode>
                <c:ptCount val="9"/>
                <c:pt idx="0">
                  <c:v>1277.39979038696</c:v>
                </c:pt>
                <c:pt idx="1">
                  <c:v>1478.89984445003</c:v>
                </c:pt>
                <c:pt idx="2">
                  <c:v>1475.05818728192</c:v>
                </c:pt>
                <c:pt idx="3">
                  <c:v>1339.4959723795</c:v>
                </c:pt>
                <c:pt idx="4">
                  <c:v>1138.91128975725</c:v>
                </c:pt>
                <c:pt idx="5">
                  <c:v>927.948973751355</c:v>
                </c:pt>
                <c:pt idx="6">
                  <c:v>738.647403806562</c:v>
                </c:pt>
                <c:pt idx="7">
                  <c:v>582.639231012887</c:v>
                </c:pt>
                <c:pt idx="8">
                  <c:v>459.503434627879</c:v>
                </c:pt>
              </c:numCache>
            </c:numRef>
          </c:yVal>
          <c:smooth val="0"/>
        </c:ser>
        <c:axId val="89204930"/>
        <c:axId val="8754968"/>
      </c:scatterChart>
      <c:valAx>
        <c:axId val="89204930"/>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395311752512"/>
              <c:y val="0.809165621952918"/>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8754968"/>
        <c:crosses val="autoZero"/>
        <c:crossBetween val="midCat"/>
      </c:valAx>
      <c:valAx>
        <c:axId val="8754968"/>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Altitude max</a:t>
                </a:r>
              </a:p>
            </c:rich>
          </c:tx>
          <c:layout>
            <c:manualLayout>
              <c:xMode val="edge"/>
              <c:yMode val="edge"/>
              <c:x val="0.141604209854888"/>
              <c:y val="0.0578074940799554"/>
            </c:manualLayout>
          </c:layout>
          <c:overlay val="0"/>
          <c:spPr>
            <a:noFill/>
            <a:ln w="0">
              <a:noFill/>
            </a:ln>
          </c:spPr>
        </c:title>
        <c:numFmt formatCode="General&quot; m&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89204930"/>
        <c:crosses val="autoZero"/>
        <c:crossBetween val="midCat"/>
      </c:valAx>
      <c:spPr>
        <a:noFill/>
        <a:ln w="0">
          <a:noFill/>
        </a:ln>
      </c:spPr>
    </c:plotArea>
    <c:legend>
      <c:legendPos val="r"/>
      <c:layout>
        <c:manualLayout>
          <c:xMode val="edge"/>
          <c:yMode val="edge"/>
          <c:x val="0.719444663167104"/>
          <c:y val="0.183962635566781"/>
          <c:w val="0.208333333333333"/>
          <c:h val="0.252358861981875"/>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Temps de culmination / Masse totale</a:t>
            </a:r>
          </a:p>
        </c:rich>
      </c:tx>
      <c:layout>
        <c:manualLayout>
          <c:xMode val="edge"/>
          <c:yMode val="edge"/>
          <c:x val="0.183792494820045"/>
          <c:y val="0.0325950689511074"/>
        </c:manualLayout>
      </c:layout>
      <c:overlay val="0"/>
      <c:spPr>
        <a:noFill/>
        <a:ln w="0">
          <a:noFill/>
        </a:ln>
      </c:spPr>
    </c:title>
    <c:autoTitleDeleted val="0"/>
    <c:plotArea>
      <c:layout>
        <c:manualLayout>
          <c:layoutTarget val="inner"/>
          <c:xMode val="edge"/>
          <c:yMode val="edge"/>
          <c:x val="0.136136904305119"/>
          <c:y val="0.0513999164229001"/>
          <c:w val="0.813598342414243"/>
          <c:h val="0.832567209917816"/>
        </c:manualLayout>
      </c:layout>
      <c:scatterChart>
        <c:scatterStyle val="lineMarker"/>
        <c:varyColors val="0"/>
        <c:ser>
          <c:idx val="0"/>
          <c:order val="0"/>
          <c:tx>
            <c:strRef>
              <c:f>Abaco!$B$41</c:f>
              <c:strCache>
                <c:ptCount val="1"/>
                <c:pt idx="0">
                  <c:v>Ø = 54 mm</c:v>
                </c:pt>
              </c:strCache>
            </c:strRef>
          </c:tx>
          <c:spPr>
            <a:solidFill>
              <a:srgbClr val="4a7ebb"/>
            </a:solidFill>
            <a:ln w="28440">
              <a:solidFill>
                <a:srgbClr val="4a7ebb"/>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Abaco!$M$41:$M$49</c:f>
              <c:numCache>
                <c:formatCode>General</c:formatCode>
                <c:ptCount val="9"/>
                <c:pt idx="0">
                  <c:v>17.80191452983</c:v>
                </c:pt>
                <c:pt idx="1">
                  <c:v>27.5943625236025</c:v>
                </c:pt>
                <c:pt idx="2">
                  <c:v>27.8088589782933</c:v>
                </c:pt>
                <c:pt idx="3">
                  <c:v>24.6149689503576</c:v>
                </c:pt>
                <c:pt idx="4">
                  <c:v>21.0073024890271</c:v>
                </c:pt>
                <c:pt idx="5">
                  <c:v>17.9461637928285</c:v>
                </c:pt>
                <c:pt idx="6">
                  <c:v>15.5215952701193</c:v>
                </c:pt>
                <c:pt idx="7">
                  <c:v>13.6155119585794</c:v>
                </c:pt>
                <c:pt idx="8">
                  <c:v>12.0999675502613</c:v>
                </c:pt>
              </c:numCache>
            </c:numRef>
          </c:yVal>
          <c:smooth val="0"/>
        </c:ser>
        <c:ser>
          <c:idx val="1"/>
          <c:order val="1"/>
          <c:tx>
            <c:strRef>
              <c:f>Abaco!$B$50</c:f>
              <c:strCache>
                <c:ptCount val="1"/>
                <c:pt idx="0">
                  <c:v>Ø = 100 mm</c:v>
                </c:pt>
              </c:strCache>
            </c:strRef>
          </c:tx>
          <c:spPr>
            <a:solidFill>
              <a:srgbClr val="be4b48"/>
            </a:solidFill>
            <a:ln w="28440">
              <a:solidFill>
                <a:srgbClr val="be4b48"/>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Abaco!$M$50:$M$58</c:f>
              <c:numCache>
                <c:formatCode>General</c:formatCode>
                <c:ptCount val="9"/>
                <c:pt idx="0">
                  <c:v>11.2874754245382</c:v>
                </c:pt>
                <c:pt idx="1">
                  <c:v>17.5994823382187</c:v>
                </c:pt>
                <c:pt idx="2">
                  <c:v>19.6711164749995</c:v>
                </c:pt>
                <c:pt idx="3">
                  <c:v>19.5014636915179</c:v>
                </c:pt>
                <c:pt idx="4">
                  <c:v>18.1561687124639</c:v>
                </c:pt>
                <c:pt idx="5">
                  <c:v>16.4082500806784</c:v>
                </c:pt>
                <c:pt idx="6">
                  <c:v>14.6827011646711</c:v>
                </c:pt>
                <c:pt idx="7">
                  <c:v>13.1444433400867</c:v>
                </c:pt>
                <c:pt idx="8">
                  <c:v>11.8264753784027</c:v>
                </c:pt>
              </c:numCache>
            </c:numRef>
          </c:yVal>
          <c:smooth val="0"/>
        </c:ser>
        <c:ser>
          <c:idx val="2"/>
          <c:order val="2"/>
          <c:tx>
            <c:strRef>
              <c:f>Abaco!$B$59</c:f>
              <c:strCache>
                <c:ptCount val="1"/>
                <c:pt idx="0">
                  <c:v>Ø = 150 mm</c:v>
                </c:pt>
              </c:strCache>
            </c:strRef>
          </c:tx>
          <c:spPr>
            <a:solidFill>
              <a:srgbClr val="98b855"/>
            </a:solidFill>
            <a:ln w="28440">
              <a:solidFill>
                <a:srgbClr val="98b855"/>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Abaco!$M$59:$M$67</c:f>
              <c:numCache>
                <c:formatCode>General</c:formatCode>
                <c:ptCount val="9"/>
                <c:pt idx="0">
                  <c:v>8.72221843118746</c:v>
                </c:pt>
                <c:pt idx="1">
                  <c:v>13.105873614309</c:v>
                </c:pt>
                <c:pt idx="2">
                  <c:v>15.0696233913747</c:v>
                </c:pt>
                <c:pt idx="3">
                  <c:v>15.7101207504958</c:v>
                </c:pt>
                <c:pt idx="4">
                  <c:v>15.4458213949365</c:v>
                </c:pt>
                <c:pt idx="5">
                  <c:v>14.6354677061756</c:v>
                </c:pt>
                <c:pt idx="6">
                  <c:v>13.5747767626599</c:v>
                </c:pt>
                <c:pt idx="7">
                  <c:v>12.4625055756035</c:v>
                </c:pt>
                <c:pt idx="8">
                  <c:v>11.4056373840313</c:v>
                </c:pt>
              </c:numCache>
            </c:numRef>
          </c:yVal>
          <c:smooth val="0"/>
        </c:ser>
        <c:axId val="3108059"/>
        <c:axId val="40280803"/>
      </c:scatterChart>
      <c:valAx>
        <c:axId val="3108059"/>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400506484537"/>
              <c:y val="0.809165621952918"/>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40280803"/>
        <c:crosses val="autoZero"/>
        <c:crossBetween val="midCat"/>
      </c:valAx>
      <c:valAx>
        <c:axId val="40280803"/>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Temps de culmination</a:t>
                </a:r>
              </a:p>
            </c:rich>
          </c:tx>
          <c:layout>
            <c:manualLayout>
              <c:xMode val="edge"/>
              <c:yMode val="edge"/>
              <c:x val="0.141662190161922"/>
              <c:y val="0.0578074940799554"/>
            </c:manualLayout>
          </c:layout>
          <c:overlay val="0"/>
          <c:spPr>
            <a:noFill/>
            <a:ln w="0">
              <a:noFill/>
            </a:ln>
          </c:spPr>
        </c:title>
        <c:numFmt formatCode="General&quot; s&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3108059"/>
        <c:crosses val="autoZero"/>
        <c:crossBetween val="midCat"/>
      </c:valAx>
      <c:spPr>
        <a:noFill/>
        <a:ln w="0">
          <a:noFill/>
        </a:ln>
      </c:spPr>
    </c:plotArea>
    <c:legend>
      <c:legendPos val="r"/>
      <c:layout>
        <c:manualLayout>
          <c:xMode val="edge"/>
          <c:yMode val="edge"/>
          <c:x val="0.723577449160318"/>
          <c:y val="0.183962635566781"/>
          <c:w val="0.203252032520325"/>
          <c:h val="0.252358861981875"/>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Diagramme des critères de stabilité</a:t>
            </a:r>
          </a:p>
        </c:rich>
      </c:tx>
      <c:layout>
        <c:manualLayout>
          <c:xMode val="edge"/>
          <c:yMode val="edge"/>
          <c:x val="0.196300715990453"/>
          <c:y val="0.0802578923966207"/>
        </c:manualLayout>
      </c:layout>
      <c:overlay val="0"/>
      <c:spPr>
        <a:solidFill>
          <a:srgbClr val="ffffff"/>
        </a:solidFill>
        <a:ln w="25560">
          <a:noFill/>
        </a:ln>
      </c:spPr>
    </c:title>
    <c:autoTitleDeleted val="0"/>
    <c:plotArea>
      <c:layout>
        <c:manualLayout>
          <c:layoutTarget val="inner"/>
          <c:xMode val="edge"/>
          <c:yMode val="edge"/>
          <c:x val="0.0451073985680191"/>
          <c:y val="0.0589150733659404"/>
          <c:w val="0.93890214797136"/>
          <c:h val="0.828590484659849"/>
        </c:manualLayout>
      </c:layout>
      <c:scatterChart>
        <c:scatterStyle val="lineMarker"/>
        <c:varyColors val="0"/>
        <c:ser>
          <c:idx val="0"/>
          <c:order val="0"/>
          <c:tx>
            <c:strRef>
              <c:f>"Cna min"</c:f>
              <c:strCache>
                <c:ptCount val="1"/>
                <c:pt idx="0">
                  <c:v>Cna min</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ser>
        <c:ser>
          <c:idx val="1"/>
          <c:order val="1"/>
          <c:tx>
            <c:strRef>
              <c:f>"Cna max"</c:f>
              <c:strCache>
                <c:ptCount val="1"/>
                <c:pt idx="0">
                  <c:v>Cna max</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ser>
        <c:ser>
          <c:idx val="2"/>
          <c:order val="2"/>
          <c:tx>
            <c:strRef>
              <c:f>"MS min"</c:f>
              <c:strCache>
                <c:ptCount val="1"/>
                <c:pt idx="0">
                  <c:v>MS min</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ser>
        <c:ser>
          <c:idx val="3"/>
          <c:order val="3"/>
          <c:tx>
            <c:strRef>
              <c:f>"MS max"</c:f>
              <c:strCache>
                <c:ptCount val="1"/>
                <c:pt idx="0">
                  <c:v>MS max</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ser>
        <c:ser>
          <c:idx val="4"/>
          <c:order val="4"/>
          <c:tx>
            <c:strRef>
              <c:f>"MS*Cna min"</c:f>
              <c:strCache>
                <c:ptCount val="1"/>
                <c:pt idx="0">
                  <c:v>MS*Cna min</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c:v>
                </c:pt>
                <c:pt idx="4">
                  <c:v>8</c:v>
                </c:pt>
                <c:pt idx="5">
                  <c:v>5.71428571428571</c:v>
                </c:pt>
              </c:numCache>
            </c:numRef>
          </c:yVal>
          <c:smooth val="1"/>
        </c:ser>
        <c:ser>
          <c:idx val="5"/>
          <c:order val="5"/>
          <c:tx>
            <c:strRef>
              <c:f>"MS*Cna max"</c:f>
              <c:strCache>
                <c:ptCount val="1"/>
                <c:pt idx="0">
                  <c:v>MS*Cna max</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c:v>
                </c:pt>
                <c:pt idx="3">
                  <c:v>25</c:v>
                </c:pt>
                <c:pt idx="4">
                  <c:v>16.6666666666667</c:v>
                </c:pt>
                <c:pt idx="5">
                  <c:v>14.2857142857143</c:v>
                </c:pt>
              </c:numCache>
            </c:numRef>
          </c:yVal>
          <c:smooth val="1"/>
        </c:ser>
        <c:ser>
          <c:idx val="6"/>
          <c:order val="6"/>
          <c:tx>
            <c:strRef>
              <c:f>"Cna moy"</c:f>
              <c:strCache>
                <c:ptCount val="1"/>
                <c:pt idx="0">
                  <c:v>Cna moy</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ser>
        <c:ser>
          <c:idx val="7"/>
          <c:order val="7"/>
          <c:tx>
            <c:strRef>
              <c:f>"Cna moy2"</c:f>
              <c:strCache>
                <c:ptCount val="1"/>
                <c:pt idx="0">
                  <c:v>Cna moy2</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Stabilito!$B$197:$B$198</c:f>
              <c:numCache>
                <c:formatCode>General</c:formatCode>
                <c:ptCount val="2"/>
                <c:pt idx="0">
                  <c:v>3.63636363636364</c:v>
                </c:pt>
                <c:pt idx="1">
                  <c:v>7</c:v>
                </c:pt>
              </c:numCache>
            </c:numRef>
          </c:xVal>
          <c:yVal>
            <c:numRef>
              <c:f>Stabilito!$C$197:$C$198</c:f>
              <c:numCache>
                <c:formatCode>General</c:formatCode>
                <c:ptCount val="2"/>
                <c:pt idx="0">
                  <c:v>27.5</c:v>
                </c:pt>
                <c:pt idx="1">
                  <c:v>27.5</c:v>
                </c:pt>
              </c:numCache>
            </c:numRef>
          </c:yVal>
          <c:smooth val="1"/>
        </c:ser>
        <c:ser>
          <c:idx val="8"/>
          <c:order val="8"/>
          <c:tx>
            <c:strRef>
              <c:f>"MS moy"</c:f>
              <c:strCache>
                <c:ptCount val="1"/>
                <c:pt idx="0">
                  <c:v>MS moy</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ser>
        <c:ser>
          <c:idx val="9"/>
          <c:order val="9"/>
          <c:tx>
            <c:strRef>
              <c:f>"MS moy2"</c:f>
              <c:strCache>
                <c:ptCount val="1"/>
                <c:pt idx="0">
                  <c:v>MS moy2</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ser>
        <c:ser>
          <c:idx val="10"/>
          <c:order val="10"/>
          <c:tx>
            <c:strRef>
              <c:f>"Fusée en cours"</c:f>
              <c:strCache>
                <c:ptCount val="1"/>
                <c:pt idx="0">
                  <c:v>Fusée en cours</c:v>
                </c:pt>
              </c:strCache>
            </c:strRef>
          </c:tx>
          <c:spPr>
            <a:solidFill>
              <a:srgbClr val="000000"/>
            </a:solidFill>
            <a:ln w="25560">
              <a:solidFill>
                <a:srgbClr val="000000"/>
              </a:solidFill>
              <a:round/>
            </a:ln>
          </c:spPr>
          <c:marker>
            <c:symbol val="diamond"/>
            <c:size val="7"/>
            <c:spPr>
              <a:solidFill>
                <a:srgbClr val="000000"/>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Stabilito!$B$190:$B$193</c:f>
              <c:numCache>
                <c:formatCode>General</c:formatCode>
                <c:ptCount val="4"/>
                <c:pt idx="0">
                  <c:v>3.05542133808662</c:v>
                </c:pt>
                <c:pt idx="1">
                  <c:v>3.28230761507346</c:v>
                </c:pt>
                <c:pt idx="2">
                  <c:v>4.08276499527281</c:v>
                </c:pt>
                <c:pt idx="3">
                  <c:v>3.85587871828597</c:v>
                </c:pt>
              </c:numCache>
            </c:numRef>
          </c:xVal>
          <c:yVal>
            <c:numRef>
              <c:f>Stabilito!$C$190:$C$193</c:f>
              <c:numCache>
                <c:formatCode>General</c:formatCode>
                <c:ptCount val="4"/>
                <c:pt idx="0">
                  <c:v>19.2249118748816</c:v>
                </c:pt>
                <c:pt idx="1">
                  <c:v>20.4530038300434</c:v>
                </c:pt>
                <c:pt idx="2">
                  <c:v>20.4530038300434</c:v>
                </c:pt>
                <c:pt idx="3">
                  <c:v>19.2249118748816</c:v>
                </c:pt>
              </c:numCache>
            </c:numRef>
          </c:yVal>
          <c:smooth val="1"/>
        </c:ser>
        <c:ser>
          <c:idx val="11"/>
          <c:order val="11"/>
          <c:tx>
            <c:strRef>
              <c:f>"Fusée en cours0"</c:f>
              <c:strCache>
                <c:ptCount val="1"/>
                <c:pt idx="0">
                  <c:v>Fusée en cours0</c:v>
                </c:pt>
              </c:strCache>
            </c:strRef>
          </c:tx>
          <c:spPr>
            <a:solidFill>
              <a:srgbClr val="000000"/>
            </a:solidFill>
            <a:ln w="25560">
              <a:solidFill>
                <a:srgbClr val="00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Stabilito!$B$193:$B$194</c:f>
              <c:numCache>
                <c:formatCode>General</c:formatCode>
                <c:ptCount val="2"/>
                <c:pt idx="0">
                  <c:v>3.85587871828597</c:v>
                </c:pt>
                <c:pt idx="1">
                  <c:v>3.05542133808662</c:v>
                </c:pt>
              </c:numCache>
            </c:numRef>
          </c:xVal>
          <c:yVal>
            <c:numRef>
              <c:f>Stabilito!$C$193:$C$194</c:f>
              <c:numCache>
                <c:formatCode>General</c:formatCode>
                <c:ptCount val="2"/>
                <c:pt idx="0">
                  <c:v>19.2249118748816</c:v>
                </c:pt>
                <c:pt idx="1">
                  <c:v>19.2249118748816</c:v>
                </c:pt>
              </c:numCache>
            </c:numRef>
          </c:yVal>
          <c:smooth val="1"/>
        </c:ser>
        <c:axId val="82399339"/>
        <c:axId val="49805484"/>
      </c:scatterChart>
      <c:valAx>
        <c:axId val="82399339"/>
        <c:scaling>
          <c:orientation val="minMax"/>
          <c:max val="7"/>
          <c:min val="0"/>
        </c:scaling>
        <c:delete val="0"/>
        <c:axPos val="b"/>
        <c:title>
          <c:tx>
            <c:rich>
              <a:bodyPr rot="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Marge Statique (MS)</a:t>
                </a:r>
              </a:p>
            </c:rich>
          </c:tx>
          <c:layout>
            <c:manualLayout>
              <c:xMode val="edge"/>
              <c:yMode val="edge"/>
              <c:x val="0.517183770883055"/>
              <c:y val="0.730769230769231"/>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49805484"/>
        <c:crosses val="autoZero"/>
        <c:crossBetween val="midCat"/>
      </c:valAx>
      <c:valAx>
        <c:axId val="49805484"/>
        <c:scaling>
          <c:orientation val="minMax"/>
          <c:max val="55"/>
          <c:min val="0"/>
        </c:scaling>
        <c:delete val="0"/>
        <c:axPos val="l"/>
        <c:title>
          <c:tx>
            <c:rich>
              <a:bodyPr rot="-540000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Portance Cnα</a:t>
                </a:r>
              </a:p>
            </c:rich>
          </c:tx>
          <c:layout>
            <c:manualLayout>
              <c:xMode val="edge"/>
              <c:yMode val="edge"/>
              <c:x val="0.0690930787589499"/>
              <c:y val="0.240773677189862"/>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82399339"/>
        <c:crosses val="autoZero"/>
        <c:crossBetween val="midCat"/>
      </c:valAx>
      <c:spPr>
        <a:noFill/>
        <a:ln w="12600">
          <a:solidFill>
            <a:srgbClr val="808080"/>
          </a:solidFill>
          <a:round/>
        </a:ln>
      </c:spPr>
    </c:plotArea>
    <c:plotVisOnly val="1"/>
    <c:dispBlanksAs val="gap"/>
  </c:chart>
  <c:spPr>
    <a:solidFill>
      <a:srgbClr val="ffffff"/>
    </a:solidFill>
    <a:ln w="3240">
      <a:solidFill>
        <a:srgbClr val="000000"/>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Trajectoire (x z)</a:t>
            </a:r>
          </a:p>
        </c:rich>
      </c:tx>
      <c:layout>
        <c:manualLayout>
          <c:xMode val="edge"/>
          <c:yMode val="edge"/>
          <c:x val="0.668726957276079"/>
          <c:y val="0.0386145565176691"/>
        </c:manualLayout>
      </c:layout>
      <c:overlay val="0"/>
      <c:spPr>
        <a:noFill/>
        <a:ln w="25560">
          <a:noFill/>
        </a:ln>
      </c:spPr>
    </c:title>
    <c:autoTitleDeleted val="0"/>
    <c:plotArea>
      <c:layout>
        <c:manualLayout>
          <c:layoutTarget val="inner"/>
          <c:xMode val="edge"/>
          <c:yMode val="edge"/>
          <c:x val="0.0697245716764259"/>
          <c:y val="0.0355721975193073"/>
          <c:w val="0.896877033181523"/>
          <c:h val="0.896091738825181"/>
        </c:manualLayout>
      </c:layout>
      <c:scatterChart>
        <c:scatterStyle val="lineMarker"/>
        <c:varyColors val="0"/>
        <c:ser>
          <c:idx val="0"/>
          <c:order val="0"/>
          <c:tx>
            <c:strRef>
              <c:f>"Point invisible pour mise à l'echelle"</c:f>
              <c:strCache>
                <c:ptCount val="1"/>
                <c:pt idx="0">
                  <c:v>Point invisible pour mise à l'echelle</c:v>
                </c:pt>
              </c:strCache>
            </c:strRef>
          </c:tx>
          <c:spPr>
            <a:solidFill>
              <a:srgbClr val="99ccff"/>
            </a:solidFill>
            <a:ln w="3240">
              <a:solidFill>
                <a:srgbClr val="99ccff"/>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Trajecto!$B$120</c:f>
              <c:numCache>
                <c:formatCode>General</c:formatCode>
                <c:ptCount val="1"/>
                <c:pt idx="0">
                  <c:v>1422.92722994048</c:v>
                </c:pt>
              </c:numCache>
            </c:numRef>
          </c:xVal>
          <c:yVal>
            <c:numRef>
              <c:f>Trajecto!$C$118</c:f>
              <c:numCache>
                <c:formatCode>General</c:formatCode>
                <c:ptCount val="1"/>
                <c:pt idx="0">
                  <c:v>1422.92722994048</c:v>
                </c:pt>
              </c:numCache>
            </c:numRef>
          </c:yVal>
          <c:smooth val="1"/>
        </c:ser>
        <c:ser>
          <c:idx val="1"/>
          <c:order val="1"/>
          <c:tx>
            <c:strRef>
              <c:f>"1 point par seconde"</c:f>
              <c:strCache>
                <c:ptCount val="1"/>
                <c:pt idx="0">
                  <c:v>1 point par seconde</c:v>
                </c:pt>
              </c:strCache>
            </c:strRef>
          </c:tx>
          <c:spPr>
            <a:solidFill>
              <a:srgbClr val="000000"/>
            </a:solidFill>
            <a:ln w="28440">
              <a:noFill/>
            </a:ln>
          </c:spPr>
          <c:marker>
            <c:symbol val="plus"/>
            <c:size val="7"/>
            <c:spPr>
              <a:solidFill>
                <a:srgbClr val="000000"/>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Calculs!$AD$4:$AD$1004</c:f>
              <c:numCache>
                <c:formatCode>General</c:formatCode>
                <c:ptCount val="1001"/>
                <c:pt idx="0">
                  <c:v>0</c:v>
                </c:pt>
                <c:pt idx="100">
                  <c:v>6.87734485441551</c:v>
                </c:pt>
                <c:pt idx="200">
                  <c:v>28.7848071483038</c:v>
                </c:pt>
                <c:pt idx="300">
                  <c:v>63.7111843939904</c:v>
                </c:pt>
                <c:pt idx="400">
                  <c:v>105.112952242373</c:v>
                </c:pt>
                <c:pt idx="410">
                  <c:v>145.007058419544</c:v>
                </c:pt>
                <c:pt idx="420">
                  <c:v>183.157900435088</c:v>
                </c:pt>
                <c:pt idx="430">
                  <c:v>219.830810935791</c:v>
                </c:pt>
                <c:pt idx="440">
                  <c:v>255.245639632019</c:v>
                </c:pt>
                <c:pt idx="450">
                  <c:v>289.587386291249</c:v>
                </c:pt>
                <c:pt idx="460">
                  <c:v>323.01387102347</c:v>
                </c:pt>
                <c:pt idx="470">
                  <c:v>355.661329151697</c:v>
                </c:pt>
                <c:pt idx="480">
                  <c:v>387.648475808893</c:v>
                </c:pt>
                <c:pt idx="490">
                  <c:v>419.079345686341</c:v>
                </c:pt>
                <c:pt idx="500">
                  <c:v>450.045008918815</c:v>
                </c:pt>
                <c:pt idx="510">
                  <c:v>480.624040763679</c:v>
                </c:pt>
                <c:pt idx="520">
                  <c:v>510.881361876531</c:v>
                </c:pt>
                <c:pt idx="530">
                  <c:v>540.864968525238</c:v>
                </c:pt>
                <c:pt idx="540">
                  <c:v>570.600992985303</c:v>
                </c:pt>
                <c:pt idx="550">
                  <c:v>600.090188479598</c:v>
                </c:pt>
                <c:pt idx="560">
                  <c:v>629.309860118686</c:v>
                </c:pt>
                <c:pt idx="570">
                  <c:v>658.220550693074</c:v>
                </c:pt>
                <c:pt idx="580">
                  <c:v>686.77317418525</c:v>
                </c:pt>
                <c:pt idx="590">
                  <c:v>714.914241940577</c:v>
                </c:pt>
                <c:pt idx="600">
                  <c:v>742.589234242815</c:v>
                </c:pt>
                <c:pt idx="610">
                  <c:v>769.744761734141</c:v>
                </c:pt>
                <c:pt idx="620">
                  <c:v>796.330001438061</c:v>
                </c:pt>
                <c:pt idx="630">
                  <c:v>822.297685075408</c:v>
                </c:pt>
                <c:pt idx="640">
                  <c:v>847.604789808368</c:v>
                </c:pt>
                <c:pt idx="650">
                  <c:v>872.213013897196</c:v>
                </c:pt>
                <c:pt idx="660">
                  <c:v>896.08908514494</c:v>
                </c:pt>
                <c:pt idx="670">
                  <c:v>919.204932402762</c:v>
                </c:pt>
                <c:pt idx="680">
                  <c:v>941.537741477441</c:v>
                </c:pt>
                <c:pt idx="690">
                  <c:v>963.069912281647</c:v>
                </c:pt>
                <c:pt idx="700">
                  <c:v>983.788931806022</c:v>
                </c:pt>
                <c:pt idx="710">
                  <c:v>1003.6871763126</c:v>
                </c:pt>
              </c:numCache>
            </c:numRef>
          </c:xVal>
          <c:yVal>
            <c:numRef>
              <c:f>Calculs!$K$4:$K$1004</c:f>
              <c:numCache>
                <c:formatCode>General</c:formatCode>
                <c:ptCount val="1001"/>
                <c:pt idx="0">
                  <c:v>0</c:v>
                </c:pt>
                <c:pt idx="1">
                  <c:v>0</c:v>
                </c:pt>
                <c:pt idx="2">
                  <c:v>0.000886599299514683</c:v>
                </c:pt>
                <c:pt idx="3">
                  <c:v>0.00445512822990102</c:v>
                </c:pt>
                <c:pt idx="4">
                  <c:v>0.0125237609457696</c:v>
                </c:pt>
                <c:pt idx="5">
                  <c:v>0.0269123436636311</c:v>
                </c:pt>
                <c:pt idx="6">
                  <c:v>0.0489825233463651</c:v>
                </c:pt>
                <c:pt idx="7">
                  <c:v>0.0791768355144557</c:v>
                </c:pt>
                <c:pt idx="8">
                  <c:v>0.117477831691603</c:v>
                </c:pt>
                <c:pt idx="9">
                  <c:v>0.163867999950866</c:v>
                </c:pt>
                <c:pt idx="10">
                  <c:v>0.218329765130187</c:v>
                </c:pt>
                <c:pt idx="11">
                  <c:v>0.28084548904954</c:v>
                </c:pt>
                <c:pt idx="12">
                  <c:v>0.351397470729712</c:v>
                </c:pt>
                <c:pt idx="13">
                  <c:v>0.429967946612676</c:v>
                </c:pt>
                <c:pt idx="14">
                  <c:v>0.516539090783578</c:v>
                </c:pt>
                <c:pt idx="15">
                  <c:v>0.61109301519429</c:v>
                </c:pt>
                <c:pt idx="16">
                  <c:v>0.713611769888542</c:v>
                </c:pt>
                <c:pt idx="17">
                  <c:v>0.824077343228604</c:v>
                </c:pt>
                <c:pt idx="18">
                  <c:v>0.942471662123513</c:v>
                </c:pt>
                <c:pt idx="19">
                  <c:v>1.06877659225883</c:v>
                </c:pt>
                <c:pt idx="20">
                  <c:v>1.20297393832791</c:v>
                </c:pt>
                <c:pt idx="21">
                  <c:v>1.34504544426469</c:v>
                </c:pt>
                <c:pt idx="22">
                  <c:v>1.4949727934779</c:v>
                </c:pt>
                <c:pt idx="23">
                  <c:v>1.65273760908688</c:v>
                </c:pt>
                <c:pt idx="24">
                  <c:v>1.81832145415871</c:v>
                </c:pt>
                <c:pt idx="25">
                  <c:v>1.99170583194687</c:v>
                </c:pt>
                <c:pt idx="26">
                  <c:v>2.17287218613136</c:v>
                </c:pt>
                <c:pt idx="27">
                  <c:v>2.36180190106013</c:v>
                </c:pt>
                <c:pt idx="28">
                  <c:v>2.55847630199202</c:v>
                </c:pt>
                <c:pt idx="29">
                  <c:v>2.76287665534105</c:v>
                </c:pt>
                <c:pt idx="30">
                  <c:v>2.97498416892209</c:v>
                </c:pt>
                <c:pt idx="31">
                  <c:v>3.19477999219785</c:v>
                </c:pt>
                <c:pt idx="32">
                  <c:v>3.42224521652733</c:v>
                </c:pt>
                <c:pt idx="33">
                  <c:v>3.65736087541546</c:v>
                </c:pt>
                <c:pt idx="34">
                  <c:v>3.90010794476418</c:v>
                </c:pt>
                <c:pt idx="35">
                  <c:v>4.15046734312471</c:v>
                </c:pt>
                <c:pt idx="36">
                  <c:v>4.40840513511947</c:v>
                </c:pt>
                <c:pt idx="37">
                  <c:v>4.67388685351736</c:v>
                </c:pt>
                <c:pt idx="38">
                  <c:v>4.94689230160397</c:v>
                </c:pt>
                <c:pt idx="39">
                  <c:v>5.22740124334607</c:v>
                </c:pt>
                <c:pt idx="40">
                  <c:v>5.51539340956389</c:v>
                </c:pt>
                <c:pt idx="41">
                  <c:v>5.8108484971669</c:v>
                </c:pt>
                <c:pt idx="42">
                  <c:v>6.11374616846535</c:v>
                </c:pt>
                <c:pt idx="43">
                  <c:v>6.42406605055037</c:v>
                </c:pt>
                <c:pt idx="44">
                  <c:v>6.7417877347362</c:v>
                </c:pt>
                <c:pt idx="45">
                  <c:v>7.06689077605901</c:v>
                </c:pt>
                <c:pt idx="46">
                  <c:v>7.39935469282721</c:v>
                </c:pt>
                <c:pt idx="47">
                  <c:v>7.73915896621884</c:v>
                </c:pt>
                <c:pt idx="48">
                  <c:v>8.08628303992209</c:v>
                </c:pt>
                <c:pt idx="49">
                  <c:v>8.44070631981545</c:v>
                </c:pt>
                <c:pt idx="50">
                  <c:v>8.80240817368416</c:v>
                </c:pt>
                <c:pt idx="51">
                  <c:v>9.17137034682917</c:v>
                </c:pt>
                <c:pt idx="52">
                  <c:v>9.54757938061544</c:v>
                </c:pt>
                <c:pt idx="53">
                  <c:v>9.93102420059173</c:v>
                </c:pt>
                <c:pt idx="54">
                  <c:v>10.321693701672</c:v>
                </c:pt>
                <c:pt idx="55">
                  <c:v>10.7195767478822</c:v>
                </c:pt>
                <c:pt idx="56">
                  <c:v>11.1246621721265</c:v>
                </c:pt>
                <c:pt idx="57">
                  <c:v>11.5369387759725</c:v>
                </c:pt>
                <c:pt idx="58">
                  <c:v>11.9563953294543</c:v>
                </c:pt>
                <c:pt idx="59">
                  <c:v>12.3830205708915</c:v>
                </c:pt>
                <c:pt idx="60">
                  <c:v>12.816803206723</c:v>
                </c:pt>
                <c:pt idx="61">
                  <c:v>13.2577319113566</c:v>
                </c:pt>
                <c:pt idx="62">
                  <c:v>13.7057953270311</c:v>
                </c:pt>
                <c:pt idx="63">
                  <c:v>14.1609820636909</c:v>
                </c:pt>
                <c:pt idx="64">
                  <c:v>14.623280698874</c:v>
                </c:pt>
                <c:pt idx="65">
                  <c:v>15.0926797776097</c:v>
                </c:pt>
                <c:pt idx="66">
                  <c:v>15.569167812328</c:v>
                </c:pt>
                <c:pt idx="67">
                  <c:v>16.0527332827793</c:v>
                </c:pt>
                <c:pt idx="68">
                  <c:v>16.5433646359626</c:v>
                </c:pt>
                <c:pt idx="69">
                  <c:v>17.0410502860639</c:v>
                </c:pt>
                <c:pt idx="70">
                  <c:v>17.545778614403</c:v>
                </c:pt>
                <c:pt idx="71">
                  <c:v>18.0575379693877</c:v>
                </c:pt>
                <c:pt idx="72">
                  <c:v>18.576316666477</c:v>
                </c:pt>
                <c:pt idx="73">
                  <c:v>19.1021029881506</c:v>
                </c:pt>
                <c:pt idx="74">
                  <c:v>19.6348851838865</c:v>
                </c:pt>
                <c:pt idx="75">
                  <c:v>20.1746514701443</c:v>
                </c:pt>
                <c:pt idx="76">
                  <c:v>20.7213900303556</c:v>
                </c:pt>
                <c:pt idx="77">
                  <c:v>21.2750890149206</c:v>
                </c:pt>
                <c:pt idx="78">
                  <c:v>21.8357365412097</c:v>
                </c:pt>
                <c:pt idx="79">
                  <c:v>22.4033206935719</c:v>
                </c:pt>
                <c:pt idx="80">
                  <c:v>22.9778295233478</c:v>
                </c:pt>
                <c:pt idx="81">
                  <c:v>23.5592510488876</c:v>
                </c:pt>
                <c:pt idx="82">
                  <c:v>24.1475732555747</c:v>
                </c:pt>
                <c:pt idx="83">
                  <c:v>24.7427840958536</c:v>
                </c:pt>
                <c:pt idx="84">
                  <c:v>25.3448714892622</c:v>
                </c:pt>
                <c:pt idx="85">
                  <c:v>25.9538233224689</c:v>
                </c:pt>
                <c:pt idx="86">
                  <c:v>26.5696274493133</c:v>
                </c:pt>
                <c:pt idx="87">
                  <c:v>27.1922716908518</c:v>
                </c:pt>
                <c:pt idx="88">
                  <c:v>27.821743835406</c:v>
                </c:pt>
                <c:pt idx="89">
                  <c:v>28.4580316386156</c:v>
                </c:pt>
                <c:pt idx="90">
                  <c:v>29.1011228234948</c:v>
                </c:pt>
                <c:pt idx="91">
                  <c:v>29.7510050804919</c:v>
                </c:pt>
                <c:pt idx="92">
                  <c:v>30.4076660675523</c:v>
                </c:pt>
                <c:pt idx="93">
                  <c:v>31.0710934101852</c:v>
                </c:pt>
                <c:pt idx="94">
                  <c:v>31.7412747015326</c:v>
                </c:pt>
                <c:pt idx="95">
                  <c:v>32.418197502442</c:v>
                </c:pt>
                <c:pt idx="96">
                  <c:v>33.1018493415417</c:v>
                </c:pt>
                <c:pt idx="97">
                  <c:v>33.7922177153192</c:v>
                </c:pt>
                <c:pt idx="98">
                  <c:v>34.4892900882017</c:v>
                </c:pt>
                <c:pt idx="99">
                  <c:v>35.19305389264</c:v>
                </c:pt>
                <c:pt idx="100">
                  <c:v>35.9034965291947</c:v>
                </c:pt>
                <c:pt idx="101">
                  <c:v>36.6206042580729</c:v>
                </c:pt>
                <c:pt idx="102">
                  <c:v>37.3443610895686</c:v>
                </c:pt>
                <c:pt idx="103">
                  <c:v>38.0747498912897</c:v>
                </c:pt>
                <c:pt idx="104">
                  <c:v>38.8117534965204</c:v>
                </c:pt>
                <c:pt idx="105">
                  <c:v>39.5553547043826</c:v>
                </c:pt>
                <c:pt idx="106">
                  <c:v>40.3055362799993</c:v>
                </c:pt>
                <c:pt idx="107">
                  <c:v>41.0622809546605</c:v>
                </c:pt>
                <c:pt idx="108">
                  <c:v>41.825571425991</c:v>
                </c:pt>
                <c:pt idx="109">
                  <c:v>42.5953903581207</c:v>
                </c:pt>
                <c:pt idx="110">
                  <c:v>43.3717203818559</c:v>
                </c:pt>
                <c:pt idx="111">
                  <c:v>44.1545440948537</c:v>
                </c:pt>
                <c:pt idx="112">
                  <c:v>44.9438440617979</c:v>
                </c:pt>
                <c:pt idx="113">
                  <c:v>45.7396028145756</c:v>
                </c:pt>
                <c:pt idx="114">
                  <c:v>46.5418028524577</c:v>
                </c:pt>
                <c:pt idx="115">
                  <c:v>47.3504266422788</c:v>
                </c:pt>
                <c:pt idx="116">
                  <c:v>48.1654566186204</c:v>
                </c:pt>
                <c:pt idx="117">
                  <c:v>48.9868751839951</c:v>
                </c:pt>
                <c:pt idx="118">
                  <c:v>49.8146647090317</c:v>
                </c:pt>
                <c:pt idx="119">
                  <c:v>50.6488075326633</c:v>
                </c:pt>
                <c:pt idx="120">
                  <c:v>51.4892859623152</c:v>
                </c:pt>
                <c:pt idx="121">
                  <c:v>52.3360822740953</c:v>
                </c:pt>
                <c:pt idx="122">
                  <c:v>53.1891787129853</c:v>
                </c:pt>
                <c:pt idx="123">
                  <c:v>54.0485574930335</c:v>
                </c:pt>
                <c:pt idx="124">
                  <c:v>54.9142007975487</c:v>
                </c:pt>
                <c:pt idx="125">
                  <c:v>55.7860907792954</c:v>
                </c:pt>
                <c:pt idx="126">
                  <c:v>56.6642095606902</c:v>
                </c:pt>
                <c:pt idx="127">
                  <c:v>57.5485392339992</c:v>
                </c:pt>
                <c:pt idx="128">
                  <c:v>58.4390618615367</c:v>
                </c:pt>
                <c:pt idx="129">
                  <c:v>59.3357594758647</c:v>
                </c:pt>
                <c:pt idx="130">
                  <c:v>60.2386140799942</c:v>
                </c:pt>
                <c:pt idx="131">
                  <c:v>61.1476076475863</c:v>
                </c:pt>
                <c:pt idx="132">
                  <c:v>62.0627221231552</c:v>
                </c:pt>
                <c:pt idx="133">
                  <c:v>62.9839394222718</c:v>
                </c:pt>
                <c:pt idx="134">
                  <c:v>63.9112414317686</c:v>
                </c:pt>
                <c:pt idx="135">
                  <c:v>64.8446100099444</c:v>
                </c:pt>
                <c:pt idx="136">
                  <c:v>65.7840269867716</c:v>
                </c:pt>
                <c:pt idx="137">
                  <c:v>66.7294741641023</c:v>
                </c:pt>
                <c:pt idx="138">
                  <c:v>67.6809333158771</c:v>
                </c:pt>
                <c:pt idx="139">
                  <c:v>68.6383861883332</c:v>
                </c:pt>
                <c:pt idx="140">
                  <c:v>69.601814500214</c:v>
                </c:pt>
                <c:pt idx="141">
                  <c:v>70.5711999429793</c:v>
                </c:pt>
                <c:pt idx="142">
                  <c:v>71.5465241810161</c:v>
                </c:pt>
                <c:pt idx="143">
                  <c:v>72.5277688518498</c:v>
                </c:pt>
                <c:pt idx="144">
                  <c:v>73.5149155663568</c:v>
                </c:pt>
                <c:pt idx="145">
                  <c:v>74.5079459089767</c:v>
                </c:pt>
                <c:pt idx="146">
                  <c:v>75.506841437926</c:v>
                </c:pt>
                <c:pt idx="147">
                  <c:v>76.5115836854117</c:v>
                </c:pt>
                <c:pt idx="148">
                  <c:v>77.5221541578458</c:v>
                </c:pt>
                <c:pt idx="149">
                  <c:v>78.5385343360602</c:v>
                </c:pt>
                <c:pt idx="150">
                  <c:v>79.5607056755223</c:v>
                </c:pt>
                <c:pt idx="151">
                  <c:v>80.5886499822593</c:v>
                </c:pt>
                <c:pt idx="152">
                  <c:v>81.6223497890387</c:v>
                </c:pt>
                <c:pt idx="153">
                  <c:v>82.6617879801364</c:v>
                </c:pt>
                <c:pt idx="154">
                  <c:v>83.7069474158421</c:v>
                </c:pt>
                <c:pt idx="155">
                  <c:v>84.7578109326538</c:v>
                </c:pt>
                <c:pt idx="156">
                  <c:v>85.8143613434748</c:v>
                </c:pt>
                <c:pt idx="157">
                  <c:v>86.876581437809</c:v>
                </c:pt>
                <c:pt idx="158">
                  <c:v>87.9444539819586</c:v>
                </c:pt>
                <c:pt idx="159">
                  <c:v>89.0179617192205</c:v>
                </c:pt>
                <c:pt idx="160">
                  <c:v>90.0970873700843</c:v>
                </c:pt>
                <c:pt idx="161">
                  <c:v>91.1818136324295</c:v>
                </c:pt>
                <c:pt idx="162">
                  <c:v>92.2721231817242</c:v>
                </c:pt>
                <c:pt idx="163">
                  <c:v>93.3679986712229</c:v>
                </c:pt>
                <c:pt idx="164">
                  <c:v>94.4694227321655</c:v>
                </c:pt>
                <c:pt idx="165">
                  <c:v>95.5763779739763</c:v>
                </c:pt>
                <c:pt idx="166">
                  <c:v>96.6888469844628</c:v>
                </c:pt>
                <c:pt idx="167">
                  <c:v>97.8068123300154</c:v>
                </c:pt>
                <c:pt idx="168">
                  <c:v>98.9302565558071</c:v>
                </c:pt>
                <c:pt idx="169">
                  <c:v>100.059162185993</c:v>
                </c:pt>
                <c:pt idx="170">
                  <c:v>101.19351172391</c:v>
                </c:pt>
                <c:pt idx="171">
                  <c:v>102.333287652279</c:v>
                </c:pt>
                <c:pt idx="172">
                  <c:v>103.478472433402</c:v>
                </c:pt>
                <c:pt idx="173">
                  <c:v>104.629048509364</c:v>
                </c:pt>
                <c:pt idx="174">
                  <c:v>105.784998302236</c:v>
                </c:pt>
                <c:pt idx="175">
                  <c:v>106.946304214273</c:v>
                </c:pt>
                <c:pt idx="176">
                  <c:v>108.112948628113</c:v>
                </c:pt>
                <c:pt idx="177">
                  <c:v>109.284913906984</c:v>
                </c:pt>
                <c:pt idx="178">
                  <c:v>110.4621823949</c:v>
                </c:pt>
                <c:pt idx="179">
                  <c:v>111.644736416862</c:v>
                </c:pt>
                <c:pt idx="180">
                  <c:v>112.832558279062</c:v>
                </c:pt>
                <c:pt idx="181">
                  <c:v>114.025630269084</c:v>
                </c:pt>
                <c:pt idx="182">
                  <c:v>115.223934656101</c:v>
                </c:pt>
                <c:pt idx="183">
                  <c:v>116.427453691083</c:v>
                </c:pt>
                <c:pt idx="184">
                  <c:v>117.636169606991</c:v>
                </c:pt>
                <c:pt idx="185">
                  <c:v>118.850064618984</c:v>
                </c:pt>
                <c:pt idx="186">
                  <c:v>120.069120924616</c:v>
                </c:pt>
                <c:pt idx="187">
                  <c:v>121.29332070404</c:v>
                </c:pt>
                <c:pt idx="188">
                  <c:v>122.522646120209</c:v>
                </c:pt>
                <c:pt idx="189">
                  <c:v>123.757079319074</c:v>
                </c:pt>
                <c:pt idx="190">
                  <c:v>124.996602429788</c:v>
                </c:pt>
                <c:pt idx="191">
                  <c:v>126.241197564907</c:v>
                </c:pt>
                <c:pt idx="192">
                  <c:v>127.490846820588</c:v>
                </c:pt>
                <c:pt idx="193">
                  <c:v>128.745532276794</c:v>
                </c:pt>
                <c:pt idx="194">
                  <c:v>130.00523599749</c:v>
                </c:pt>
                <c:pt idx="195">
                  <c:v>131.269940030847</c:v>
                </c:pt>
                <c:pt idx="196">
                  <c:v>132.53962640944</c:v>
                </c:pt>
                <c:pt idx="197">
                  <c:v>133.814277150449</c:v>
                </c:pt>
                <c:pt idx="198">
                  <c:v>135.093874255861</c:v>
                </c:pt>
                <c:pt idx="199">
                  <c:v>136.378399712667</c:v>
                </c:pt>
                <c:pt idx="200">
                  <c:v>137.667835493061</c:v>
                </c:pt>
                <c:pt idx="201">
                  <c:v>138.962163554646</c:v>
                </c:pt>
                <c:pt idx="202">
                  <c:v>140.261365840624</c:v>
                </c:pt>
                <c:pt idx="203">
                  <c:v>141.565424280003</c:v>
                </c:pt>
                <c:pt idx="204">
                  <c:v>142.87432078779</c:v>
                </c:pt>
                <c:pt idx="205">
                  <c:v>144.188037265196</c:v>
                </c:pt>
                <c:pt idx="206">
                  <c:v>145.506555599828</c:v>
                </c:pt>
                <c:pt idx="207">
                  <c:v>146.829857665891</c:v>
                </c:pt>
                <c:pt idx="208">
                  <c:v>148.157925324385</c:v>
                </c:pt>
                <c:pt idx="209">
                  <c:v>149.490740423305</c:v>
                </c:pt>
                <c:pt idx="210">
                  <c:v>150.828284797831</c:v>
                </c:pt>
                <c:pt idx="211">
                  <c:v>152.170540270537</c:v>
                </c:pt>
                <c:pt idx="212">
                  <c:v>153.517488651576</c:v>
                </c:pt>
                <c:pt idx="213">
                  <c:v>154.869111738885</c:v>
                </c:pt>
                <c:pt idx="214">
                  <c:v>156.225391318377</c:v>
                </c:pt>
                <c:pt idx="215">
                  <c:v>157.586309164138</c:v>
                </c:pt>
                <c:pt idx="216">
                  <c:v>158.951847038622</c:v>
                </c:pt>
                <c:pt idx="217">
                  <c:v>160.32198669285</c:v>
                </c:pt>
                <c:pt idx="218">
                  <c:v>161.696709866598</c:v>
                </c:pt>
                <c:pt idx="219">
                  <c:v>163.075998288599</c:v>
                </c:pt>
                <c:pt idx="220">
                  <c:v>164.459833676732</c:v>
                </c:pt>
                <c:pt idx="221">
                  <c:v>165.848197738218</c:v>
                </c:pt>
                <c:pt idx="222">
                  <c:v>167.241072169814</c:v>
                </c:pt>
                <c:pt idx="223">
                  <c:v>168.638438658005</c:v>
                </c:pt>
                <c:pt idx="224">
                  <c:v>170.040278879197</c:v>
                </c:pt>
                <c:pt idx="225">
                  <c:v>171.446574499911</c:v>
                </c:pt>
                <c:pt idx="226">
                  <c:v>172.857307176971</c:v>
                </c:pt>
                <c:pt idx="227">
                  <c:v>174.272458557701</c:v>
                </c:pt>
                <c:pt idx="228">
                  <c:v>175.692010280111</c:v>
                </c:pt>
                <c:pt idx="229">
                  <c:v>177.115943973092</c:v>
                </c:pt>
                <c:pt idx="230">
                  <c:v>178.544241256601</c:v>
                </c:pt>
                <c:pt idx="231">
                  <c:v>179.976883741859</c:v>
                </c:pt>
                <c:pt idx="232">
                  <c:v>181.41385303153</c:v>
                </c:pt>
                <c:pt idx="233">
                  <c:v>182.85513071992</c:v>
                </c:pt>
                <c:pt idx="234">
                  <c:v>184.300698393158</c:v>
                </c:pt>
                <c:pt idx="235">
                  <c:v>185.750537629389</c:v>
                </c:pt>
                <c:pt idx="236">
                  <c:v>187.204629998958</c:v>
                </c:pt>
                <c:pt idx="237">
                  <c:v>188.662957064599</c:v>
                </c:pt>
                <c:pt idx="238">
                  <c:v>190.125500381621</c:v>
                </c:pt>
                <c:pt idx="239">
                  <c:v>191.592241498094</c:v>
                </c:pt>
                <c:pt idx="240">
                  <c:v>193.063161955036</c:v>
                </c:pt>
                <c:pt idx="241">
                  <c:v>194.538243286595</c:v>
                </c:pt>
                <c:pt idx="242">
                  <c:v>196.017467020237</c:v>
                </c:pt>
                <c:pt idx="243">
                  <c:v>197.500814676927</c:v>
                </c:pt>
                <c:pt idx="244">
                  <c:v>198.988267771316</c:v>
                </c:pt>
                <c:pt idx="245">
                  <c:v>200.479807811919</c:v>
                </c:pt>
                <c:pt idx="246">
                  <c:v>201.975416301304</c:v>
                </c:pt>
                <c:pt idx="247">
                  <c:v>203.475074736266</c:v>
                </c:pt>
                <c:pt idx="248">
                  <c:v>204.978764608017</c:v>
                </c:pt>
                <c:pt idx="249">
                  <c:v>206.486467402359</c:v>
                </c:pt>
                <c:pt idx="250">
                  <c:v>207.998164599869</c:v>
                </c:pt>
                <c:pt idx="251">
                  <c:v>209.513836066762</c:v>
                </c:pt>
                <c:pt idx="252">
                  <c:v>211.033458445619</c:v>
                </c:pt>
                <c:pt idx="253">
                  <c:v>212.557006765485</c:v>
                </c:pt>
                <c:pt idx="254">
                  <c:v>214.084456052128</c:v>
                </c:pt>
                <c:pt idx="255">
                  <c:v>215.615781328299</c:v>
                </c:pt>
                <c:pt idx="256">
                  <c:v>217.150957613994</c:v>
                </c:pt>
                <c:pt idx="257">
                  <c:v>218.68995992671</c:v>
                </c:pt>
                <c:pt idx="258">
                  <c:v>220.232763281703</c:v>
                </c:pt>
                <c:pt idx="259">
                  <c:v>221.779342692243</c:v>
                </c:pt>
                <c:pt idx="260">
                  <c:v>223.32967316987</c:v>
                </c:pt>
                <c:pt idx="261">
                  <c:v>224.883729724647</c:v>
                </c:pt>
                <c:pt idx="262">
                  <c:v>226.441487365412</c:v>
                </c:pt>
                <c:pt idx="263">
                  <c:v>228.002921100029</c:v>
                </c:pt>
                <c:pt idx="264">
                  <c:v>229.568005935641</c:v>
                </c:pt>
                <c:pt idx="265">
                  <c:v>231.136716878913</c:v>
                </c:pt>
                <c:pt idx="266">
                  <c:v>232.709028936287</c:v>
                </c:pt>
                <c:pt idx="267">
                  <c:v>234.284917114222</c:v>
                </c:pt>
                <c:pt idx="268">
                  <c:v>235.864356419442</c:v>
                </c:pt>
                <c:pt idx="269">
                  <c:v>237.447321859181</c:v>
                </c:pt>
                <c:pt idx="270">
                  <c:v>239.033788441425</c:v>
                </c:pt>
                <c:pt idx="271">
                  <c:v>240.623731175152</c:v>
                </c:pt>
                <c:pt idx="272">
                  <c:v>242.217125070574</c:v>
                </c:pt>
                <c:pt idx="273">
                  <c:v>243.813945139375</c:v>
                </c:pt>
                <c:pt idx="274">
                  <c:v>245.414166394952</c:v>
                </c:pt>
                <c:pt idx="275">
                  <c:v>247.017763852646</c:v>
                </c:pt>
                <c:pt idx="276">
                  <c:v>248.624712529983</c:v>
                </c:pt>
                <c:pt idx="277">
                  <c:v>250.234987446904</c:v>
                </c:pt>
                <c:pt idx="278">
                  <c:v>251.848563626</c:v>
                </c:pt>
                <c:pt idx="279">
                  <c:v>253.465416092741</c:v>
                </c:pt>
                <c:pt idx="280">
                  <c:v>255.085519875712</c:v>
                </c:pt>
                <c:pt idx="281">
                  <c:v>256.708850006834</c:v>
                </c:pt>
                <c:pt idx="282">
                  <c:v>258.335381521598</c:v>
                </c:pt>
                <c:pt idx="283">
                  <c:v>259.965089459288</c:v>
                </c:pt>
                <c:pt idx="284">
                  <c:v>261.597948863208</c:v>
                </c:pt>
                <c:pt idx="285">
                  <c:v>263.233934780904</c:v>
                </c:pt>
                <c:pt idx="286">
                  <c:v>264.873022264387</c:v>
                </c:pt>
                <c:pt idx="287">
                  <c:v>266.515186370356</c:v>
                </c:pt>
                <c:pt idx="288">
                  <c:v>268.160402160416</c:v>
                </c:pt>
                <c:pt idx="289">
                  <c:v>269.808644701295</c:v>
                </c:pt>
                <c:pt idx="290">
                  <c:v>271.459889065065</c:v>
                </c:pt>
                <c:pt idx="291">
                  <c:v>273.114110329355</c:v>
                </c:pt>
                <c:pt idx="292">
                  <c:v>274.771283577567</c:v>
                </c:pt>
                <c:pt idx="293">
                  <c:v>276.431383899089</c:v>
                </c:pt>
                <c:pt idx="294">
                  <c:v>278.094386389504</c:v>
                </c:pt>
                <c:pt idx="295">
                  <c:v>279.760266150806</c:v>
                </c:pt>
                <c:pt idx="296">
                  <c:v>281.428998291605</c:v>
                </c:pt>
                <c:pt idx="297">
                  <c:v>283.100557927335</c:v>
                </c:pt>
                <c:pt idx="298">
                  <c:v>284.774902571347</c:v>
                </c:pt>
                <c:pt idx="299">
                  <c:v>286.451954530458</c:v>
                </c:pt>
                <c:pt idx="300">
                  <c:v>288.13161853087</c:v>
                </c:pt>
                <c:pt idx="301">
                  <c:v>289.813799340406</c:v>
                </c:pt>
                <c:pt idx="302">
                  <c:v>291.498401770284</c:v>
                </c:pt>
                <c:pt idx="303">
                  <c:v>293.185330676862</c:v>
                </c:pt>
                <c:pt idx="304">
                  <c:v>294.874490963368</c:v>
                </c:pt>
                <c:pt idx="305">
                  <c:v>296.565787581617</c:v>
                </c:pt>
                <c:pt idx="306">
                  <c:v>298.259125533696</c:v>
                </c:pt>
                <c:pt idx="307">
                  <c:v>299.954409873646</c:v>
                </c:pt>
                <c:pt idx="308">
                  <c:v>301.651545709113</c:v>
                </c:pt>
                <c:pt idx="309">
                  <c:v>303.350438202983</c:v>
                </c:pt>
                <c:pt idx="310">
                  <c:v>305.050992575007</c:v>
                </c:pt>
                <c:pt idx="311">
                  <c:v>306.75311410339</c:v>
                </c:pt>
                <c:pt idx="312">
                  <c:v>308.456708126379</c:v>
                </c:pt>
                <c:pt idx="313">
                  <c:v>310.161680043819</c:v>
                </c:pt>
                <c:pt idx="314">
                  <c:v>311.867935318694</c:v>
                </c:pt>
                <c:pt idx="315">
                  <c:v>313.575379478655</c:v>
                </c:pt>
                <c:pt idx="316">
                  <c:v>315.283918117518</c:v>
                </c:pt>
                <c:pt idx="317">
                  <c:v>316.99345689675</c:v>
                </c:pt>
                <c:pt idx="318">
                  <c:v>318.703901546938</c:v>
                </c:pt>
                <c:pt idx="319">
                  <c:v>320.415157869228</c:v>
                </c:pt>
                <c:pt idx="320">
                  <c:v>322.127131736761</c:v>
                </c:pt>
                <c:pt idx="321">
                  <c:v>323.839736089868</c:v>
                </c:pt>
                <c:pt idx="322">
                  <c:v>325.552897926152</c:v>
                </c:pt>
                <c:pt idx="323">
                  <c:v>327.266551296349</c:v>
                </c:pt>
                <c:pt idx="324">
                  <c:v>328.980630304944</c:v>
                </c:pt>
                <c:pt idx="325">
                  <c:v>330.695069110826</c:v>
                </c:pt>
                <c:pt idx="326">
                  <c:v>332.409801927942</c:v>
                </c:pt>
                <c:pt idx="327">
                  <c:v>334.124763025925</c:v>
                </c:pt>
                <c:pt idx="328">
                  <c:v>335.839886730737</c:v>
                </c:pt>
                <c:pt idx="329">
                  <c:v>337.555107425276</c:v>
                </c:pt>
                <c:pt idx="330">
                  <c:v>339.270359549995</c:v>
                </c:pt>
                <c:pt idx="331">
                  <c:v>340.985577603502</c:v>
                </c:pt>
                <c:pt idx="332">
                  <c:v>342.700696143148</c:v>
                </c:pt>
                <c:pt idx="333">
                  <c:v>344.415649785616</c:v>
                </c:pt>
                <c:pt idx="334">
                  <c:v>346.130373207487</c:v>
                </c:pt>
                <c:pt idx="335">
                  <c:v>347.844801145811</c:v>
                </c:pt>
                <c:pt idx="336">
                  <c:v>349.55886839866</c:v>
                </c:pt>
                <c:pt idx="337">
                  <c:v>351.272509825671</c:v>
                </c:pt>
                <c:pt idx="338">
                  <c:v>352.985660348588</c:v>
                </c:pt>
                <c:pt idx="339">
                  <c:v>354.698254951783</c:v>
                </c:pt>
                <c:pt idx="340">
                  <c:v>356.410228682782</c:v>
                </c:pt>
                <c:pt idx="341">
                  <c:v>358.121516652768</c:v>
                </c:pt>
                <c:pt idx="342">
                  <c:v>359.832054037085</c:v>
                </c:pt>
                <c:pt idx="343">
                  <c:v>361.541776075727</c:v>
                </c:pt>
                <c:pt idx="344">
                  <c:v>363.250618073825</c:v>
                </c:pt>
                <c:pt idx="345">
                  <c:v>364.958515402112</c:v>
                </c:pt>
                <c:pt idx="346">
                  <c:v>366.665403497398</c:v>
                </c:pt>
                <c:pt idx="347">
                  <c:v>368.371217863017</c:v>
                </c:pt>
                <c:pt idx="348">
                  <c:v>370.075894822603</c:v>
                </c:pt>
                <c:pt idx="349">
                  <c:v>371.779372273042</c:v>
                </c:pt>
                <c:pt idx="350">
                  <c:v>373.481588929917</c:v>
                </c:pt>
                <c:pt idx="351">
                  <c:v>375.182483573755</c:v>
                </c:pt>
                <c:pt idx="352">
                  <c:v>376.881995050387</c:v>
                </c:pt>
                <c:pt idx="353">
                  <c:v>378.580062271306</c:v>
                </c:pt>
                <c:pt idx="354">
                  <c:v>380.276624214016</c:v>
                </c:pt>
                <c:pt idx="355">
                  <c:v>381.971619922372</c:v>
                </c:pt>
                <c:pt idx="356">
                  <c:v>383.664988506916</c:v>
                </c:pt>
                <c:pt idx="357">
                  <c:v>385.3566691452</c:v>
                </c:pt>
                <c:pt idx="358">
                  <c:v>387.046601082107</c:v>
                </c:pt>
                <c:pt idx="359">
                  <c:v>388.734723630157</c:v>
                </c:pt>
                <c:pt idx="360">
                  <c:v>390.420991830062</c:v>
                </c:pt>
                <c:pt idx="361">
                  <c:v>392.105392092282</c:v>
                </c:pt>
                <c:pt idx="362">
                  <c:v>393.787926500163</c:v>
                </c:pt>
                <c:pt idx="363">
                  <c:v>395.468597131911</c:v>
                </c:pt>
                <c:pt idx="364">
                  <c:v>397.147406060611</c:v>
                </c:pt>
                <c:pt idx="365">
                  <c:v>398.824355354241</c:v>
                </c:pt>
                <c:pt idx="366">
                  <c:v>400.499447075689</c:v>
                </c:pt>
                <c:pt idx="367">
                  <c:v>402.17268328277</c:v>
                </c:pt>
                <c:pt idx="368">
                  <c:v>403.84406602824</c:v>
                </c:pt>
                <c:pt idx="369">
                  <c:v>405.513597359812</c:v>
                </c:pt>
                <c:pt idx="370">
                  <c:v>407.181279320173</c:v>
                </c:pt>
                <c:pt idx="371">
                  <c:v>408.847113947</c:v>
                </c:pt>
                <c:pt idx="372">
                  <c:v>410.511103272972</c:v>
                </c:pt>
                <c:pt idx="373">
                  <c:v>412.173249325792</c:v>
                </c:pt>
                <c:pt idx="374">
                  <c:v>413.833554128195</c:v>
                </c:pt>
                <c:pt idx="375">
                  <c:v>415.492019697971</c:v>
                </c:pt>
                <c:pt idx="376">
                  <c:v>417.148648047974</c:v>
                </c:pt>
                <c:pt idx="377">
                  <c:v>418.803441186141</c:v>
                </c:pt>
                <c:pt idx="378">
                  <c:v>420.456401115506</c:v>
                </c:pt>
                <c:pt idx="379">
                  <c:v>422.107529834216</c:v>
                </c:pt>
                <c:pt idx="380">
                  <c:v>423.756829335546</c:v>
                </c:pt>
                <c:pt idx="381">
                  <c:v>425.404301607912</c:v>
                </c:pt>
                <c:pt idx="382">
                  <c:v>427.04994863489</c:v>
                </c:pt>
                <c:pt idx="383">
                  <c:v>428.693772395227</c:v>
                </c:pt>
                <c:pt idx="384">
                  <c:v>430.335774862858</c:v>
                </c:pt>
                <c:pt idx="385">
                  <c:v>431.975958006923</c:v>
                </c:pt>
                <c:pt idx="386">
                  <c:v>433.614323791775</c:v>
                </c:pt>
                <c:pt idx="387">
                  <c:v>435.250874177002</c:v>
                </c:pt>
                <c:pt idx="388">
                  <c:v>436.885611117438</c:v>
                </c:pt>
                <c:pt idx="389">
                  <c:v>438.51853656318</c:v>
                </c:pt>
                <c:pt idx="390">
                  <c:v>440.149652459597</c:v>
                </c:pt>
                <c:pt idx="391">
                  <c:v>441.778960747352</c:v>
                </c:pt>
                <c:pt idx="392">
                  <c:v>443.406463362412</c:v>
                </c:pt>
                <c:pt idx="393">
                  <c:v>445.032162236063</c:v>
                </c:pt>
                <c:pt idx="394">
                  <c:v>446.656059294923</c:v>
                </c:pt>
                <c:pt idx="395">
                  <c:v>448.278156460961</c:v>
                </c:pt>
                <c:pt idx="396">
                  <c:v>449.898455651507</c:v>
                </c:pt>
                <c:pt idx="397">
                  <c:v>451.516958779265</c:v>
                </c:pt>
                <c:pt idx="398">
                  <c:v>453.133667752332</c:v>
                </c:pt>
                <c:pt idx="399">
                  <c:v>454.748584474209</c:v>
                </c:pt>
                <c:pt idx="400">
                  <c:v>456.361710843814</c:v>
                </c:pt>
                <c:pt idx="401">
                  <c:v>472.394651925885</c:v>
                </c:pt>
                <c:pt idx="402">
                  <c:v>488.249779599886</c:v>
                </c:pt>
                <c:pt idx="403">
                  <c:v>503.928947125683</c:v>
                </c:pt>
                <c:pt idx="404">
                  <c:v>519.433963826796</c:v>
                </c:pt>
                <c:pt idx="405">
                  <c:v>534.766596395646</c:v>
                </c:pt>
                <c:pt idx="406">
                  <c:v>549.928570149135</c:v>
                </c:pt>
                <c:pt idx="407">
                  <c:v>564.921570236802</c:v>
                </c:pt>
                <c:pt idx="408">
                  <c:v>579.747242803692</c:v>
                </c:pt>
                <c:pt idx="409">
                  <c:v>594.407196109961</c:v>
                </c:pt>
                <c:pt idx="410">
                  <c:v>608.903001609113</c:v>
                </c:pt>
                <c:pt idx="411">
                  <c:v>623.236194986719</c:v>
                </c:pt>
                <c:pt idx="412">
                  <c:v>637.408277161302</c:v>
                </c:pt>
                <c:pt idx="413">
                  <c:v>651.420715249054</c:v>
                </c:pt>
                <c:pt idx="414">
                  <c:v>665.27494349392</c:v>
                </c:pt>
                <c:pt idx="415">
                  <c:v>678.972364164529</c:v>
                </c:pt>
                <c:pt idx="416">
                  <c:v>692.514348419381</c:v>
                </c:pt>
                <c:pt idx="417">
                  <c:v>705.902237141607</c:v>
                </c:pt>
                <c:pt idx="418">
                  <c:v>719.13734174458</c:v>
                </c:pt>
                <c:pt idx="419">
                  <c:v>732.220944949586</c:v>
                </c:pt>
                <c:pt idx="420">
                  <c:v>745.154301536688</c:v>
                </c:pt>
                <c:pt idx="421">
                  <c:v>757.938639069888</c:v>
                </c:pt>
                <c:pt idx="422">
                  <c:v>770.575158597618</c:v>
                </c:pt>
                <c:pt idx="423">
                  <c:v>783.065035329567</c:v>
                </c:pt>
                <c:pt idx="424">
                  <c:v>795.409419290757</c:v>
                </c:pt>
                <c:pt idx="425">
                  <c:v>807.609435953807</c:v>
                </c:pt>
                <c:pt idx="426">
                  <c:v>819.666186850216</c:v>
                </c:pt>
                <c:pt idx="427">
                  <c:v>831.580750161487</c:v>
                </c:pt>
                <c:pt idx="428">
                  <c:v>843.354181290892</c:v>
                </c:pt>
                <c:pt idx="429">
                  <c:v>854.987513416598</c:v>
                </c:pt>
                <c:pt idx="430">
                  <c:v>866.481758026892</c:v>
                </c:pt>
                <c:pt idx="431">
                  <c:v>877.837905438159</c:v>
                </c:pt>
                <c:pt idx="432">
                  <c:v>889.056925296292</c:v>
                </c:pt>
                <c:pt idx="433">
                  <c:v>900.139767062129</c:v>
                </c:pt>
                <c:pt idx="434">
                  <c:v>911.08736048153</c:v>
                </c:pt>
                <c:pt idx="435">
                  <c:v>921.900616040654</c:v>
                </c:pt>
                <c:pt idx="436">
                  <c:v>932.580425406976</c:v>
                </c:pt>
                <c:pt idx="437">
                  <c:v>943.127661856576</c:v>
                </c:pt>
                <c:pt idx="438">
                  <c:v>953.543180688191</c:v>
                </c:pt>
                <c:pt idx="439">
                  <c:v>963.827819624497</c:v>
                </c:pt>
                <c:pt idx="440">
                  <c:v>973.982399201103</c:v>
                </c:pt>
                <c:pt idx="441">
                  <c:v>984.007723143668</c:v>
                </c:pt>
                <c:pt idx="442">
                  <c:v>993.904578733576</c:v>
                </c:pt>
                <c:pt idx="443">
                  <c:v>1003.67373716257</c:v>
                </c:pt>
                <c:pt idx="444">
                  <c:v>1013.3159538767</c:v>
                </c:pt>
                <c:pt idx="445">
                  <c:v>1022.83196891007</c:v>
                </c:pt>
                <c:pt idx="446">
                  <c:v>1032.22250720851</c:v>
                </c:pt>
                <c:pt idx="447">
                  <c:v>1041.48827894377</c:v>
                </c:pt>
                <c:pt idx="448">
                  <c:v>1050.62997981842</c:v>
                </c:pt>
                <c:pt idx="449">
                  <c:v>1059.64829136178</c:v>
                </c:pt>
                <c:pt idx="450">
                  <c:v>1068.54388121718</c:v>
                </c:pt>
                <c:pt idx="451">
                  <c:v>1077.31740342096</c:v>
                </c:pt>
                <c:pt idx="452">
                  <c:v>1085.96949867323</c:v>
                </c:pt>
                <c:pt idx="453">
                  <c:v>1094.50079460097</c:v>
                </c:pt>
                <c:pt idx="454">
                  <c:v>1102.91190601349</c:v>
                </c:pt>
                <c:pt idx="455">
                  <c:v>1111.2034351506</c:v>
                </c:pt>
                <c:pt idx="456">
                  <c:v>1119.37597192372</c:v>
                </c:pt>
                <c:pt idx="457">
                  <c:v>1127.43009415016</c:v>
                </c:pt>
                <c:pt idx="458">
                  <c:v>1135.36636778077</c:v>
                </c:pt>
                <c:pt idx="459">
                  <c:v>1143.18534712119</c:v>
                </c:pt>
                <c:pt idx="460">
                  <c:v>1150.88757504695</c:v>
                </c:pt>
                <c:pt idx="461">
                  <c:v>1158.47358321248</c:v>
                </c:pt>
                <c:pt idx="462">
                  <c:v>1165.94389225442</c:v>
                </c:pt>
                <c:pt idx="463">
                  <c:v>1173.29901198928</c:v>
                </c:pt>
                <c:pt idx="464">
                  <c:v>1180.53944160563</c:v>
                </c:pt>
                <c:pt idx="465">
                  <c:v>1187.66566985108</c:v>
                </c:pt>
                <c:pt idx="466">
                  <c:v>1194.67817521414</c:v>
                </c:pt>
                <c:pt idx="467">
                  <c:v>1201.57742610115</c:v>
                </c:pt>
                <c:pt idx="468">
                  <c:v>1208.36388100848</c:v>
                </c:pt>
                <c:pt idx="469">
                  <c:v>1215.03798869005</c:v>
                </c:pt>
                <c:pt idx="470">
                  <c:v>1221.60018832045</c:v>
                </c:pt>
                <c:pt idx="471">
                  <c:v>1228.05090965369</c:v>
                </c:pt>
                <c:pt idx="472">
                  <c:v>1234.39057317785</c:v>
                </c:pt>
                <c:pt idx="473">
                  <c:v>1240.61959026558</c:v>
                </c:pt>
                <c:pt idx="474">
                  <c:v>1246.73836332082</c:v>
                </c:pt>
                <c:pt idx="475">
                  <c:v>1252.74728592165</c:v>
                </c:pt>
                <c:pt idx="476">
                  <c:v>1258.64674295962</c:v>
                </c:pt>
                <c:pt idx="477">
                  <c:v>1264.43711077547</c:v>
                </c:pt>
                <c:pt idx="478">
                  <c:v>1270.11875729153</c:v>
                </c:pt>
                <c:pt idx="479">
                  <c:v>1275.69204214088</c:v>
                </c:pt>
                <c:pt idx="480">
                  <c:v>1281.15731679333</c:v>
                </c:pt>
                <c:pt idx="481">
                  <c:v>1286.51492467846</c:v>
                </c:pt>
                <c:pt idx="482">
                  <c:v>1291.76520130575</c:v>
                </c:pt>
                <c:pt idx="483">
                  <c:v>1296.90847438199</c:v>
                </c:pt>
                <c:pt idx="484">
                  <c:v>1301.94506392602</c:v>
                </c:pt>
                <c:pt idx="485">
                  <c:v>1306.87528238102</c:v>
                </c:pt>
                <c:pt idx="486">
                  <c:v>1311.69943472441</c:v>
                </c:pt>
                <c:pt idx="487">
                  <c:v>1316.4178185755</c:v>
                </c:pt>
                <c:pt idx="488">
                  <c:v>1321.03072430105</c:v>
                </c:pt>
                <c:pt idx="489">
                  <c:v>1325.53843511886</c:v>
                </c:pt>
                <c:pt idx="490">
                  <c:v>1329.9412271995</c:v>
                </c:pt>
                <c:pt idx="491">
                  <c:v>1334.23936976642</c:v>
                </c:pt>
                <c:pt idx="492">
                  <c:v>1338.43312519442</c:v>
                </c:pt>
                <c:pt idx="493">
                  <c:v>1342.52274910688</c:v>
                </c:pt>
                <c:pt idx="494">
                  <c:v>1346.50849047162</c:v>
                </c:pt>
                <c:pt idx="495">
                  <c:v>1350.39059169583</c:v>
                </c:pt>
                <c:pt idx="496">
                  <c:v>1354.16928872009</c:v>
                </c:pt>
                <c:pt idx="497">
                  <c:v>1357.84481111169</c:v>
                </c:pt>
                <c:pt idx="498">
                  <c:v>1361.41738215752</c:v>
                </c:pt>
                <c:pt idx="499">
                  <c:v>1364.88721895664</c:v>
                </c:pt>
                <c:pt idx="500">
                  <c:v>1368.25453251286</c:v>
                </c:pt>
                <c:pt idx="501">
                  <c:v>1371.51952782747</c:v>
                </c:pt>
                <c:pt idx="502">
                  <c:v>1374.68240399244</c:v>
                </c:pt>
                <c:pt idx="503">
                  <c:v>1377.74335428434</c:v>
                </c:pt>
                <c:pt idx="504">
                  <c:v>1380.70256625926</c:v>
                </c:pt>
                <c:pt idx="505">
                  <c:v>1383.56022184903</c:v>
                </c:pt>
                <c:pt idx="506">
                  <c:v>1386.31649745907</c:v>
                </c:pt>
                <c:pt idx="507">
                  <c:v>1388.97156406826</c:v>
                </c:pt>
                <c:pt idx="508">
                  <c:v>1391.52558733108</c:v>
                </c:pt>
                <c:pt idx="509">
                  <c:v>1393.97872768251</c:v>
                </c:pt>
                <c:pt idx="510">
                  <c:v>1396.33114044608</c:v>
                </c:pt>
                <c:pt idx="511">
                  <c:v>1398.5829759454</c:v>
                </c:pt>
                <c:pt idx="512">
                  <c:v>1400.73437961973</c:v>
                </c:pt>
                <c:pt idx="513">
                  <c:v>1402.78549214398</c:v>
                </c:pt>
                <c:pt idx="514">
                  <c:v>1404.73644955357</c:v>
                </c:pt>
                <c:pt idx="515">
                  <c:v>1406.58738337473</c:v>
                </c:pt>
                <c:pt idx="516">
                  <c:v>1408.33842076058</c:v>
                </c:pt>
                <c:pt idx="517">
                  <c:v>1409.9896846336</c:v>
                </c:pt>
                <c:pt idx="518">
                  <c:v>1411.54129383475</c:v>
                </c:pt>
                <c:pt idx="519">
                  <c:v>1412.99336327994</c:v>
                </c:pt>
                <c:pt idx="520">
                  <c:v>1414.34600412394</c:v>
                </c:pt>
                <c:pt idx="521">
                  <c:v>1415.59932393238</c:v>
                </c:pt>
                <c:pt idx="522">
                  <c:v>1416.75342686184</c:v>
                </c:pt>
                <c:pt idx="523">
                  <c:v>1417.80841384848</c:v>
                </c:pt>
                <c:pt idx="524">
                  <c:v>1418.76438280518</c:v>
                </c:pt>
                <c:pt idx="525">
                  <c:v>1419.62142882732</c:v>
                </c:pt>
                <c:pt idx="526">
                  <c:v>1420.37964440698</c:v>
                </c:pt>
                <c:pt idx="527">
                  <c:v>1421.03911965539</c:v>
                </c:pt>
                <c:pt idx="528">
                  <c:v>1421.59994253332</c:v>
                </c:pt>
                <c:pt idx="529">
                  <c:v>1422.06219908876</c:v>
                </c:pt>
                <c:pt idx="530">
                  <c:v>1422.42597370133</c:v>
                </c:pt>
                <c:pt idx="531">
                  <c:v>1422.69134933247</c:v>
                </c:pt>
                <c:pt idx="532">
                  <c:v>1422.85840778069</c:v>
                </c:pt>
                <c:pt idx="533">
                  <c:v>1422.92722994048</c:v>
                </c:pt>
                <c:pt idx="534">
                  <c:v>1422.89789606395</c:v>
                </c:pt>
                <c:pt idx="535">
                  <c:v>1422.7704860238</c:v>
                </c:pt>
                <c:pt idx="536">
                  <c:v>1422.54507957631</c:v>
                </c:pt>
                <c:pt idx="537">
                  <c:v>1422.22175662293</c:v>
                </c:pt>
                <c:pt idx="538">
                  <c:v>1421.80059746922</c:v>
                </c:pt>
                <c:pt idx="539">
                  <c:v>1421.28168307973</c:v>
                </c:pt>
                <c:pt idx="540">
                  <c:v>1420.66509532753</c:v>
                </c:pt>
                <c:pt idx="541">
                  <c:v>1419.9509172373</c:v>
                </c:pt>
                <c:pt idx="542">
                  <c:v>1419.13923322084</c:v>
                </c:pt>
                <c:pt idx="543">
                  <c:v>1418.2301293041</c:v>
                </c:pt>
                <c:pt idx="544">
                  <c:v>1417.22369334493</c:v>
                </c:pt>
                <c:pt idx="545">
                  <c:v>1416.12001524092</c:v>
                </c:pt>
                <c:pt idx="546">
                  <c:v>1414.91918712678</c:v>
                </c:pt>
                <c:pt idx="547">
                  <c:v>1413.62130356098</c:v>
                </c:pt>
                <c:pt idx="548">
                  <c:v>1412.22646170146</c:v>
                </c:pt>
                <c:pt idx="549">
                  <c:v>1410.73476147019</c:v>
                </c:pt>
                <c:pt idx="550">
                  <c:v>1409.14630570681</c:v>
                </c:pt>
                <c:pt idx="551">
                  <c:v>1407.46120031136</c:v>
                </c:pt>
                <c:pt idx="552">
                  <c:v>1405.67955437639</c:v>
                </c:pt>
                <c:pt idx="553">
                  <c:v>1403.80148030868</c:v>
                </c:pt>
                <c:pt idx="554">
                  <c:v>1401.82709394108</c:v>
                </c:pt>
                <c:pt idx="555">
                  <c:v>1399.75651463464</c:v>
                </c:pt>
                <c:pt idx="556">
                  <c:v>1397.58986537169</c:v>
                </c:pt>
                <c:pt idx="557">
                  <c:v>1395.32727284019</c:v>
                </c:pt>
                <c:pt idx="558">
                  <c:v>1392.96886750987</c:v>
                </c:pt>
                <c:pt idx="559">
                  <c:v>1390.51478370056</c:v>
                </c:pt>
                <c:pt idx="560">
                  <c:v>1387.96515964323</c:v>
                </c:pt>
                <c:pt idx="561">
                  <c:v>1385.32013753424</c:v>
                </c:pt>
                <c:pt idx="562">
                  <c:v>1382.57986358308</c:v>
                </c:pt>
                <c:pt idx="563">
                  <c:v>1379.74448805413</c:v>
                </c:pt>
                <c:pt idx="564">
                  <c:v>1376.81416530293</c:v>
                </c:pt>
                <c:pt idx="565">
                  <c:v>1373.78905380705</c:v>
                </c:pt>
                <c:pt idx="566">
                  <c:v>1370.66931619228</c:v>
                </c:pt>
                <c:pt idx="567">
                  <c:v>1367.45511925414</c:v>
                </c:pt>
                <c:pt idx="568">
                  <c:v>1364.14663397535</c:v>
                </c:pt>
                <c:pt idx="569">
                  <c:v>1360.74403553918</c:v>
                </c:pt>
                <c:pt idx="570">
                  <c:v>1357.24750333935</c:v>
                </c:pt>
                <c:pt idx="571">
                  <c:v>1353.65722098641</c:v>
                </c:pt>
                <c:pt idx="572">
                  <c:v>1349.97337631098</c:v>
                </c:pt>
                <c:pt idx="573">
                  <c:v>1346.19616136412</c:v>
                </c:pt>
                <c:pt idx="574">
                  <c:v>1342.32577241485</c:v>
                </c:pt>
                <c:pt idx="575">
                  <c:v>1338.36240994515</c:v>
                </c:pt>
                <c:pt idx="576">
                  <c:v>1334.3062786426</c:v>
                </c:pt>
                <c:pt idx="577">
                  <c:v>1330.15758739073</c:v>
                </c:pt>
                <c:pt idx="578">
                  <c:v>1325.9165492573</c:v>
                </c:pt>
                <c:pt idx="579">
                  <c:v>1321.5833814806</c:v>
                </c:pt>
                <c:pt idx="580">
                  <c:v>1317.15830545391</c:v>
                </c:pt>
                <c:pt idx="581">
                  <c:v>1312.64154670825</c:v>
                </c:pt>
                <c:pt idx="582">
                  <c:v>1308.03333489347</c:v>
                </c:pt>
                <c:pt idx="583">
                  <c:v>1303.33390375778</c:v>
                </c:pt>
                <c:pt idx="584">
                  <c:v>1298.54349112594</c:v>
                </c:pt>
                <c:pt idx="585">
                  <c:v>1293.66233887595</c:v>
                </c:pt>
                <c:pt idx="586">
                  <c:v>1288.69069291451</c:v>
                </c:pt>
                <c:pt idx="587">
                  <c:v>1283.62880315127</c:v>
                </c:pt>
                <c:pt idx="588">
                  <c:v>1278.47692347192</c:v>
                </c:pt>
                <c:pt idx="589">
                  <c:v>1273.23531171008</c:v>
                </c:pt>
                <c:pt idx="590">
                  <c:v>1267.90422961832</c:v>
                </c:pt>
                <c:pt idx="591">
                  <c:v>1262.48394283802</c:v>
                </c:pt>
                <c:pt idx="592">
                  <c:v>1256.97472086839</c:v>
                </c:pt>
                <c:pt idx="593">
                  <c:v>1251.37683703449</c:v>
                </c:pt>
                <c:pt idx="594">
                  <c:v>1245.69056845454</c:v>
                </c:pt>
                <c:pt idx="595">
                  <c:v>1239.91619600623</c:v>
                </c:pt>
                <c:pt idx="596">
                  <c:v>1234.05400429237</c:v>
                </c:pt>
                <c:pt idx="597">
                  <c:v>1228.10428160575</c:v>
                </c:pt>
                <c:pt idx="598">
                  <c:v>1222.06731989327</c:v>
                </c:pt>
                <c:pt idx="599">
                  <c:v>1215.94341471941</c:v>
                </c:pt>
                <c:pt idx="600">
                  <c:v>1209.73286522902</c:v>
                </c:pt>
                <c:pt idx="601">
                  <c:v>1203.43597410951</c:v>
                </c:pt>
                <c:pt idx="602">
                  <c:v>1197.05304755239</c:v>
                </c:pt>
                <c:pt idx="603">
                  <c:v>1190.58439521429</c:v>
                </c:pt>
                <c:pt idx="604">
                  <c:v>1184.03033017737</c:v>
                </c:pt>
                <c:pt idx="605">
                  <c:v>1177.39116890926</c:v>
                </c:pt>
                <c:pt idx="606">
                  <c:v>1170.66723122242</c:v>
                </c:pt>
                <c:pt idx="607">
                  <c:v>1163.85884023308</c:v>
                </c:pt>
                <c:pt idx="608">
                  <c:v>1156.96632231971</c:v>
                </c:pt>
                <c:pt idx="609">
                  <c:v>1149.99000708095</c:v>
                </c:pt>
                <c:pt idx="610">
                  <c:v>1142.93022729326</c:v>
                </c:pt>
                <c:pt idx="611">
                  <c:v>1135.78731886803</c:v>
                </c:pt>
                <c:pt idx="612">
                  <c:v>1128.56162080841</c:v>
                </c:pt>
                <c:pt idx="613">
                  <c:v>1121.25347516565</c:v>
                </c:pt>
                <c:pt idx="614">
                  <c:v>1113.86322699519</c:v>
                </c:pt>
                <c:pt idx="615">
                  <c:v>1106.39122431236</c:v>
                </c:pt>
                <c:pt idx="616">
                  <c:v>1098.83781804776</c:v>
                </c:pt>
                <c:pt idx="617">
                  <c:v>1091.20336200232</c:v>
                </c:pt>
                <c:pt idx="618">
                  <c:v>1083.48821280211</c:v>
                </c:pt>
                <c:pt idx="619">
                  <c:v>1075.69272985287</c:v>
                </c:pt>
                <c:pt idx="620">
                  <c:v>1067.81727529418</c:v>
                </c:pt>
                <c:pt idx="621">
                  <c:v>1059.86221395353</c:v>
                </c:pt>
                <c:pt idx="622">
                  <c:v>1051.82791330009</c:v>
                </c:pt>
                <c:pt idx="623">
                  <c:v>1043.71474339818</c:v>
                </c:pt>
                <c:pt idx="624">
                  <c:v>1035.52307686072</c:v>
                </c:pt>
                <c:pt idx="625">
                  <c:v>1027.2532888023</c:v>
                </c:pt>
                <c:pt idx="626">
                  <c:v>1018.90575679219</c:v>
                </c:pt>
                <c:pt idx="627">
                  <c:v>1010.48086080715</c:v>
                </c:pt>
                <c:pt idx="628">
                  <c:v>1001.97898318406</c:v>
                </c:pt>
                <c:pt idx="629">
                  <c:v>993.400508572492</c:v>
                </c:pt>
                <c:pt idx="630">
                  <c:v>984.745823887052</c:v>
                </c:pt>
                <c:pt idx="631">
                  <c:v>976.015318259686</c:v>
                </c:pt>
                <c:pt idx="632">
                  <c:v>967.209382991849</c:v>
                </c:pt>
                <c:pt idx="633">
                  <c:v>958.328411506599</c:v>
                </c:pt>
                <c:pt idx="634">
                  <c:v>949.372799300606</c:v>
                </c:pt>
                <c:pt idx="635">
                  <c:v>940.342943896101</c:v>
                </c:pt>
                <c:pt idx="636">
                  <c:v>931.239244792768</c:v>
                </c:pt>
                <c:pt idx="637">
                  <c:v>922.062103419599</c:v>
                </c:pt>
                <c:pt idx="638">
                  <c:v>912.81192308671</c:v>
                </c:pt>
                <c:pt idx="639">
                  <c:v>903.489108937149</c:v>
                </c:pt>
                <c:pt idx="640">
                  <c:v>894.094067898689</c:v>
                </c:pt>
                <c:pt idx="641">
                  <c:v>884.627208635624</c:v>
                </c:pt>
                <c:pt idx="642">
                  <c:v>875.088941500587</c:v>
                </c:pt>
                <c:pt idx="643">
                  <c:v>865.47967848638</c:v>
                </c:pt>
                <c:pt idx="644">
                  <c:v>855.799833177855</c:v>
                </c:pt>
                <c:pt idx="645">
                  <c:v>846.049820703828</c:v>
                </c:pt>
                <c:pt idx="646">
                  <c:v>836.230057689058</c:v>
                </c:pt>
                <c:pt idx="647">
                  <c:v>826.34096220629</c:v>
                </c:pt>
                <c:pt idx="648">
                  <c:v>816.382953728376</c:v>
                </c:pt>
                <c:pt idx="649">
                  <c:v>806.356453080481</c:v>
                </c:pt>
                <c:pt idx="650">
                  <c:v>796.261882392392</c:v>
                </c:pt>
                <c:pt idx="651">
                  <c:v>786.099665050926</c:v>
                </c:pt>
                <c:pt idx="652">
                  <c:v>775.870225652461</c:v>
                </c:pt>
                <c:pt idx="653">
                  <c:v>765.573989955588</c:v>
                </c:pt>
                <c:pt idx="654">
                  <c:v>755.211384833907</c:v>
                </c:pt>
                <c:pt idx="655">
                  <c:v>744.782838228955</c:v>
                </c:pt>
                <c:pt idx="656">
                  <c:v>734.2887791033</c:v>
                </c:pt>
                <c:pt idx="657">
                  <c:v>723.72963739379</c:v>
                </c:pt>
                <c:pt idx="658">
                  <c:v>713.105843964977</c:v>
                </c:pt>
                <c:pt idx="659">
                  <c:v>702.417830562724</c:v>
                </c:pt>
                <c:pt idx="660">
                  <c:v>691.666029767994</c:v>
                </c:pt>
                <c:pt idx="661">
                  <c:v>680.850874950841</c:v>
                </c:pt>
                <c:pt idx="662">
                  <c:v>669.972800224609</c:v>
                </c:pt>
                <c:pt idx="663">
                  <c:v>659.032240400341</c:v>
                </c:pt>
                <c:pt idx="664">
                  <c:v>648.029630941412</c:v>
                </c:pt>
                <c:pt idx="665">
                  <c:v>636.965407918389</c:v>
                </c:pt>
                <c:pt idx="666">
                  <c:v>625.840007964133</c:v>
                </c:pt>
                <c:pt idx="667">
                  <c:v>614.653868229145</c:v>
                </c:pt>
                <c:pt idx="668">
                  <c:v>603.407426337162</c:v>
                </c:pt>
                <c:pt idx="669">
                  <c:v>592.101120341018</c:v>
                </c:pt>
                <c:pt idx="670">
                  <c:v>580.735388678766</c:v>
                </c:pt>
                <c:pt idx="671">
                  <c:v>569.310670130079</c:v>
                </c:pt>
                <c:pt idx="672">
                  <c:v>557.827403772935</c:v>
                </c:pt>
                <c:pt idx="673">
                  <c:v>546.286028940577</c:v>
                </c:pt>
                <c:pt idx="674">
                  <c:v>534.686985178787</c:v>
                </c:pt>
                <c:pt idx="675">
                  <c:v>523.030712203443</c:v>
                </c:pt>
                <c:pt idx="676">
                  <c:v>511.317649858392</c:v>
                </c:pt>
                <c:pt idx="677">
                  <c:v>499.54823807364</c:v>
                </c:pt>
                <c:pt idx="678">
                  <c:v>487.722916823851</c:v>
                </c:pt>
                <c:pt idx="679">
                  <c:v>475.842126087181</c:v>
                </c:pt>
                <c:pt idx="680">
                  <c:v>463.906305804436</c:v>
                </c:pt>
                <c:pt idx="681">
                  <c:v>451.915895838574</c:v>
                </c:pt>
                <c:pt idx="682">
                  <c:v>439.871335934541</c:v>
                </c:pt>
                <c:pt idx="683">
                  <c:v>427.773065679462</c:v>
                </c:pt>
                <c:pt idx="684">
                  <c:v>415.621524463177</c:v>
                </c:pt>
                <c:pt idx="685">
                  <c:v>403.417151439141</c:v>
                </c:pt>
                <c:pt idx="686">
                  <c:v>391.160385485683</c:v>
                </c:pt>
                <c:pt idx="687">
                  <c:v>378.85166516763</c:v>
                </c:pt>
                <c:pt idx="688">
                  <c:v>366.491428698306</c:v>
                </c:pt>
                <c:pt idx="689">
                  <c:v>354.080113901908</c:v>
                </c:pt>
                <c:pt idx="690">
                  <c:v>341.618158176255</c:v>
                </c:pt>
                <c:pt idx="691">
                  <c:v>329.105998455927</c:v>
                </c:pt>
                <c:pt idx="692">
                  <c:v>316.544071175794</c:v>
                </c:pt>
                <c:pt idx="693">
                  <c:v>303.932812234928</c:v>
                </c:pt>
                <c:pt idx="694">
                  <c:v>291.272656960917</c:v>
                </c:pt>
                <c:pt idx="695">
                  <c:v>278.564040074579</c:v>
                </c:pt>
                <c:pt idx="696">
                  <c:v>265.807395655074</c:v>
                </c:pt>
                <c:pt idx="697">
                  <c:v>253.003157105422</c:v>
                </c:pt>
                <c:pt idx="698">
                  <c:v>240.151757118433</c:v>
                </c:pt>
                <c:pt idx="699">
                  <c:v>227.253627643042</c:v>
                </c:pt>
                <c:pt idx="700">
                  <c:v>214.309199851066</c:v>
                </c:pt>
                <c:pt idx="701">
                  <c:v>201.31890410437</c:v>
                </c:pt>
                <c:pt idx="702">
                  <c:v>188.28316992246</c:v>
                </c:pt>
                <c:pt idx="703">
                  <c:v>175.202425950486</c:v>
                </c:pt>
                <c:pt idx="704">
                  <c:v>162.077099927684</c:v>
                </c:pt>
                <c:pt idx="705">
                  <c:v>148.907618656229</c:v>
                </c:pt>
                <c:pt idx="706">
                  <c:v>135.694407970526</c:v>
                </c:pt>
                <c:pt idx="707">
                  <c:v>122.437892706922</c:v>
                </c:pt>
                <c:pt idx="708">
                  <c:v>109.138496673859</c:v>
                </c:pt>
                <c:pt idx="709">
                  <c:v>95.7966426224482</c:v>
                </c:pt>
                <c:pt idx="710">
                  <c:v>82.4127522174877</c:v>
                </c:pt>
                <c:pt idx="711">
                  <c:v>68.9872460089085</c:v>
                </c:pt>
                <c:pt idx="712">
                  <c:v>55.5205434036603</c:v>
                </c:pt>
                <c:pt idx="713">
                  <c:v>42.013062638033</c:v>
                </c:pt>
                <c:pt idx="714">
                  <c:v>28.4652207504168</c:v>
                </c:pt>
                <c:pt idx="715">
                  <c:v>14.8774335545002</c:v>
                </c:pt>
                <c:pt idx="716">
                  <c:v>1.25011561290793</c:v>
                </c:pt>
                <c:pt idx="717">
                  <c:v>-12.4163197887221</c:v>
                </c:pt>
                <c:pt idx="718">
                  <c:v>-12.4300056989435</c:v>
                </c:pt>
                <c:pt idx="719">
                  <c:v>-12.4436916476644</c:v>
                </c:pt>
                <c:pt idx="720">
                  <c:v>-12.4573776348846</c:v>
                </c:pt>
                <c:pt idx="721">
                  <c:v>-12.4710636606036</c:v>
                </c:pt>
                <c:pt idx="722">
                  <c:v>-12.484749724821</c:v>
                </c:pt>
                <c:pt idx="723">
                  <c:v>-12.4984358275363</c:v>
                </c:pt>
                <c:pt idx="724">
                  <c:v>-12.5121219687492</c:v>
                </c:pt>
                <c:pt idx="725">
                  <c:v>-12.5258081484593</c:v>
                </c:pt>
                <c:pt idx="726">
                  <c:v>-12.5394943666661</c:v>
                </c:pt>
                <c:pt idx="727">
                  <c:v>-12.5531806233692</c:v>
                </c:pt>
                <c:pt idx="728">
                  <c:v>-12.5668669185683</c:v>
                </c:pt>
                <c:pt idx="729">
                  <c:v>-12.5805532522629</c:v>
                </c:pt>
                <c:pt idx="730">
                  <c:v>-12.5942396244526</c:v>
                </c:pt>
                <c:pt idx="731">
                  <c:v>-12.607926035137</c:v>
                </c:pt>
                <c:pt idx="732">
                  <c:v>-12.6216124843157</c:v>
                </c:pt>
                <c:pt idx="733">
                  <c:v>-12.6352989719883</c:v>
                </c:pt>
                <c:pt idx="734">
                  <c:v>-12.6489854981543</c:v>
                </c:pt>
                <c:pt idx="735">
                  <c:v>-12.6626720628135</c:v>
                </c:pt>
                <c:pt idx="736">
                  <c:v>-12.6763586659653</c:v>
                </c:pt>
                <c:pt idx="737">
                  <c:v>-12.6900453076093</c:v>
                </c:pt>
                <c:pt idx="738">
                  <c:v>-12.7037319877452</c:v>
                </c:pt>
                <c:pt idx="739">
                  <c:v>-12.7174187063725</c:v>
                </c:pt>
                <c:pt idx="740">
                  <c:v>-12.7311054634908</c:v>
                </c:pt>
                <c:pt idx="741">
                  <c:v>-12.7447922590998</c:v>
                </c:pt>
                <c:pt idx="742">
                  <c:v>-12.7584790931989</c:v>
                </c:pt>
                <c:pt idx="743">
                  <c:v>-12.7721659657879</c:v>
                </c:pt>
                <c:pt idx="744">
                  <c:v>-12.7858528768662</c:v>
                </c:pt>
                <c:pt idx="745">
                  <c:v>-12.7995398264336</c:v>
                </c:pt>
                <c:pt idx="746">
                  <c:v>-12.8132268144895</c:v>
                </c:pt>
                <c:pt idx="747">
                  <c:v>-12.8269138410335</c:v>
                </c:pt>
                <c:pt idx="748">
                  <c:v>-12.8406009060653</c:v>
                </c:pt>
                <c:pt idx="749">
                  <c:v>-12.8542880095845</c:v>
                </c:pt>
                <c:pt idx="750">
                  <c:v>-12.8679751515905</c:v>
                </c:pt>
                <c:pt idx="751">
                  <c:v>-12.8816623320831</c:v>
                </c:pt>
                <c:pt idx="752">
                  <c:v>-12.8953495510619</c:v>
                </c:pt>
                <c:pt idx="753">
                  <c:v>-12.9090368085263</c:v>
                </c:pt>
                <c:pt idx="754">
                  <c:v>-12.922724104476</c:v>
                </c:pt>
                <c:pt idx="755">
                  <c:v>-12.9364114389107</c:v>
                </c:pt>
                <c:pt idx="756">
                  <c:v>-12.9500988118298</c:v>
                </c:pt>
                <c:pt idx="757">
                  <c:v>-12.9637862232329</c:v>
                </c:pt>
                <c:pt idx="758">
                  <c:v>-12.9774736731198</c:v>
                </c:pt>
                <c:pt idx="759">
                  <c:v>-12.9911611614899</c:v>
                </c:pt>
                <c:pt idx="760">
                  <c:v>-13.0048486883428</c:v>
                </c:pt>
                <c:pt idx="761">
                  <c:v>-13.0185362536782</c:v>
                </c:pt>
                <c:pt idx="762">
                  <c:v>-13.0322238574956</c:v>
                </c:pt>
                <c:pt idx="763">
                  <c:v>-13.0459114997946</c:v>
                </c:pt>
                <c:pt idx="764">
                  <c:v>-13.0595991805749</c:v>
                </c:pt>
                <c:pt idx="765">
                  <c:v>-13.0732868998359</c:v>
                </c:pt>
                <c:pt idx="766">
                  <c:v>-13.0869746575773</c:v>
                </c:pt>
                <c:pt idx="767">
                  <c:v>-13.1006624537988</c:v>
                </c:pt>
                <c:pt idx="768">
                  <c:v>-13.1143502884998</c:v>
                </c:pt>
                <c:pt idx="769">
                  <c:v>-13.1280381616799</c:v>
                </c:pt>
                <c:pt idx="770">
                  <c:v>-13.1417260733388</c:v>
                </c:pt>
                <c:pt idx="771">
                  <c:v>-13.1554140234761</c:v>
                </c:pt>
                <c:pt idx="772">
                  <c:v>-13.1691020120913</c:v>
                </c:pt>
                <c:pt idx="773">
                  <c:v>-13.1827900391841</c:v>
                </c:pt>
                <c:pt idx="774">
                  <c:v>-13.1964781047539</c:v>
                </c:pt>
                <c:pt idx="775">
                  <c:v>-13.2101662088005</c:v>
                </c:pt>
                <c:pt idx="776">
                  <c:v>-13.2238543513234</c:v>
                </c:pt>
                <c:pt idx="777">
                  <c:v>-13.2375425323222</c:v>
                </c:pt>
                <c:pt idx="778">
                  <c:v>-13.2512307517964</c:v>
                </c:pt>
                <c:pt idx="779">
                  <c:v>-13.2649190097458</c:v>
                </c:pt>
                <c:pt idx="780">
                  <c:v>-13.2786073061698</c:v>
                </c:pt>
                <c:pt idx="781">
                  <c:v>-13.2922956410681</c:v>
                </c:pt>
                <c:pt idx="782">
                  <c:v>-13.3059840144402</c:v>
                </c:pt>
                <c:pt idx="783">
                  <c:v>-13.3196724262858</c:v>
                </c:pt>
                <c:pt idx="784">
                  <c:v>-13.3333608766044</c:v>
                </c:pt>
                <c:pt idx="785">
                  <c:v>-13.3470493653956</c:v>
                </c:pt>
                <c:pt idx="786">
                  <c:v>-13.3607378926591</c:v>
                </c:pt>
                <c:pt idx="787">
                  <c:v>-13.3744264583943</c:v>
                </c:pt>
                <c:pt idx="788">
                  <c:v>-13.388115062601</c:v>
                </c:pt>
                <c:pt idx="789">
                  <c:v>-13.4018037052786</c:v>
                </c:pt>
                <c:pt idx="790">
                  <c:v>-13.4154923864268</c:v>
                </c:pt>
                <c:pt idx="791">
                  <c:v>-13.4291811060452</c:v>
                </c:pt>
                <c:pt idx="792">
                  <c:v>-13.4428698641334</c:v>
                </c:pt>
                <c:pt idx="793">
                  <c:v>-13.4565586606909</c:v>
                </c:pt>
                <c:pt idx="794">
                  <c:v>-13.4702474957174</c:v>
                </c:pt>
                <c:pt idx="795">
                  <c:v>-13.4839363692124</c:v>
                </c:pt>
                <c:pt idx="796">
                  <c:v>-13.4976252811755</c:v>
                </c:pt>
                <c:pt idx="797">
                  <c:v>-13.5113142316064</c:v>
                </c:pt>
                <c:pt idx="798">
                  <c:v>-13.5250032205046</c:v>
                </c:pt>
                <c:pt idx="799">
                  <c:v>-13.5386922478696</c:v>
                </c:pt>
                <c:pt idx="800">
                  <c:v>-13.5523813137012</c:v>
                </c:pt>
                <c:pt idx="801">
                  <c:v>-13.5660704179989</c:v>
                </c:pt>
                <c:pt idx="802">
                  <c:v>-13.5797595607622</c:v>
                </c:pt>
                <c:pt idx="803">
                  <c:v>-13.5934487419908</c:v>
                </c:pt>
                <c:pt idx="804">
                  <c:v>-13.6071379616842</c:v>
                </c:pt>
                <c:pt idx="805">
                  <c:v>-13.6208272198421</c:v>
                </c:pt>
                <c:pt idx="806">
                  <c:v>-13.6345165164641</c:v>
                </c:pt>
                <c:pt idx="807">
                  <c:v>-13.6482058515496</c:v>
                </c:pt>
                <c:pt idx="808">
                  <c:v>-13.6618952250984</c:v>
                </c:pt>
                <c:pt idx="809">
                  <c:v>-13.6755846371101</c:v>
                </c:pt>
                <c:pt idx="810">
                  <c:v>-13.6892740875841</c:v>
                </c:pt>
                <c:pt idx="811">
                  <c:v>-13.7029635765201</c:v>
                </c:pt>
                <c:pt idx="812">
                  <c:v>-13.7166531039177</c:v>
                </c:pt>
                <c:pt idx="813">
                  <c:v>-13.7303426697765</c:v>
                </c:pt>
                <c:pt idx="814">
                  <c:v>-13.7440322740961</c:v>
                </c:pt>
                <c:pt idx="815">
                  <c:v>-13.757721916876</c:v>
                </c:pt>
                <c:pt idx="816">
                  <c:v>-13.7714115981159</c:v>
                </c:pt>
                <c:pt idx="817">
                  <c:v>-13.7851013178153</c:v>
                </c:pt>
                <c:pt idx="818">
                  <c:v>-13.7987910759738</c:v>
                </c:pt>
                <c:pt idx="819">
                  <c:v>-13.8124808725911</c:v>
                </c:pt>
                <c:pt idx="820">
                  <c:v>-13.8261707076667</c:v>
                </c:pt>
                <c:pt idx="821">
                  <c:v>-13.8398605812002</c:v>
                </c:pt>
                <c:pt idx="822">
                  <c:v>-13.8535504931912</c:v>
                </c:pt>
                <c:pt idx="823">
                  <c:v>-13.8672404436393</c:v>
                </c:pt>
                <c:pt idx="824">
                  <c:v>-13.8809304325441</c:v>
                </c:pt>
                <c:pt idx="825">
                  <c:v>-13.8946204599052</c:v>
                </c:pt>
                <c:pt idx="826">
                  <c:v>-13.9083105257221</c:v>
                </c:pt>
                <c:pt idx="827">
                  <c:v>-13.9220006299945</c:v>
                </c:pt>
                <c:pt idx="828">
                  <c:v>-13.9356907727219</c:v>
                </c:pt>
                <c:pt idx="829">
                  <c:v>-13.949380953904</c:v>
                </c:pt>
                <c:pt idx="830">
                  <c:v>-13.9630711735403</c:v>
                </c:pt>
                <c:pt idx="831">
                  <c:v>-13.9767614316305</c:v>
                </c:pt>
                <c:pt idx="832">
                  <c:v>-13.990451728174</c:v>
                </c:pt>
                <c:pt idx="833">
                  <c:v>-14.0041420631705</c:v>
                </c:pt>
                <c:pt idx="834">
                  <c:v>-14.0178324366197</c:v>
                </c:pt>
                <c:pt idx="835">
                  <c:v>-14.031522848521</c:v>
                </c:pt>
                <c:pt idx="836">
                  <c:v>-14.0452132988741</c:v>
                </c:pt>
                <c:pt idx="837">
                  <c:v>-14.0589037876786</c:v>
                </c:pt>
                <c:pt idx="838">
                  <c:v>-14.0725943149341</c:v>
                </c:pt>
                <c:pt idx="839">
                  <c:v>-14.08628488064</c:v>
                </c:pt>
                <c:pt idx="840">
                  <c:v>-14.0999754847962</c:v>
                </c:pt>
                <c:pt idx="841">
                  <c:v>-14.1136661274021</c:v>
                </c:pt>
                <c:pt idx="842">
                  <c:v>-14.1273568084573</c:v>
                </c:pt>
                <c:pt idx="843">
                  <c:v>-14.1410475279614</c:v>
                </c:pt>
                <c:pt idx="844">
                  <c:v>-14.154738285914</c:v>
                </c:pt>
                <c:pt idx="845">
                  <c:v>-14.1684290823147</c:v>
                </c:pt>
                <c:pt idx="846">
                  <c:v>-14.1821199171631</c:v>
                </c:pt>
                <c:pt idx="847">
                  <c:v>-14.1958107904588</c:v>
                </c:pt>
                <c:pt idx="848">
                  <c:v>-14.2095017022014</c:v>
                </c:pt>
                <c:pt idx="849">
                  <c:v>-14.2231926523905</c:v>
                </c:pt>
                <c:pt idx="850">
                  <c:v>-14.2368836410255</c:v>
                </c:pt>
                <c:pt idx="851">
                  <c:v>-14.2505746681063</c:v>
                </c:pt>
                <c:pt idx="852">
                  <c:v>-14.2642657336323</c:v>
                </c:pt>
                <c:pt idx="853">
                  <c:v>-14.2779568376031</c:v>
                </c:pt>
                <c:pt idx="854">
                  <c:v>-14.2916479800183</c:v>
                </c:pt>
                <c:pt idx="855">
                  <c:v>-14.3053391608776</c:v>
                </c:pt>
                <c:pt idx="856">
                  <c:v>-14.3190303801804</c:v>
                </c:pt>
                <c:pt idx="857">
                  <c:v>-14.3327216379265</c:v>
                </c:pt>
                <c:pt idx="858">
                  <c:v>-14.3464129341153</c:v>
                </c:pt>
                <c:pt idx="859">
                  <c:v>-14.3601042687465</c:v>
                </c:pt>
                <c:pt idx="860">
                  <c:v>-14.3737956418197</c:v>
                </c:pt>
                <c:pt idx="861">
                  <c:v>-14.3874870533344</c:v>
                </c:pt>
                <c:pt idx="862">
                  <c:v>-14.4011785032903</c:v>
                </c:pt>
                <c:pt idx="863">
                  <c:v>-14.414869991687</c:v>
                </c:pt>
                <c:pt idx="864">
                  <c:v>-14.428561518524</c:v>
                </c:pt>
                <c:pt idx="865">
                  <c:v>-14.4422530838009</c:v>
                </c:pt>
                <c:pt idx="866">
                  <c:v>-14.4559446875173</c:v>
                </c:pt>
                <c:pt idx="867">
                  <c:v>-14.4696363296728</c:v>
                </c:pt>
                <c:pt idx="868">
                  <c:v>-14.483328010267</c:v>
                </c:pt>
                <c:pt idx="869">
                  <c:v>-14.4970197292995</c:v>
                </c:pt>
                <c:pt idx="870">
                  <c:v>-14.5107114867699</c:v>
                </c:pt>
                <c:pt idx="871">
                  <c:v>-14.5244032826778</c:v>
                </c:pt>
                <c:pt idx="872">
                  <c:v>-14.5380951170228</c:v>
                </c:pt>
                <c:pt idx="873">
                  <c:v>-14.5517869898044</c:v>
                </c:pt>
                <c:pt idx="874">
                  <c:v>-14.5654789010222</c:v>
                </c:pt>
                <c:pt idx="875">
                  <c:v>-14.5791708506759</c:v>
                </c:pt>
                <c:pt idx="876">
                  <c:v>-14.592862838765</c:v>
                </c:pt>
                <c:pt idx="877">
                  <c:v>-14.6065548652891</c:v>
                </c:pt>
                <c:pt idx="878">
                  <c:v>-14.6202469302479</c:v>
                </c:pt>
                <c:pt idx="879">
                  <c:v>-14.6339390336408</c:v>
                </c:pt>
                <c:pt idx="880">
                  <c:v>-14.6476311754676</c:v>
                </c:pt>
                <c:pt idx="881">
                  <c:v>-14.6613233557277</c:v>
                </c:pt>
                <c:pt idx="882">
                  <c:v>-14.6750155744208</c:v>
                </c:pt>
                <c:pt idx="883">
                  <c:v>-14.6887078315465</c:v>
                </c:pt>
                <c:pt idx="884">
                  <c:v>-14.7024001271043</c:v>
                </c:pt>
                <c:pt idx="885">
                  <c:v>-14.7160924610939</c:v>
                </c:pt>
                <c:pt idx="886">
                  <c:v>-14.7297848335149</c:v>
                </c:pt>
                <c:pt idx="887">
                  <c:v>-14.7434772443668</c:v>
                </c:pt>
                <c:pt idx="888">
                  <c:v>-14.7571696936492</c:v>
                </c:pt>
                <c:pt idx="889">
                  <c:v>-14.7708621813617</c:v>
                </c:pt>
                <c:pt idx="890">
                  <c:v>-14.7845547075039</c:v>
                </c:pt>
                <c:pt idx="891">
                  <c:v>-14.7982472720754</c:v>
                </c:pt>
                <c:pt idx="892">
                  <c:v>-14.8119398750759</c:v>
                </c:pt>
                <c:pt idx="893">
                  <c:v>-14.8256325165048</c:v>
                </c:pt>
                <c:pt idx="894">
                  <c:v>-14.8393251963617</c:v>
                </c:pt>
                <c:pt idx="895">
                  <c:v>-14.8530179146464</c:v>
                </c:pt>
                <c:pt idx="896">
                  <c:v>-14.8667106713583</c:v>
                </c:pt>
                <c:pt idx="897">
                  <c:v>-14.880403466497</c:v>
                </c:pt>
                <c:pt idx="898">
                  <c:v>-14.8940963000622</c:v>
                </c:pt>
                <c:pt idx="899">
                  <c:v>-14.9077891720535</c:v>
                </c:pt>
                <c:pt idx="900">
                  <c:v>-14.9214820824703</c:v>
                </c:pt>
                <c:pt idx="901">
                  <c:v>-14.9351750313124</c:v>
                </c:pt>
                <c:pt idx="902">
                  <c:v>-14.9488680185792</c:v>
                </c:pt>
                <c:pt idx="903">
                  <c:v>-14.9625610442705</c:v>
                </c:pt>
                <c:pt idx="904">
                  <c:v>-14.9762541083857</c:v>
                </c:pt>
                <c:pt idx="905">
                  <c:v>-14.9899472109246</c:v>
                </c:pt>
                <c:pt idx="906">
                  <c:v>-15.0036403518866</c:v>
                </c:pt>
                <c:pt idx="907">
                  <c:v>-15.0173335312713</c:v>
                </c:pt>
                <c:pt idx="908">
                  <c:v>-15.0310267490784</c:v>
                </c:pt>
                <c:pt idx="909">
                  <c:v>-15.0447200053075</c:v>
                </c:pt>
                <c:pt idx="910">
                  <c:v>-15.0584132999581</c:v>
                </c:pt>
                <c:pt idx="911">
                  <c:v>-15.0721066330298</c:v>
                </c:pt>
                <c:pt idx="912">
                  <c:v>-15.0858000045222</c:v>
                </c:pt>
                <c:pt idx="913">
                  <c:v>-15.099493414435</c:v>
                </c:pt>
                <c:pt idx="914">
                  <c:v>-15.1131868627676</c:v>
                </c:pt>
                <c:pt idx="915">
                  <c:v>-15.1268803495198</c:v>
                </c:pt>
                <c:pt idx="916">
                  <c:v>-15.140573874691</c:v>
                </c:pt>
                <c:pt idx="917">
                  <c:v>-15.1542674382809</c:v>
                </c:pt>
                <c:pt idx="918">
                  <c:v>-15.1679610402891</c:v>
                </c:pt>
                <c:pt idx="919">
                  <c:v>-15.1816546807151</c:v>
                </c:pt>
                <c:pt idx="920">
                  <c:v>-15.1953483595586</c:v>
                </c:pt>
                <c:pt idx="921">
                  <c:v>-15.2090420768191</c:v>
                </c:pt>
                <c:pt idx="922">
                  <c:v>-15.2227358324963</c:v>
                </c:pt>
                <c:pt idx="923">
                  <c:v>-15.2364296265897</c:v>
                </c:pt>
                <c:pt idx="924">
                  <c:v>-15.2501234590989</c:v>
                </c:pt>
                <c:pt idx="925">
                  <c:v>-15.2638173300235</c:v>
                </c:pt>
                <c:pt idx="926">
                  <c:v>-15.2775112393631</c:v>
                </c:pt>
                <c:pt idx="927">
                  <c:v>-15.2912051871172</c:v>
                </c:pt>
                <c:pt idx="928">
                  <c:v>-15.3048991732856</c:v>
                </c:pt>
                <c:pt idx="929">
                  <c:v>-15.3185931978678</c:v>
                </c:pt>
                <c:pt idx="930">
                  <c:v>-15.3322872608633</c:v>
                </c:pt>
                <c:pt idx="931">
                  <c:v>-15.3459813622717</c:v>
                </c:pt>
                <c:pt idx="932">
                  <c:v>-15.3596755020927</c:v>
                </c:pt>
                <c:pt idx="933">
                  <c:v>-15.3733696803259</c:v>
                </c:pt>
                <c:pt idx="934">
                  <c:v>-15.3870638969708</c:v>
                </c:pt>
                <c:pt idx="935">
                  <c:v>-15.400758152027</c:v>
                </c:pt>
                <c:pt idx="936">
                  <c:v>-15.4144524454941</c:v>
                </c:pt>
                <c:pt idx="937">
                  <c:v>-15.4281467773717</c:v>
                </c:pt>
                <c:pt idx="938">
                  <c:v>-15.4418411476594</c:v>
                </c:pt>
                <c:pt idx="939">
                  <c:v>-15.4555355563568</c:v>
                </c:pt>
                <c:pt idx="940">
                  <c:v>-15.4692300034634</c:v>
                </c:pt>
                <c:pt idx="941">
                  <c:v>-15.482924488979</c:v>
                </c:pt>
                <c:pt idx="942">
                  <c:v>-15.496619012903</c:v>
                </c:pt>
                <c:pt idx="943">
                  <c:v>-15.510313575235</c:v>
                </c:pt>
                <c:pt idx="944">
                  <c:v>-15.5240081759747</c:v>
                </c:pt>
                <c:pt idx="945">
                  <c:v>-15.5377028151217</c:v>
                </c:pt>
                <c:pt idx="946">
                  <c:v>-15.5513974926754</c:v>
                </c:pt>
                <c:pt idx="947">
                  <c:v>-15.5650922086356</c:v>
                </c:pt>
                <c:pt idx="948">
                  <c:v>-15.5787869630018</c:v>
                </c:pt>
                <c:pt idx="949">
                  <c:v>-15.5924817557736</c:v>
                </c:pt>
                <c:pt idx="950">
                  <c:v>-15.6061765869505</c:v>
                </c:pt>
                <c:pt idx="951">
                  <c:v>-15.6198714565323</c:v>
                </c:pt>
                <c:pt idx="952">
                  <c:v>-15.6335663645184</c:v>
                </c:pt>
                <c:pt idx="953">
                  <c:v>-15.6472613109085</c:v>
                </c:pt>
                <c:pt idx="954">
                  <c:v>-15.6609562957022</c:v>
                </c:pt>
                <c:pt idx="955">
                  <c:v>-15.674651318899</c:v>
                </c:pt>
                <c:pt idx="956">
                  <c:v>-15.6883463804985</c:v>
                </c:pt>
                <c:pt idx="957">
                  <c:v>-15.7020414805004</c:v>
                </c:pt>
                <c:pt idx="958">
                  <c:v>-15.7157366189042</c:v>
                </c:pt>
                <c:pt idx="959">
                  <c:v>-15.7294317957095</c:v>
                </c:pt>
                <c:pt idx="960">
                  <c:v>-15.743127010916</c:v>
                </c:pt>
                <c:pt idx="961">
                  <c:v>-15.7568222645231</c:v>
                </c:pt>
                <c:pt idx="962">
                  <c:v>-15.7705175565305</c:v>
                </c:pt>
                <c:pt idx="963">
                  <c:v>-15.7842128869378</c:v>
                </c:pt>
                <c:pt idx="964">
                  <c:v>-15.7979082557445</c:v>
                </c:pt>
                <c:pt idx="965">
                  <c:v>-15.8116036629504</c:v>
                </c:pt>
                <c:pt idx="966">
                  <c:v>-15.8252991085548</c:v>
                </c:pt>
                <c:pt idx="967">
                  <c:v>-15.8389945925576</c:v>
                </c:pt>
                <c:pt idx="968">
                  <c:v>-15.8526901149581</c:v>
                </c:pt>
                <c:pt idx="969">
                  <c:v>-15.8663856757561</c:v>
                </c:pt>
                <c:pt idx="970">
                  <c:v>-15.8800812749511</c:v>
                </c:pt>
                <c:pt idx="971">
                  <c:v>-15.8937769125428</c:v>
                </c:pt>
                <c:pt idx="972">
                  <c:v>-15.9074725885306</c:v>
                </c:pt>
                <c:pt idx="973">
                  <c:v>-15.9211683029142</c:v>
                </c:pt>
                <c:pt idx="974">
                  <c:v>-15.9348640556932</c:v>
                </c:pt>
                <c:pt idx="975">
                  <c:v>-15.9485598468672</c:v>
                </c:pt>
                <c:pt idx="976">
                  <c:v>-15.9622556764358</c:v>
                </c:pt>
                <c:pt idx="977">
                  <c:v>-15.9759515443985</c:v>
                </c:pt>
                <c:pt idx="978">
                  <c:v>-15.989647450755</c:v>
                </c:pt>
                <c:pt idx="979">
                  <c:v>-16.0033433955048</c:v>
                </c:pt>
                <c:pt idx="980">
                  <c:v>-16.0170393786475</c:v>
                </c:pt>
                <c:pt idx="981">
                  <c:v>-16.0307354001828</c:v>
                </c:pt>
                <c:pt idx="982">
                  <c:v>-16.0444314601102</c:v>
                </c:pt>
                <c:pt idx="983">
                  <c:v>-16.0581275584293</c:v>
                </c:pt>
                <c:pt idx="984">
                  <c:v>-16.0718236951397</c:v>
                </c:pt>
                <c:pt idx="985">
                  <c:v>-16.085519870241</c:v>
                </c:pt>
                <c:pt idx="986">
                  <c:v>-16.0992160837328</c:v>
                </c:pt>
                <c:pt idx="987">
                  <c:v>-16.1129123356146</c:v>
                </c:pt>
                <c:pt idx="988">
                  <c:v>-16.1266086258862</c:v>
                </c:pt>
                <c:pt idx="989">
                  <c:v>-16.1403049545469</c:v>
                </c:pt>
                <c:pt idx="990">
                  <c:v>-16.1540013215966</c:v>
                </c:pt>
                <c:pt idx="991">
                  <c:v>-16.1676977270346</c:v>
                </c:pt>
                <c:pt idx="992">
                  <c:v>-16.1813941708607</c:v>
                </c:pt>
                <c:pt idx="993">
                  <c:v>-16.1950906530745</c:v>
                </c:pt>
                <c:pt idx="994">
                  <c:v>-16.2087871736754</c:v>
                </c:pt>
                <c:pt idx="995">
                  <c:v>-16.2224837326632</c:v>
                </c:pt>
                <c:pt idx="996">
                  <c:v>-16.2361803300373</c:v>
                </c:pt>
                <c:pt idx="997">
                  <c:v>-16.2498769657974</c:v>
                </c:pt>
                <c:pt idx="998">
                  <c:v>-16.2635736399432</c:v>
                </c:pt>
                <c:pt idx="999">
                  <c:v>-16.2772703524741</c:v>
                </c:pt>
                <c:pt idx="1000">
                  <c:v>-16.2909671033897</c:v>
                </c:pt>
              </c:numCache>
            </c:numRef>
          </c:yVal>
          <c:smooth val="1"/>
        </c:ser>
        <c:ser>
          <c:idx val="2"/>
          <c:order val="2"/>
          <c:tx>
            <c:strRef>
              <c:f>Trajecto!$B$107</c:f>
              <c:strCache>
                <c:ptCount val="1"/>
                <c:pt idx="0">
                  <c:v>Descente balistique</c:v>
                </c:pt>
              </c:strCache>
            </c:strRef>
          </c:tx>
          <c:spPr>
            <a:solidFill>
              <a:srgbClr val="808080"/>
            </a:solidFill>
            <a:ln w="12600">
              <a:solidFill>
                <a:srgbClr val="808080"/>
              </a:solidFill>
              <a:prstDash val="sysDash"/>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Calculs!$J$4:$J$1004</c:f>
              <c:numCache>
                <c:formatCode>General</c:formatCode>
                <c:ptCount val="1001"/>
                <c:pt idx="0">
                  <c:v>0</c:v>
                </c:pt>
                <c:pt idx="1">
                  <c:v>0</c:v>
                </c:pt>
                <c:pt idx="2">
                  <c:v>0.000156319369098837</c:v>
                </c:pt>
                <c:pt idx="3">
                  <c:v>0.000785503265228458</c:v>
                </c:pt>
                <c:pt idx="4">
                  <c:v>0.00220812882059278</c:v>
                </c:pt>
                <c:pt idx="5">
                  <c:v>0.00474506798217722</c:v>
                </c:pt>
                <c:pt idx="6">
                  <c:v>0.00863640384471691</c:v>
                </c:pt>
                <c:pt idx="7">
                  <c:v>0.0139601634588169</c:v>
                </c:pt>
                <c:pt idx="8">
                  <c:v>0.0207132703400663</c:v>
                </c:pt>
                <c:pt idx="9">
                  <c:v>0.028892636816223</c:v>
                </c:pt>
                <c:pt idx="10">
                  <c:v>0.0384951640652156</c:v>
                </c:pt>
                <c:pt idx="11">
                  <c:v>0.0495177421534332</c:v>
                </c:pt>
                <c:pt idx="12">
                  <c:v>0.061957250074301</c:v>
                </c:pt>
                <c:pt idx="13">
                  <c:v>0.0758105557871398</c:v>
                </c:pt>
                <c:pt idx="14">
                  <c:v>0.0910745162563058</c:v>
                </c:pt>
                <c:pt idx="15">
                  <c:v>0.107745977490611</c:v>
                </c:pt>
                <c:pt idx="16">
                  <c:v>0.125821774583017</c:v>
                </c:pt>
                <c:pt idx="17">
                  <c:v>0.145298731750608</c:v>
                </c:pt>
                <c:pt idx="18">
                  <c:v>0.166173662374833</c:v>
                </c:pt>
                <c:pt idx="19">
                  <c:v>0.188443369042015</c:v>
                </c:pt>
                <c:pt idx="20">
                  <c:v>0.212104643584133</c:v>
                </c:pt>
                <c:pt idx="21">
                  <c:v>0.237154267119864</c:v>
                </c:pt>
                <c:pt idx="22">
                  <c:v>0.263589010095892</c:v>
                </c:pt>
                <c:pt idx="23">
                  <c:v>0.291405632328471</c:v>
                </c:pt>
                <c:pt idx="24">
                  <c:v>0.320600883045251</c:v>
                </c:pt>
                <c:pt idx="25">
                  <c:v>0.351171500927361</c:v>
                </c:pt>
                <c:pt idx="26">
                  <c:v>0.383114214151732</c:v>
                </c:pt>
                <c:pt idx="27">
                  <c:v>0.416425740433687</c:v>
                </c:pt>
                <c:pt idx="28">
                  <c:v>0.451102787069768</c:v>
                </c:pt>
                <c:pt idx="29">
                  <c:v>0.48714205098081</c:v>
                </c:pt>
                <c:pt idx="30">
                  <c:v>0.52454021875526</c:v>
                </c:pt>
                <c:pt idx="31">
                  <c:v>0.563293966692735</c:v>
                </c:pt>
                <c:pt idx="32">
                  <c:v>0.603399960847816</c:v>
                </c:pt>
                <c:pt idx="33">
                  <c:v>0.644854857074079</c:v>
                </c:pt>
                <c:pt idx="34">
                  <c:v>0.687655301068359</c:v>
                </c:pt>
                <c:pt idx="35">
                  <c:v>0.731797928415239</c:v>
                </c:pt>
                <c:pt idx="36">
                  <c:v>0.777363281634927</c:v>
                </c:pt>
                <c:pt idx="37">
                  <c:v>0.824434582159027</c:v>
                </c:pt>
                <c:pt idx="38">
                  <c:v>0.873013773679456</c:v>
                </c:pt>
                <c:pt idx="39">
                  <c:v>0.923102674770925</c:v>
                </c:pt>
                <c:pt idx="40">
                  <c:v>0.974702946838359</c:v>
                </c:pt>
                <c:pt idx="41">
                  <c:v>1.02781610127982</c:v>
                </c:pt>
                <c:pt idx="42">
                  <c:v>1.08244350610953</c:v>
                </c:pt>
                <c:pt idx="43">
                  <c:v>1.13858639209483</c:v>
                </c:pt>
                <c:pt idx="44">
                  <c:v>1.19624585845474</c:v>
                </c:pt>
                <c:pt idx="45">
                  <c:v>1.25542287816145</c:v>
                </c:pt>
                <c:pt idx="46">
                  <c:v>1.31611830288181</c:v>
                </c:pt>
                <c:pt idx="47">
                  <c:v>1.37833286759146</c:v>
                </c:pt>
                <c:pt idx="48">
                  <c:v>1.44206719489041</c:v>
                </c:pt>
                <c:pt idx="49">
                  <c:v>1.50732179904601</c:v>
                </c:pt>
                <c:pt idx="50">
                  <c:v>1.57409708978645</c:v>
                </c:pt>
                <c:pt idx="51">
                  <c:v>1.64239382245908</c:v>
                </c:pt>
                <c:pt idx="52">
                  <c:v>1.71221355201921</c:v>
                </c:pt>
                <c:pt idx="53">
                  <c:v>1.78355819490707</c:v>
                </c:pt>
                <c:pt idx="54">
                  <c:v>1.85642958654701</c:v>
                </c:pt>
                <c:pt idx="55">
                  <c:v>1.93082948385691</c:v>
                </c:pt>
                <c:pt idx="56">
                  <c:v>2.00675956762325</c:v>
                </c:pt>
                <c:pt idx="57">
                  <c:v>2.08422144475138</c:v>
                </c:pt>
                <c:pt idx="58">
                  <c:v>2.16321665039985</c:v>
                </c:pt>
                <c:pt idx="59">
                  <c:v>2.24374665000667</c:v>
                </c:pt>
                <c:pt idx="60">
                  <c:v>2.32581284121508</c:v>
                </c:pt>
                <c:pt idx="61">
                  <c:v>2.40941655570528</c:v>
                </c:pt>
                <c:pt idx="62">
                  <c:v>2.49455906093845</c:v>
                </c:pt>
                <c:pt idx="63">
                  <c:v>2.58124156181876</c:v>
                </c:pt>
                <c:pt idx="64">
                  <c:v>2.66946520227836</c:v>
                </c:pt>
                <c:pt idx="65">
                  <c:v>2.75923106679048</c:v>
                </c:pt>
                <c:pt idx="66">
                  <c:v>2.85054018181477</c:v>
                </c:pt>
                <c:pt idx="67">
                  <c:v>2.94339351717912</c:v>
                </c:pt>
                <c:pt idx="68">
                  <c:v>3.03779198740185</c:v>
                </c:pt>
                <c:pt idx="69">
                  <c:v>3.13373645295748</c:v>
                </c:pt>
                <c:pt idx="70">
                  <c:v>3.23122772148971</c:v>
                </c:pt>
                <c:pt idx="71">
                  <c:v>3.33026654897431</c:v>
                </c:pt>
                <c:pt idx="72">
                  <c:v>3.43085364083492</c:v>
                </c:pt>
                <c:pt idx="73">
                  <c:v>3.53298965301432</c:v>
                </c:pt>
                <c:pt idx="74">
                  <c:v>3.6366751930036</c:v>
                </c:pt>
                <c:pt idx="75">
                  <c:v>3.74191082083149</c:v>
                </c:pt>
                <c:pt idx="76">
                  <c:v>3.84869705001598</c:v>
                </c:pt>
                <c:pt idx="77">
                  <c:v>3.95703434848027</c:v>
                </c:pt>
                <c:pt idx="78">
                  <c:v>4.06692313943477</c:v>
                </c:pt>
                <c:pt idx="79">
                  <c:v>4.17836380222698</c:v>
                </c:pt>
                <c:pt idx="80">
                  <c:v>4.2913566731609</c:v>
                </c:pt>
                <c:pt idx="81">
                  <c:v>4.40590204628737</c:v>
                </c:pt>
                <c:pt idx="82">
                  <c:v>4.52200017416689</c:v>
                </c:pt>
                <c:pt idx="83">
                  <c:v>4.63965126860619</c:v>
                </c:pt>
                <c:pt idx="84">
                  <c:v>4.75885550136986</c:v>
                </c:pt>
                <c:pt idx="85">
                  <c:v>4.87961300486815</c:v>
                </c:pt>
                <c:pt idx="86">
                  <c:v>5.00192387282218</c:v>
                </c:pt>
                <c:pt idx="87">
                  <c:v>5.12578816090742</c:v>
                </c:pt>
                <c:pt idx="88">
                  <c:v>5.25120588737671</c:v>
                </c:pt>
                <c:pt idx="89">
                  <c:v>5.37817703366344</c:v>
                </c:pt>
                <c:pt idx="90">
                  <c:v>5.50670154496601</c:v>
                </c:pt>
                <c:pt idx="91">
                  <c:v>5.6367793308143</c:v>
                </c:pt>
                <c:pt idx="92">
                  <c:v>5.76841026561897</c:v>
                </c:pt>
                <c:pt idx="93">
                  <c:v>5.90159418920428</c:v>
                </c:pt>
                <c:pt idx="94">
                  <c:v>6.03633090732527</c:v>
                </c:pt>
                <c:pt idx="95">
                  <c:v>6.17262019216975</c:v>
                </c:pt>
                <c:pt idx="96">
                  <c:v>6.310461782846</c:v>
                </c:pt>
                <c:pt idx="97">
                  <c:v>6.44985538585653</c:v>
                </c:pt>
                <c:pt idx="98">
                  <c:v>6.59080067555864</c:v>
                </c:pt>
                <c:pt idx="99">
                  <c:v>6.73329729461225</c:v>
                </c:pt>
                <c:pt idx="100">
                  <c:v>6.87734485441551</c:v>
                </c:pt>
                <c:pt idx="101">
                  <c:v>7.02294271060805</c:v>
                </c:pt>
                <c:pt idx="102">
                  <c:v>7.17008973742381</c:v>
                </c:pt>
                <c:pt idx="103">
                  <c:v>7.31878455152108</c:v>
                </c:pt>
                <c:pt idx="104">
                  <c:v>7.46902573696642</c:v>
                </c:pt>
                <c:pt idx="105">
                  <c:v>7.62081184566592</c:v>
                </c:pt>
                <c:pt idx="106">
                  <c:v>7.77414139778557</c:v>
                </c:pt>
                <c:pt idx="107">
                  <c:v>7.9290128821613</c:v>
                </c:pt>
                <c:pt idx="108">
                  <c:v>8.08542475669892</c:v>
                </c:pt>
                <c:pt idx="109">
                  <c:v>8.24337544876452</c:v>
                </c:pt>
                <c:pt idx="110">
                  <c:v>8.40286335556552</c:v>
                </c:pt>
                <c:pt idx="111">
                  <c:v>8.56388684452285</c:v>
                </c:pt>
                <c:pt idx="112">
                  <c:v>8.72644425363445</c:v>
                </c:pt>
                <c:pt idx="113">
                  <c:v>8.89053389183063</c:v>
                </c:pt>
                <c:pt idx="114">
                  <c:v>9.05615403932126</c:v>
                </c:pt>
                <c:pt idx="115">
                  <c:v>9.22330294793541</c:v>
                </c:pt>
                <c:pt idx="116">
                  <c:v>9.39197884145347</c:v>
                </c:pt>
                <c:pt idx="117">
                  <c:v>9.56217991593213</c:v>
                </c:pt>
                <c:pt idx="118">
                  <c:v>9.73390434002247</c:v>
                </c:pt>
                <c:pt idx="119">
                  <c:v>9.90715025528132</c:v>
                </c:pt>
                <c:pt idx="120">
                  <c:v>10.0819157764762</c:v>
                </c:pt>
                <c:pt idx="121">
                  <c:v>10.258198991884</c:v>
                </c:pt>
                <c:pt idx="122">
                  <c:v>10.4359979635838</c:v>
                </c:pt>
                <c:pt idx="123">
                  <c:v>10.6153107277435</c:v>
                </c:pt>
                <c:pt idx="124">
                  <c:v>10.7961352949011</c:v>
                </c:pt>
                <c:pt idx="125">
                  <c:v>10.9784696502408</c:v>
                </c:pt>
                <c:pt idx="126">
                  <c:v>11.1623117538629</c:v>
                </c:pt>
                <c:pt idx="127">
                  <c:v>11.3476595410498</c:v>
                </c:pt>
                <c:pt idx="128">
                  <c:v>11.5345109225264</c:v>
                </c:pt>
                <c:pt idx="129">
                  <c:v>11.7228637847152</c:v>
                </c:pt>
                <c:pt idx="130">
                  <c:v>11.9127159899883</c:v>
                </c:pt>
                <c:pt idx="131">
                  <c:v>12.1040653769132</c:v>
                </c:pt>
                <c:pt idx="132">
                  <c:v>12.2969097604956</c:v>
                </c:pt>
                <c:pt idx="133">
                  <c:v>12.4912469324169</c:v>
                </c:pt>
                <c:pt idx="134">
                  <c:v>12.6870746612688</c:v>
                </c:pt>
                <c:pt idx="135">
                  <c:v>12.8843906927826</c:v>
                </c:pt>
                <c:pt idx="136">
                  <c:v>13.0831927500559</c:v>
                </c:pt>
                <c:pt idx="137">
                  <c:v>13.2834785337745</c:v>
                </c:pt>
                <c:pt idx="138">
                  <c:v>13.4852457224317</c:v>
                </c:pt>
                <c:pt idx="139">
                  <c:v>13.6884919725432</c:v>
                </c:pt>
                <c:pt idx="140">
                  <c:v>13.8932149188592</c:v>
                </c:pt>
                <c:pt idx="141">
                  <c:v>14.0994121745728</c:v>
                </c:pt>
                <c:pt idx="142">
                  <c:v>14.3070813315253</c:v>
                </c:pt>
                <c:pt idx="143">
                  <c:v>14.5162199604086</c:v>
                </c:pt>
                <c:pt idx="144">
                  <c:v>14.7268256109642</c:v>
                </c:pt>
                <c:pt idx="145">
                  <c:v>14.9388958121795</c:v>
                </c:pt>
                <c:pt idx="146">
                  <c:v>15.152428072481</c:v>
                </c:pt>
                <c:pt idx="147">
                  <c:v>15.3674198799249</c:v>
                </c:pt>
                <c:pt idx="148">
                  <c:v>15.583868702385</c:v>
                </c:pt>
                <c:pt idx="149">
                  <c:v>15.8017719877378</c:v>
                </c:pt>
                <c:pt idx="150">
                  <c:v>16.021127164045</c:v>
                </c:pt>
                <c:pt idx="151">
                  <c:v>16.2419317203982</c:v>
                </c:pt>
                <c:pt idx="152">
                  <c:v>16.4641832880456</c:v>
                </c:pt>
                <c:pt idx="153">
                  <c:v>16.6878795602628</c:v>
                </c:pt>
                <c:pt idx="154">
                  <c:v>16.9130182119319</c:v>
                </c:pt>
                <c:pt idx="155">
                  <c:v>17.1395968997011</c:v>
                </c:pt>
                <c:pt idx="156">
                  <c:v>17.3676132621437</c:v>
                </c:pt>
                <c:pt idx="157">
                  <c:v>17.5970649199137</c:v>
                </c:pt>
                <c:pt idx="158">
                  <c:v>17.8279494759007</c:v>
                </c:pt>
                <c:pt idx="159">
                  <c:v>18.0602645153814</c:v>
                </c:pt>
                <c:pt idx="160">
                  <c:v>18.2940076061707</c:v>
                </c:pt>
                <c:pt idx="161">
                  <c:v>18.5291762987702</c:v>
                </c:pt>
                <c:pt idx="162">
                  <c:v>18.765768126515</c:v>
                </c:pt>
                <c:pt idx="163">
                  <c:v>19.0037806057188</c:v>
                </c:pt>
                <c:pt idx="164">
                  <c:v>19.2432112358174</c:v>
                </c:pt>
                <c:pt idx="165">
                  <c:v>19.4840574995105</c:v>
                </c:pt>
                <c:pt idx="166">
                  <c:v>19.7263168629019</c:v>
                </c:pt>
                <c:pt idx="167">
                  <c:v>19.9699867756381</c:v>
                </c:pt>
                <c:pt idx="168">
                  <c:v>20.2150646710451</c:v>
                </c:pt>
                <c:pt idx="169">
                  <c:v>20.4615479662643</c:v>
                </c:pt>
                <c:pt idx="170">
                  <c:v>20.7094340623865</c:v>
                </c:pt>
                <c:pt idx="171">
                  <c:v>20.9587203445843</c:v>
                </c:pt>
                <c:pt idx="172">
                  <c:v>21.2094041822436</c:v>
                </c:pt>
                <c:pt idx="173">
                  <c:v>21.4614829290933</c:v>
                </c:pt>
                <c:pt idx="174">
                  <c:v>21.714953923334</c:v>
                </c:pt>
                <c:pt idx="175">
                  <c:v>21.9698144877648</c:v>
                </c:pt>
                <c:pt idx="176">
                  <c:v>22.2260619299098</c:v>
                </c:pt>
                <c:pt idx="177">
                  <c:v>22.4836935421421</c:v>
                </c:pt>
                <c:pt idx="178">
                  <c:v>22.7427066018075</c:v>
                </c:pt>
                <c:pt idx="179">
                  <c:v>23.003098371347</c:v>
                </c:pt>
                <c:pt idx="180">
                  <c:v>23.2648660984172</c:v>
                </c:pt>
                <c:pt idx="181">
                  <c:v>23.5280070160106</c:v>
                </c:pt>
                <c:pt idx="182">
                  <c:v>23.7925183425742</c:v>
                </c:pt>
                <c:pt idx="183">
                  <c:v>24.058397282127</c:v>
                </c:pt>
                <c:pt idx="184">
                  <c:v>24.3256410243766</c:v>
                </c:pt>
                <c:pt idx="185">
                  <c:v>24.5942467448348</c:v>
                </c:pt>
                <c:pt idx="186">
                  <c:v>24.8642116049317</c:v>
                </c:pt>
                <c:pt idx="187">
                  <c:v>25.1355327521292</c:v>
                </c:pt>
                <c:pt idx="188">
                  <c:v>25.4082073200335</c:v>
                </c:pt>
                <c:pt idx="189">
                  <c:v>25.6822324285062</c:v>
                </c:pt>
                <c:pt idx="190">
                  <c:v>25.9576051837748</c:v>
                </c:pt>
                <c:pt idx="191">
                  <c:v>26.2343226785423</c:v>
                </c:pt>
                <c:pt idx="192">
                  <c:v>26.5123819920955</c:v>
                </c:pt>
                <c:pt idx="193">
                  <c:v>26.7917801904128</c:v>
                </c:pt>
                <c:pt idx="194">
                  <c:v>27.0725143262706</c:v>
                </c:pt>
                <c:pt idx="195">
                  <c:v>27.3545814393494</c:v>
                </c:pt>
                <c:pt idx="196">
                  <c:v>27.6379785563386</c:v>
                </c:pt>
                <c:pt idx="197">
                  <c:v>27.9227026910405</c:v>
                </c:pt>
                <c:pt idx="198">
                  <c:v>28.2087508444738</c:v>
                </c:pt>
                <c:pt idx="199">
                  <c:v>28.4961200049757</c:v>
                </c:pt>
                <c:pt idx="200">
                  <c:v>28.7848071483038</c:v>
                </c:pt>
                <c:pt idx="201">
                  <c:v>29.0748092377366</c:v>
                </c:pt>
                <c:pt idx="202">
                  <c:v>29.3661232241738</c:v>
                </c:pt>
                <c:pt idx="203">
                  <c:v>29.6587460462355</c:v>
                </c:pt>
                <c:pt idx="204">
                  <c:v>29.9526746303606</c:v>
                </c:pt>
                <c:pt idx="205">
                  <c:v>30.2479058909045</c:v>
                </c:pt>
                <c:pt idx="206">
                  <c:v>30.5444367302363</c:v>
                </c:pt>
                <c:pt idx="207">
                  <c:v>30.8422640388349</c:v>
                </c:pt>
                <c:pt idx="208">
                  <c:v>31.1413846953849</c:v>
                </c:pt>
                <c:pt idx="209">
                  <c:v>31.4417955668709</c:v>
                </c:pt>
                <c:pt idx="210">
                  <c:v>31.7434935086722</c:v>
                </c:pt>
                <c:pt idx="211">
                  <c:v>32.0464753646563</c:v>
                </c:pt>
                <c:pt idx="212">
                  <c:v>32.3507379672712</c:v>
                </c:pt>
                <c:pt idx="213">
                  <c:v>32.6562781376382</c:v>
                </c:pt>
                <c:pt idx="214">
                  <c:v>32.9630926856432</c:v>
                </c:pt>
                <c:pt idx="215">
                  <c:v>33.2711784100273</c:v>
                </c:pt>
                <c:pt idx="216">
                  <c:v>33.5805320984775</c:v>
                </c:pt>
                <c:pt idx="217">
                  <c:v>33.891150527716</c:v>
                </c:pt>
                <c:pt idx="218">
                  <c:v>34.2030304635895</c:v>
                </c:pt>
                <c:pt idx="219">
                  <c:v>34.5161686611572</c:v>
                </c:pt>
                <c:pt idx="220">
                  <c:v>34.830561864779</c:v>
                </c:pt>
                <c:pt idx="221">
                  <c:v>35.1462068082025</c:v>
                </c:pt>
                <c:pt idx="222">
                  <c:v>35.4631002146495</c:v>
                </c:pt>
                <c:pt idx="223">
                  <c:v>35.7812387969026</c:v>
                </c:pt>
                <c:pt idx="224">
                  <c:v>36.10061925739</c:v>
                </c:pt>
                <c:pt idx="225">
                  <c:v>36.4212382882709</c:v>
                </c:pt>
                <c:pt idx="226">
                  <c:v>36.7430925715195</c:v>
                </c:pt>
                <c:pt idx="227">
                  <c:v>37.0661787790092</c:v>
                </c:pt>
                <c:pt idx="228">
                  <c:v>37.3904935725957</c:v>
                </c:pt>
                <c:pt idx="229">
                  <c:v>37.7160336041997</c:v>
                </c:pt>
                <c:pt idx="230">
                  <c:v>38.0427955158891</c:v>
                </c:pt>
                <c:pt idx="231">
                  <c:v>38.3707759399609</c:v>
                </c:pt>
                <c:pt idx="232">
                  <c:v>38.699971499022</c:v>
                </c:pt>
                <c:pt idx="233">
                  <c:v>39.0303788060704</c:v>
                </c:pt>
                <c:pt idx="234">
                  <c:v>39.3619944645748</c:v>
                </c:pt>
                <c:pt idx="235">
                  <c:v>39.6948150685547</c:v>
                </c:pt>
                <c:pt idx="236">
                  <c:v>40.0288372026592</c:v>
                </c:pt>
                <c:pt idx="237">
                  <c:v>40.3640574422459</c:v>
                </c:pt>
                <c:pt idx="238">
                  <c:v>40.7004723534592</c:v>
                </c:pt>
                <c:pt idx="239">
                  <c:v>41.0380784933077</c:v>
                </c:pt>
                <c:pt idx="240">
                  <c:v>41.3768724097417</c:v>
                </c:pt>
                <c:pt idx="241">
                  <c:v>41.7168506417298</c:v>
                </c:pt>
                <c:pt idx="242">
                  <c:v>42.0580097193352</c:v>
                </c:pt>
                <c:pt idx="243">
                  <c:v>42.4003461637918</c:v>
                </c:pt>
                <c:pt idx="244">
                  <c:v>42.7438564875793</c:v>
                </c:pt>
                <c:pt idx="245">
                  <c:v>43.0885371944981</c:v>
                </c:pt>
                <c:pt idx="246">
                  <c:v>43.4343847797442</c:v>
                </c:pt>
                <c:pt idx="247">
                  <c:v>43.7813957299826</c:v>
                </c:pt>
                <c:pt idx="248">
                  <c:v>44.1295665234217</c:v>
                </c:pt>
                <c:pt idx="249">
                  <c:v>44.4788936298855</c:v>
                </c:pt>
                <c:pt idx="250">
                  <c:v>44.8293735108873</c:v>
                </c:pt>
                <c:pt idx="251">
                  <c:v>45.181002246468</c:v>
                </c:pt>
                <c:pt idx="252">
                  <c:v>45.5337751612822</c:v>
                </c:pt>
                <c:pt idx="253">
                  <c:v>45.8876871970809</c:v>
                </c:pt>
                <c:pt idx="254">
                  <c:v>46.2427332859609</c:v>
                </c:pt>
                <c:pt idx="255">
                  <c:v>46.5989083504641</c:v>
                </c:pt>
                <c:pt idx="256">
                  <c:v>46.9562073036758</c:v>
                </c:pt>
                <c:pt idx="257">
                  <c:v>47.3146250493218</c:v>
                </c:pt>
                <c:pt idx="258">
                  <c:v>47.6741564818659</c:v>
                </c:pt>
                <c:pt idx="259">
                  <c:v>48.0347964866059</c:v>
                </c:pt>
                <c:pt idx="260">
                  <c:v>48.3965399397692</c:v>
                </c:pt>
                <c:pt idx="261">
                  <c:v>48.7593817086083</c:v>
                </c:pt>
                <c:pt idx="262">
                  <c:v>49.1233166514942</c:v>
                </c:pt>
                <c:pt idx="263">
                  <c:v>49.4883396180111</c:v>
                </c:pt>
                <c:pt idx="264">
                  <c:v>49.8544454490491</c:v>
                </c:pt>
                <c:pt idx="265">
                  <c:v>50.2216289768963</c:v>
                </c:pt>
                <c:pt idx="266">
                  <c:v>50.5898850253314</c:v>
                </c:pt>
                <c:pt idx="267">
                  <c:v>50.9592084097141</c:v>
                </c:pt>
                <c:pt idx="268">
                  <c:v>51.3295939370766</c:v>
                </c:pt>
                <c:pt idx="269">
                  <c:v>51.7010364062126</c:v>
                </c:pt>
                <c:pt idx="270">
                  <c:v>52.0735306077675</c:v>
                </c:pt>
                <c:pt idx="271">
                  <c:v>52.4470713243267</c:v>
                </c:pt>
                <c:pt idx="272">
                  <c:v>52.8216533305041</c:v>
                </c:pt>
                <c:pt idx="273">
                  <c:v>53.1972713930293</c:v>
                </c:pt>
                <c:pt idx="274">
                  <c:v>53.5739202708349</c:v>
                </c:pt>
                <c:pt idx="275">
                  <c:v>53.9515947151427</c:v>
                </c:pt>
                <c:pt idx="276">
                  <c:v>54.3302894695496</c:v>
                </c:pt>
                <c:pt idx="277">
                  <c:v>54.7099992701128</c:v>
                </c:pt>
                <c:pt idx="278">
                  <c:v>55.0907188454341</c:v>
                </c:pt>
                <c:pt idx="279">
                  <c:v>55.4724429167446</c:v>
                </c:pt>
                <c:pt idx="280">
                  <c:v>55.8551661979875</c:v>
                </c:pt>
                <c:pt idx="281">
                  <c:v>56.2388833959014</c:v>
                </c:pt>
                <c:pt idx="282">
                  <c:v>56.6235892101024</c:v>
                </c:pt>
                <c:pt idx="283">
                  <c:v>57.009278333166</c:v>
                </c:pt>
                <c:pt idx="284">
                  <c:v>57.395945450708</c:v>
                </c:pt>
                <c:pt idx="285">
                  <c:v>57.7835852414655</c:v>
                </c:pt>
                <c:pt idx="286">
                  <c:v>58.1721923773766</c:v>
                </c:pt>
                <c:pt idx="287">
                  <c:v>58.56176152366</c:v>
                </c:pt>
                <c:pt idx="288">
                  <c:v>58.9522873388941</c:v>
                </c:pt>
                <c:pt idx="289">
                  <c:v>59.343764475095</c:v>
                </c:pt>
                <c:pt idx="290">
                  <c:v>59.7361875777947</c:v>
                </c:pt>
                <c:pt idx="291">
                  <c:v>60.129551286118</c:v>
                </c:pt>
                <c:pt idx="292">
                  <c:v>60.5238502328595</c:v>
                </c:pt>
                <c:pt idx="293">
                  <c:v>60.9190790445596</c:v>
                </c:pt>
                <c:pt idx="294">
                  <c:v>61.3152323415801</c:v>
                </c:pt>
                <c:pt idx="295">
                  <c:v>61.7123047381795</c:v>
                </c:pt>
                <c:pt idx="296">
                  <c:v>62.1102908425873</c:v>
                </c:pt>
                <c:pt idx="297">
                  <c:v>62.5091852570779</c:v>
                </c:pt>
                <c:pt idx="298">
                  <c:v>62.9089783746437</c:v>
                </c:pt>
                <c:pt idx="299">
                  <c:v>63.3096521693557</c:v>
                </c:pt>
                <c:pt idx="300">
                  <c:v>63.7111843939904</c:v>
                </c:pt>
                <c:pt idx="301">
                  <c:v>64.1135527841856</c:v>
                </c:pt>
                <c:pt idx="302">
                  <c:v>64.5167350589476</c:v>
                </c:pt>
                <c:pt idx="303">
                  <c:v>64.9207089211518</c:v>
                </c:pt>
                <c:pt idx="304">
                  <c:v>65.3254520580354</c:v>
                </c:pt>
                <c:pt idx="305">
                  <c:v>65.7309421416846</c:v>
                </c:pt>
                <c:pt idx="306">
                  <c:v>66.1371568295138</c:v>
                </c:pt>
                <c:pt idx="307">
                  <c:v>66.5440737647394</c:v>
                </c:pt>
                <c:pt idx="308">
                  <c:v>66.9516705768453</c:v>
                </c:pt>
                <c:pt idx="309">
                  <c:v>67.3599248820427</c:v>
                </c:pt>
                <c:pt idx="310">
                  <c:v>67.768814283723</c:v>
                </c:pt>
                <c:pt idx="311">
                  <c:v>68.1783163729035</c:v>
                </c:pt>
                <c:pt idx="312">
                  <c:v>68.5884087286669</c:v>
                </c:pt>
                <c:pt idx="313">
                  <c:v>68.9990689185936</c:v>
                </c:pt>
                <c:pt idx="314">
                  <c:v>69.4102744991875</c:v>
                </c:pt>
                <c:pt idx="315">
                  <c:v>69.8220030162953</c:v>
                </c:pt>
                <c:pt idx="316">
                  <c:v>70.2342320055186</c:v>
                </c:pt>
                <c:pt idx="317">
                  <c:v>70.6469389926197</c:v>
                </c:pt>
                <c:pt idx="318">
                  <c:v>71.0601014939201</c:v>
                </c:pt>
                <c:pt idx="319">
                  <c:v>71.4736970166934</c:v>
                </c:pt>
                <c:pt idx="320">
                  <c:v>71.88770305955</c:v>
                </c:pt>
                <c:pt idx="321">
                  <c:v>72.3020988046077</c:v>
                </c:pt>
                <c:pt idx="322">
                  <c:v>72.7168668113243</c:v>
                </c:pt>
                <c:pt idx="323">
                  <c:v>73.131991326109</c:v>
                </c:pt>
                <c:pt idx="324">
                  <c:v>73.5474565901714</c:v>
                </c:pt>
                <c:pt idx="325">
                  <c:v>73.9632468397029</c:v>
                </c:pt>
                <c:pt idx="326">
                  <c:v>74.3793463060535</c:v>
                </c:pt>
                <c:pt idx="327">
                  <c:v>74.795739215907</c:v>
                </c:pt>
                <c:pt idx="328">
                  <c:v>75.2124097914521</c:v>
                </c:pt>
                <c:pt idx="329">
                  <c:v>75.6293422505497</c:v>
                </c:pt>
                <c:pt idx="330">
                  <c:v>76.046520806898</c:v>
                </c:pt>
                <c:pt idx="331">
                  <c:v>76.4639296701933</c:v>
                </c:pt>
                <c:pt idx="332">
                  <c:v>76.8815530462881</c:v>
                </c:pt>
                <c:pt idx="333">
                  <c:v>77.2993751373461</c:v>
                </c:pt>
                <c:pt idx="334">
                  <c:v>77.7173801419927</c:v>
                </c:pt>
                <c:pt idx="335">
                  <c:v>78.1355522554638</c:v>
                </c:pt>
                <c:pt idx="336">
                  <c:v>78.5538756697503</c:v>
                </c:pt>
                <c:pt idx="337">
                  <c:v>78.9723345737395</c:v>
                </c:pt>
                <c:pt idx="338">
                  <c:v>79.3909131533533</c:v>
                </c:pt>
                <c:pt idx="339">
                  <c:v>79.8095955916832</c:v>
                </c:pt>
                <c:pt idx="340">
                  <c:v>80.2283660691217</c:v>
                </c:pt>
                <c:pt idx="341">
                  <c:v>80.6472087634906</c:v>
                </c:pt>
                <c:pt idx="342">
                  <c:v>81.0661078501662</c:v>
                </c:pt>
                <c:pt idx="343">
                  <c:v>81.4850475022007</c:v>
                </c:pt>
                <c:pt idx="344">
                  <c:v>81.904011890441</c:v>
                </c:pt>
                <c:pt idx="345">
                  <c:v>82.3229851836434</c:v>
                </c:pt>
                <c:pt idx="346">
                  <c:v>82.7419515485856</c:v>
                </c:pt>
                <c:pt idx="347">
                  <c:v>83.1608951501751</c:v>
                </c:pt>
                <c:pt idx="348">
                  <c:v>83.5798003366229</c:v>
                </c:pt>
                <c:pt idx="349">
                  <c:v>83.9986518247323</c:v>
                </c:pt>
                <c:pt idx="350">
                  <c:v>84.4174345149504</c:v>
                </c:pt>
                <c:pt idx="351">
                  <c:v>84.8361333062923</c:v>
                </c:pt>
                <c:pt idx="352">
                  <c:v>85.2547330964213</c:v>
                </c:pt>
                <c:pt idx="353">
                  <c:v>85.6732187817273</c:v>
                </c:pt>
                <c:pt idx="354">
                  <c:v>86.0915752574016</c:v>
                </c:pt>
                <c:pt idx="355">
                  <c:v>86.509787417509</c:v>
                </c:pt>
                <c:pt idx="356">
                  <c:v>86.9278401550562</c:v>
                </c:pt>
                <c:pt idx="357">
                  <c:v>87.3457183620582</c:v>
                </c:pt>
                <c:pt idx="358">
                  <c:v>87.7634069296007</c:v>
                </c:pt>
                <c:pt idx="359">
                  <c:v>88.1808907479001</c:v>
                </c:pt>
                <c:pt idx="360">
                  <c:v>88.5981585803684</c:v>
                </c:pt>
                <c:pt idx="361">
                  <c:v>89.0152069397431</c:v>
                </c:pt>
                <c:pt idx="362">
                  <c:v>89.4320362140274</c:v>
                </c:pt>
                <c:pt idx="363">
                  <c:v>89.8486467903366</c:v>
                </c:pt>
                <c:pt idx="364">
                  <c:v>90.265039054901</c:v>
                </c:pt>
                <c:pt idx="365">
                  <c:v>90.6812133930691</c:v>
                </c:pt>
                <c:pt idx="366">
                  <c:v>91.0971701893099</c:v>
                </c:pt>
                <c:pt idx="367">
                  <c:v>91.5129098272163</c:v>
                </c:pt>
                <c:pt idx="368">
                  <c:v>91.9284326895074</c:v>
                </c:pt>
                <c:pt idx="369">
                  <c:v>92.3437391580315</c:v>
                </c:pt>
                <c:pt idx="370">
                  <c:v>92.7588296137691</c:v>
                </c:pt>
                <c:pt idx="371">
                  <c:v>93.1737044368353</c:v>
                </c:pt>
                <c:pt idx="372">
                  <c:v>93.5883640064828</c:v>
                </c:pt>
                <c:pt idx="373">
                  <c:v>94.0028087011047</c:v>
                </c:pt>
                <c:pt idx="374">
                  <c:v>94.417038898237</c:v>
                </c:pt>
                <c:pt idx="375">
                  <c:v>94.8310549745614</c:v>
                </c:pt>
                <c:pt idx="376">
                  <c:v>95.2448573059084</c:v>
                </c:pt>
                <c:pt idx="377">
                  <c:v>95.6584462672595</c:v>
                </c:pt>
                <c:pt idx="378">
                  <c:v>96.07182223275</c:v>
                </c:pt>
                <c:pt idx="379">
                  <c:v>96.4849855756721</c:v>
                </c:pt>
                <c:pt idx="380">
                  <c:v>96.897936668477</c:v>
                </c:pt>
                <c:pt idx="381">
                  <c:v>97.310675882778</c:v>
                </c:pt>
                <c:pt idx="382">
                  <c:v>97.723203589353</c:v>
                </c:pt>
                <c:pt idx="383">
                  <c:v>98.1355201581469</c:v>
                </c:pt>
                <c:pt idx="384">
                  <c:v>98.547625958275</c:v>
                </c:pt>
                <c:pt idx="385">
                  <c:v>98.9595213580245</c:v>
                </c:pt>
                <c:pt idx="386">
                  <c:v>99.3712067248582</c:v>
                </c:pt>
                <c:pt idx="387">
                  <c:v>99.7826824254164</c:v>
                </c:pt>
                <c:pt idx="388">
                  <c:v>100.19394882552</c:v>
                </c:pt>
                <c:pt idx="389">
                  <c:v>100.605006290172</c:v>
                </c:pt>
                <c:pt idx="390">
                  <c:v>101.015855183562</c:v>
                </c:pt>
                <c:pt idx="391">
                  <c:v>101.426495869067</c:v>
                </c:pt>
                <c:pt idx="392">
                  <c:v>101.836928709255</c:v>
                </c:pt>
                <c:pt idx="393">
                  <c:v>102.247154065887</c:v>
                </c:pt>
                <c:pt idx="394">
                  <c:v>102.657172299918</c:v>
                </c:pt>
                <c:pt idx="395">
                  <c:v>103.066983771505</c:v>
                </c:pt>
                <c:pt idx="396">
                  <c:v>103.476588840002</c:v>
                </c:pt>
                <c:pt idx="397">
                  <c:v>103.885987863969</c:v>
                </c:pt>
                <c:pt idx="398">
                  <c:v>104.295181201169</c:v>
                </c:pt>
                <c:pt idx="399">
                  <c:v>104.704169208576</c:v>
                </c:pt>
                <c:pt idx="400">
                  <c:v>105.112952242373</c:v>
                </c:pt>
                <c:pt idx="401">
                  <c:v>109.189536566171</c:v>
                </c:pt>
                <c:pt idx="402">
                  <c:v>113.245853101376</c:v>
                </c:pt>
                <c:pt idx="403">
                  <c:v>117.282250569408</c:v>
                </c:pt>
                <c:pt idx="404">
                  <c:v>121.299070122047</c:v>
                </c:pt>
                <c:pt idx="405">
                  <c:v>125.29664557267</c:v>
                </c:pt>
                <c:pt idx="406">
                  <c:v>129.275303618732</c:v>
                </c:pt>
                <c:pt idx="407">
                  <c:v>133.235364055894</c:v>
                </c:pt>
                <c:pt idx="408">
                  <c:v>137.177139984163</c:v>
                </c:pt>
                <c:pt idx="409">
                  <c:v>141.100938006399</c:v>
                </c:pt>
                <c:pt idx="410">
                  <c:v>145.007058419544</c:v>
                </c:pt>
                <c:pt idx="411">
                  <c:v>148.895795398867</c:v>
                </c:pt>
                <c:pt idx="412">
                  <c:v>152.767437175545</c:v>
                </c:pt>
                <c:pt idx="413">
                  <c:v>156.622266207872</c:v>
                </c:pt>
                <c:pt idx="414">
                  <c:v>160.46055934635</c:v>
                </c:pt>
                <c:pt idx="415">
                  <c:v>164.282587992939</c:v>
                </c:pt>
                <c:pt idx="416">
                  <c:v>168.088618254705</c:v>
                </c:pt>
                <c:pt idx="417">
                  <c:v>171.878911092104</c:v>
                </c:pt>
                <c:pt idx="418">
                  <c:v>175.653722462121</c:v>
                </c:pt>
                <c:pt idx="419">
                  <c:v>179.413303456472</c:v>
                </c:pt>
                <c:pt idx="420">
                  <c:v>183.157900435088</c:v>
                </c:pt>
                <c:pt idx="421">
                  <c:v>186.887755155045</c:v>
                </c:pt>
                <c:pt idx="422">
                  <c:v>190.603104895153</c:v>
                </c:pt>
                <c:pt idx="423">
                  <c:v>194.304182576352</c:v>
                </c:pt>
                <c:pt idx="424">
                  <c:v>197.991216878094</c:v>
                </c:pt>
                <c:pt idx="425">
                  <c:v>201.664432350869</c:v>
                </c:pt>
                <c:pt idx="426">
                  <c:v>205.324049525016</c:v>
                </c:pt>
                <c:pt idx="427">
                  <c:v>208.970285015973</c:v>
                </c:pt>
                <c:pt idx="428">
                  <c:v>212.603351626097</c:v>
                </c:pt>
                <c:pt idx="429">
                  <c:v>216.223458443179</c:v>
                </c:pt>
                <c:pt idx="430">
                  <c:v>219.830810935791</c:v>
                </c:pt>
                <c:pt idx="431">
                  <c:v>223.425611045573</c:v>
                </c:pt>
                <c:pt idx="432">
                  <c:v>227.008057276572</c:v>
                </c:pt>
                <c:pt idx="433">
                  <c:v>230.578344781754</c:v>
                </c:pt>
                <c:pt idx="434">
                  <c:v>234.13666544677</c:v>
                </c:pt>
                <c:pt idx="435">
                  <c:v>237.683207971099</c:v>
                </c:pt>
                <c:pt idx="436">
                  <c:v>241.218157946641</c:v>
                </c:pt>
                <c:pt idx="437">
                  <c:v>244.741697933858</c:v>
                </c:pt>
                <c:pt idx="438">
                  <c:v>248.254007535553</c:v>
                </c:pt>
                <c:pt idx="439">
                  <c:v>251.755263468359</c:v>
                </c:pt>
                <c:pt idx="440">
                  <c:v>255.245639632019</c:v>
                </c:pt>
                <c:pt idx="441">
                  <c:v>258.725307176537</c:v>
                </c:pt>
                <c:pt idx="442">
                  <c:v>262.194434567261</c:v>
                </c:pt>
                <c:pt idx="443">
                  <c:v>265.653187647972</c:v>
                </c:pt>
                <c:pt idx="444">
                  <c:v>269.101729702044</c:v>
                </c:pt>
                <c:pt idx="445">
                  <c:v>272.540221511729</c:v>
                </c:pt>
                <c:pt idx="446">
                  <c:v>275.968821415637</c:v>
                </c:pt>
                <c:pt idx="447">
                  <c:v>279.387685364454</c:v>
                </c:pt>
                <c:pt idx="448">
                  <c:v>282.796966974962</c:v>
                </c:pt>
                <c:pt idx="449">
                  <c:v>286.196817582405</c:v>
                </c:pt>
                <c:pt idx="450">
                  <c:v>289.587386291249</c:v>
                </c:pt>
                <c:pt idx="451">
                  <c:v>292.968820024388</c:v>
                </c:pt>
                <c:pt idx="452">
                  <c:v>296.341263570832</c:v>
                </c:pt>
                <c:pt idx="453">
                  <c:v>299.704859631918</c:v>
                </c:pt>
                <c:pt idx="454">
                  <c:v>303.059748866093</c:v>
                </c:pt>
                <c:pt idx="455">
                  <c:v>306.406069932288</c:v>
                </c:pt>
                <c:pt idx="456">
                  <c:v>309.743959531938</c:v>
                </c:pt>
                <c:pt idx="457">
                  <c:v>313.073552449666</c:v>
                </c:pt>
                <c:pt idx="458">
                  <c:v>316.39498159266</c:v>
                </c:pt>
                <c:pt idx="459">
                  <c:v>319.70837802879</c:v>
                </c:pt>
                <c:pt idx="460">
                  <c:v>323.01387102347</c:v>
                </c:pt>
                <c:pt idx="461">
                  <c:v>326.311588075299</c:v>
                </c:pt>
                <c:pt idx="462">
                  <c:v>329.60165495051</c:v>
                </c:pt>
                <c:pt idx="463">
                  <c:v>332.884195716238</c:v>
                </c:pt>
                <c:pt idx="464">
                  <c:v>336.159332772625</c:v>
                </c:pt>
                <c:pt idx="465">
                  <c:v>339.427186883797</c:v>
                </c:pt>
                <c:pt idx="466">
                  <c:v>342.6878772077</c:v>
                </c:pt>
                <c:pt idx="467">
                  <c:v>345.941521324839</c:v>
                </c:pt>
                <c:pt idx="468">
                  <c:v>349.188235265906</c:v>
                </c:pt>
                <c:pt idx="469">
                  <c:v>352.428133538322</c:v>
                </c:pt>
                <c:pt idx="470">
                  <c:v>355.661329151697</c:v>
                </c:pt>
                <c:pt idx="471">
                  <c:v>358.887933642211</c:v>
                </c:pt>
                <c:pt idx="472">
                  <c:v>362.108057095926</c:v>
                </c:pt>
                <c:pt idx="473">
                  <c:v>365.321808171021</c:v>
                </c:pt>
                <c:pt idx="474">
                  <c:v>368.529294118962</c:v>
                </c:pt>
                <c:pt idx="475">
                  <c:v>371.730620804596</c:v>
                </c:pt>
                <c:pt idx="476">
                  <c:v>374.925892725164</c:v>
                </c:pt>
                <c:pt idx="477">
                  <c:v>378.115213028236</c:v>
                </c:pt>
                <c:pt idx="478">
                  <c:v>381.298683528544</c:v>
                </c:pt>
                <c:pt idx="479">
                  <c:v>384.476404723717</c:v>
                </c:pt>
                <c:pt idx="480">
                  <c:v>387.648475808893</c:v>
                </c:pt>
                <c:pt idx="481">
                  <c:v>390.814994690192</c:v>
                </c:pt>
                <c:pt idx="482">
                  <c:v>393.976057997042</c:v>
                </c:pt>
                <c:pt idx="483">
                  <c:v>397.13176109332</c:v>
                </c:pt>
                <c:pt idx="484">
                  <c:v>400.282198087296</c:v>
                </c:pt>
                <c:pt idx="485">
                  <c:v>403.427461840346</c:v>
                </c:pt>
                <c:pt idx="486">
                  <c:v>406.567643974405</c:v>
                </c:pt>
                <c:pt idx="487">
                  <c:v>409.702834878126</c:v>
                </c:pt>
                <c:pt idx="488">
                  <c:v>412.83312371171</c:v>
                </c:pt>
                <c:pt idx="489">
                  <c:v>415.958598410363</c:v>
                </c:pt>
                <c:pt idx="490">
                  <c:v>419.079345686341</c:v>
                </c:pt>
                <c:pt idx="491">
                  <c:v>422.195451029528</c:v>
                </c:pt>
                <c:pt idx="492">
                  <c:v>425.306998706513</c:v>
                </c:pt>
                <c:pt idx="493">
                  <c:v>428.414071758091</c:v>
                </c:pt>
                <c:pt idx="494">
                  <c:v>431.516751995151</c:v>
                </c:pt>
                <c:pt idx="495">
                  <c:v>434.615119992878</c:v>
                </c:pt>
                <c:pt idx="496">
                  <c:v>437.709255083209</c:v>
                </c:pt>
                <c:pt idx="497">
                  <c:v>440.799235345483</c:v>
                </c:pt>
                <c:pt idx="498">
                  <c:v>443.885137595211</c:v>
                </c:pt>
                <c:pt idx="499">
                  <c:v>446.967037370891</c:v>
                </c:pt>
                <c:pt idx="500">
                  <c:v>450.045008918815</c:v>
                </c:pt>
                <c:pt idx="501">
                  <c:v>453.119125175768</c:v>
                </c:pt>
                <c:pt idx="502">
                  <c:v>456.189457749572</c:v>
                </c:pt>
                <c:pt idx="503">
                  <c:v>459.256076897386</c:v>
                </c:pt>
                <c:pt idx="504">
                  <c:v>462.319051501706</c:v>
                </c:pt>
                <c:pt idx="505">
                  <c:v>465.378449043988</c:v>
                </c:pt>
                <c:pt idx="506">
                  <c:v>468.434335575844</c:v>
                </c:pt>
                <c:pt idx="507">
                  <c:v>471.486775687752</c:v>
                </c:pt>
                <c:pt idx="508">
                  <c:v>474.535832475247</c:v>
                </c:pt>
                <c:pt idx="509">
                  <c:v>477.581567502558</c:v>
                </c:pt>
                <c:pt idx="510">
                  <c:v>480.624040763679</c:v>
                </c:pt>
                <c:pt idx="511">
                  <c:v>483.66331064089</c:v>
                </c:pt>
                <c:pt idx="512">
                  <c:v>486.699433860746</c:v>
                </c:pt>
                <c:pt idx="513">
                  <c:v>489.732465447606</c:v>
                </c:pt>
                <c:pt idx="514">
                  <c:v>492.762458674786</c:v>
                </c:pt>
                <c:pt idx="515">
                  <c:v>495.789465013467</c:v>
                </c:pt>
                <c:pt idx="516">
                  <c:v>498.813534079531</c:v>
                </c:pt>
                <c:pt idx="517">
                  <c:v>501.834713578533</c:v>
                </c:pt>
                <c:pt idx="518">
                  <c:v>504.853049249096</c:v>
                </c:pt>
                <c:pt idx="519">
                  <c:v>507.868584805021</c:v>
                </c:pt>
                <c:pt idx="520">
                  <c:v>510.881361876531</c:v>
                </c:pt>
                <c:pt idx="521">
                  <c:v>513.891419951056</c:v>
                </c:pt>
                <c:pt idx="522">
                  <c:v>516.898796314073</c:v>
                </c:pt>
                <c:pt idx="523">
                  <c:v>519.903525990569</c:v>
                </c:pt>
                <c:pt idx="524">
                  <c:v>522.905641687718</c:v>
                </c:pt>
                <c:pt idx="525">
                  <c:v>525.905173739452</c:v>
                </c:pt>
                <c:pt idx="526">
                  <c:v>528.902150053623</c:v>
                </c:pt>
                <c:pt idx="527">
                  <c:v>531.89659606248</c:v>
                </c:pt>
                <c:pt idx="528">
                  <c:v>534.888534677207</c:v>
                </c:pt>
                <c:pt idx="529">
                  <c:v>537.877986247264</c:v>
                </c:pt>
                <c:pt idx="530">
                  <c:v>540.864968525238</c:v>
                </c:pt>
                <c:pt idx="531">
                  <c:v>543.849496637889</c:v>
                </c:pt>
                <c:pt idx="532">
                  <c:v>546.831583063994</c:v>
                </c:pt>
                <c:pt idx="533">
                  <c:v>549.811237619521</c:v>
                </c:pt>
                <c:pt idx="534">
                  <c:v>552.788467450563</c:v>
                </c:pt>
                <c:pt idx="535">
                  <c:v>555.763277034339</c:v>
                </c:pt>
                <c:pt idx="536">
                  <c:v>558.735668188448</c:v>
                </c:pt>
                <c:pt idx="537">
                  <c:v>561.705640088436</c:v>
                </c:pt>
                <c:pt idx="538">
                  <c:v>564.67318929357</c:v>
                </c:pt>
                <c:pt idx="539">
                  <c:v>567.638309780623</c:v>
                </c:pt>
                <c:pt idx="540">
                  <c:v>570.600992985303</c:v>
                </c:pt>
                <c:pt idx="541">
                  <c:v>573.561227850884</c:v>
                </c:pt>
                <c:pt idx="542">
                  <c:v>576.519000883471</c:v>
                </c:pt>
                <c:pt idx="543">
                  <c:v>579.474296213282</c:v>
                </c:pt>
                <c:pt idx="544">
                  <c:v>582.427095661226</c:v>
                </c:pt>
                <c:pt idx="545">
                  <c:v>585.377378810078</c:v>
                </c:pt>
                <c:pt idx="546">
                  <c:v>588.325123079486</c:v>
                </c:pt>
                <c:pt idx="547">
                  <c:v>591.270303804053</c:v>
                </c:pt>
                <c:pt idx="548">
                  <c:v>594.212894313797</c:v>
                </c:pt>
                <c:pt idx="549">
                  <c:v>597.152866016255</c:v>
                </c:pt>
                <c:pt idx="550">
                  <c:v>600.090188479598</c:v>
                </c:pt>
                <c:pt idx="551">
                  <c:v>603.024829516156</c:v>
                </c:pt>
                <c:pt idx="552">
                  <c:v>605.956755265792</c:v>
                </c:pt>
                <c:pt idx="553">
                  <c:v>608.885930278657</c:v>
                </c:pt>
                <c:pt idx="554">
                  <c:v>611.812317596897</c:v>
                </c:pt>
                <c:pt idx="555">
                  <c:v>614.735878834947</c:v>
                </c:pt>
                <c:pt idx="556">
                  <c:v>617.656574258122</c:v>
                </c:pt>
                <c:pt idx="557">
                  <c:v>620.574362859236</c:v>
                </c:pt>
                <c:pt idx="558">
                  <c:v>623.489202433087</c:v>
                </c:pt>
                <c:pt idx="559">
                  <c:v>626.401049648619</c:v>
                </c:pt>
                <c:pt idx="560">
                  <c:v>629.309860118686</c:v>
                </c:pt>
                <c:pt idx="561">
                  <c:v>632.215588467336</c:v>
                </c:pt>
                <c:pt idx="562">
                  <c:v>635.118188394564</c:v>
                </c:pt>
                <c:pt idx="563">
                  <c:v>638.017612738545</c:v>
                </c:pt>
                <c:pt idx="564">
                  <c:v>640.913813535346</c:v>
                </c:pt>
                <c:pt idx="565">
                  <c:v>643.806742076141</c:v>
                </c:pt>
                <c:pt idx="566">
                  <c:v>646.696348961992</c:v>
                </c:pt>
                <c:pt idx="567">
                  <c:v>649.582584156243</c:v>
                </c:pt>
                <c:pt idx="568">
                  <c:v>652.465397034596</c:v>
                </c:pt>
                <c:pt idx="569">
                  <c:v>655.34473643295</c:v>
                </c:pt>
                <c:pt idx="570">
                  <c:v>658.220550693074</c:v>
                </c:pt>
                <c:pt idx="571">
                  <c:v>661.092787706212</c:v>
                </c:pt>
                <c:pt idx="572">
                  <c:v>663.961394954689</c:v>
                </c:pt>
                <c:pt idx="573">
                  <c:v>666.826319551619</c:v>
                </c:pt>
                <c:pt idx="574">
                  <c:v>669.687508278794</c:v>
                </c:pt>
                <c:pt idx="575">
                  <c:v>672.544907622839</c:v>
                </c:pt>
                <c:pt idx="576">
                  <c:v>675.398463809719</c:v>
                </c:pt>
                <c:pt idx="577">
                  <c:v>678.248122837676</c:v>
                </c:pt>
                <c:pt idx="578">
                  <c:v>681.093830508683</c:v>
                </c:pt>
                <c:pt idx="579">
                  <c:v>683.935532458475</c:v>
                </c:pt>
                <c:pt idx="580">
                  <c:v>686.77317418525</c:v>
                </c:pt>
                <c:pt idx="581">
                  <c:v>689.606701077085</c:v>
                </c:pt>
                <c:pt idx="582">
                  <c:v>692.436058438165</c:v>
                </c:pt>
                <c:pt idx="583">
                  <c:v>695.261191513852</c:v>
                </c:pt>
                <c:pt idx="584">
                  <c:v>698.082045514685</c:v>
                </c:pt>
                <c:pt idx="585">
                  <c:v>700.898565639349</c:v>
                </c:pt>
                <c:pt idx="586">
                  <c:v>703.710697096674</c:v>
                </c:pt>
                <c:pt idx="587">
                  <c:v>706.518385126714</c:v>
                </c:pt>
                <c:pt idx="588">
                  <c:v>709.321575020952</c:v>
                </c:pt>
                <c:pt idx="589">
                  <c:v>712.120212141676</c:v>
                </c:pt>
                <c:pt idx="590">
                  <c:v>714.914241940577</c:v>
                </c:pt>
                <c:pt idx="591">
                  <c:v>717.703609976592</c:v>
                </c:pt>
                <c:pt idx="592">
                  <c:v>720.488261933043</c:v>
                </c:pt>
                <c:pt idx="593">
                  <c:v>723.268143634111</c:v>
                </c:pt>
                <c:pt idx="594">
                  <c:v>726.043201060658</c:v>
                </c:pt>
                <c:pt idx="595">
                  <c:v>728.813380365451</c:v>
                </c:pt>
                <c:pt idx="596">
                  <c:v>731.578627887803</c:v>
                </c:pt>
                <c:pt idx="597">
                  <c:v>734.338890167667</c:v>
                </c:pt>
                <c:pt idx="598">
                  <c:v>737.094113959198</c:v>
                </c:pt>
                <c:pt idx="599">
                  <c:v>739.844246243821</c:v>
                </c:pt>
                <c:pt idx="600">
                  <c:v>742.589234242815</c:v>
                </c:pt>
                <c:pt idx="601">
                  <c:v>745.329025429446</c:v>
                </c:pt>
                <c:pt idx="602">
                  <c:v>748.063567540656</c:v>
                </c:pt>
                <c:pt idx="603">
                  <c:v>750.79280858834</c:v>
                </c:pt>
                <c:pt idx="604">
                  <c:v>753.51669687022</c:v>
                </c:pt>
                <c:pt idx="605">
                  <c:v>756.235180980335</c:v>
                </c:pt>
                <c:pt idx="606">
                  <c:v>758.948209819163</c:v>
                </c:pt>
                <c:pt idx="607">
                  <c:v>761.655732603389</c:v>
                </c:pt>
                <c:pt idx="608">
                  <c:v>764.357698875333</c:v>
                </c:pt>
                <c:pt idx="609">
                  <c:v>767.054058512056</c:v>
                </c:pt>
                <c:pt idx="610">
                  <c:v>769.744761734141</c:v>
                </c:pt>
                <c:pt idx="611">
                  <c:v>772.429759114181</c:v>
                </c:pt>
                <c:pt idx="612">
                  <c:v>775.109001584968</c:v>
                </c:pt>
                <c:pt idx="613">
                  <c:v>777.782440447404</c:v>
                </c:pt>
                <c:pt idx="614">
                  <c:v>780.450027378135</c:v>
                </c:pt>
                <c:pt idx="615">
                  <c:v>783.111714436925</c:v>
                </c:pt>
                <c:pt idx="616">
                  <c:v>785.767454073774</c:v>
                </c:pt>
                <c:pt idx="617">
                  <c:v>788.417199135786</c:v>
                </c:pt>
                <c:pt idx="618">
                  <c:v>791.060902873803</c:v>
                </c:pt>
                <c:pt idx="619">
                  <c:v>793.6985189488</c:v>
                </c:pt>
                <c:pt idx="620">
                  <c:v>796.330001438061</c:v>
                </c:pt>
                <c:pt idx="621">
                  <c:v>798.955304841129</c:v>
                </c:pt>
                <c:pt idx="622">
                  <c:v>801.57438408555</c:v>
                </c:pt>
                <c:pt idx="623">
                  <c:v>804.187194532403</c:v>
                </c:pt>
                <c:pt idx="624">
                  <c:v>806.793691981637</c:v>
                </c:pt>
                <c:pt idx="625">
                  <c:v>809.393832677198</c:v>
                </c:pt>
                <c:pt idx="626">
                  <c:v>811.987573311978</c:v>
                </c:pt>
                <c:pt idx="627">
                  <c:v>814.574871032569</c:v>
                </c:pt>
                <c:pt idx="628">
                  <c:v>817.155683443834</c:v>
                </c:pt>
                <c:pt idx="629">
                  <c:v>819.729968613306</c:v>
                </c:pt>
                <c:pt idx="630">
                  <c:v>822.297685075408</c:v>
                </c:pt>
                <c:pt idx="631">
                  <c:v>824.858791835498</c:v>
                </c:pt>
                <c:pt idx="632">
                  <c:v>827.41324837376</c:v>
                </c:pt>
                <c:pt idx="633">
                  <c:v>829.961014648918</c:v>
                </c:pt>
                <c:pt idx="634">
                  <c:v>832.502051101801</c:v>
                </c:pt>
                <c:pt idx="635">
                  <c:v>835.03631865874</c:v>
                </c:pt>
                <c:pt idx="636">
                  <c:v>837.563778734828</c:v>
                </c:pt>
                <c:pt idx="637">
                  <c:v>840.084393237008</c:v>
                </c:pt>
                <c:pt idx="638">
                  <c:v>842.598124567034</c:v>
                </c:pt>
                <c:pt idx="639">
                  <c:v>845.104935624273</c:v>
                </c:pt>
                <c:pt idx="640">
                  <c:v>847.604789808368</c:v>
                </c:pt>
                <c:pt idx="641">
                  <c:v>850.097651021769</c:v>
                </c:pt>
                <c:pt idx="642">
                  <c:v>852.583483672114</c:v>
                </c:pt>
                <c:pt idx="643">
                  <c:v>855.062252674482</c:v>
                </c:pt>
                <c:pt idx="644">
                  <c:v>857.533923453518</c:v>
                </c:pt>
                <c:pt idx="645">
                  <c:v>859.998461945415</c:v>
                </c:pt>
                <c:pt idx="646">
                  <c:v>862.455834599779</c:v>
                </c:pt>
                <c:pt idx="647">
                  <c:v>864.906008381366</c:v>
                </c:pt>
                <c:pt idx="648">
                  <c:v>867.348950771689</c:v>
                </c:pt>
                <c:pt idx="649">
                  <c:v>869.784629770507</c:v>
                </c:pt>
                <c:pt idx="650">
                  <c:v>872.213013897196</c:v>
                </c:pt>
                <c:pt idx="651">
                  <c:v>874.634072191998</c:v>
                </c:pt>
                <c:pt idx="652">
                  <c:v>877.047774217157</c:v>
                </c:pt>
                <c:pt idx="653">
                  <c:v>879.454090057934</c:v>
                </c:pt>
                <c:pt idx="654">
                  <c:v>881.852990323517</c:v>
                </c:pt>
                <c:pt idx="655">
                  <c:v>884.244446147818</c:v>
                </c:pt>
                <c:pt idx="656">
                  <c:v>886.628429190155</c:v>
                </c:pt>
                <c:pt idx="657">
                  <c:v>889.004911635832</c:v>
                </c:pt>
                <c:pt idx="658">
                  <c:v>891.373866196613</c:v>
                </c:pt>
                <c:pt idx="659">
                  <c:v>893.735266111088</c:v>
                </c:pt>
                <c:pt idx="660">
                  <c:v>896.08908514494</c:v>
                </c:pt>
                <c:pt idx="661">
                  <c:v>898.435297591103</c:v>
                </c:pt>
                <c:pt idx="662">
                  <c:v>900.773878269836</c:v>
                </c:pt>
                <c:pt idx="663">
                  <c:v>903.104802528678</c:v>
                </c:pt>
                <c:pt idx="664">
                  <c:v>905.428046242325</c:v>
                </c:pt>
                <c:pt idx="665">
                  <c:v>907.743585812397</c:v>
                </c:pt>
                <c:pt idx="666">
                  <c:v>910.051398167123</c:v>
                </c:pt>
                <c:pt idx="667">
                  <c:v>912.351460760928</c:v>
                </c:pt>
                <c:pt idx="668">
                  <c:v>914.643751573924</c:v>
                </c:pt>
                <c:pt idx="669">
                  <c:v>916.928249111326</c:v>
                </c:pt>
                <c:pt idx="670">
                  <c:v>919.204932402762</c:v>
                </c:pt>
                <c:pt idx="671">
                  <c:v>921.473781001511</c:v>
                </c:pt>
                <c:pt idx="672">
                  <c:v>923.73477498365</c:v>
                </c:pt>
                <c:pt idx="673">
                  <c:v>925.987894947114</c:v>
                </c:pt>
                <c:pt idx="674">
                  <c:v>928.233122010677</c:v>
                </c:pt>
                <c:pt idx="675">
                  <c:v>930.470437812855</c:v>
                </c:pt>
                <c:pt idx="676">
                  <c:v>932.69982451072</c:v>
                </c:pt>
                <c:pt idx="677">
                  <c:v>934.921264778647</c:v>
                </c:pt>
                <c:pt idx="678">
                  <c:v>937.134741806972</c:v>
                </c:pt>
                <c:pt idx="679">
                  <c:v>939.340239300586</c:v>
                </c:pt>
                <c:pt idx="680">
                  <c:v>941.537741477441</c:v>
                </c:pt>
                <c:pt idx="681">
                  <c:v>943.727233066997</c:v>
                </c:pt>
                <c:pt idx="682">
                  <c:v>945.908699308588</c:v>
                </c:pt>
                <c:pt idx="683">
                  <c:v>948.082125949719</c:v>
                </c:pt>
                <c:pt idx="684">
                  <c:v>950.247499244294</c:v>
                </c:pt>
                <c:pt idx="685">
                  <c:v>952.404805950778</c:v>
                </c:pt>
                <c:pt idx="686">
                  <c:v>954.55403333029</c:v>
                </c:pt>
                <c:pt idx="687">
                  <c:v>956.695169144629</c:v>
                </c:pt>
                <c:pt idx="688">
                  <c:v>958.828201654242</c:v>
                </c:pt>
                <c:pt idx="689">
                  <c:v>960.953119616122</c:v>
                </c:pt>
                <c:pt idx="690">
                  <c:v>963.069912281647</c:v>
                </c:pt>
                <c:pt idx="691">
                  <c:v>965.178569394359</c:v>
                </c:pt>
                <c:pt idx="692">
                  <c:v>967.279081187686</c:v>
                </c:pt>
                <c:pt idx="693">
                  <c:v>969.371438382601</c:v>
                </c:pt>
                <c:pt idx="694">
                  <c:v>971.455632185228</c:v>
                </c:pt>
                <c:pt idx="695">
                  <c:v>973.53165428439</c:v>
                </c:pt>
                <c:pt idx="696">
                  <c:v>975.599496849105</c:v>
                </c:pt>
                <c:pt idx="697">
                  <c:v>977.659152526031</c:v>
                </c:pt>
                <c:pt idx="698">
                  <c:v>979.710614436849</c:v>
                </c:pt>
                <c:pt idx="699">
                  <c:v>981.75387617561</c:v>
                </c:pt>
                <c:pt idx="700">
                  <c:v>983.788931806022</c:v>
                </c:pt>
                <c:pt idx="701">
                  <c:v>985.815775858691</c:v>
                </c:pt>
                <c:pt idx="702">
                  <c:v>987.834403328318</c:v>
                </c:pt>
                <c:pt idx="703">
                  <c:v>989.844809670847</c:v>
                </c:pt>
                <c:pt idx="704">
                  <c:v>991.846990800569</c:v>
                </c:pt>
                <c:pt idx="705">
                  <c:v>993.840943087182</c:v>
                </c:pt>
                <c:pt idx="706">
                  <c:v>995.826663352813</c:v>
                </c:pt>
                <c:pt idx="707">
                  <c:v>997.804148868993</c:v>
                </c:pt>
                <c:pt idx="708">
                  <c:v>999.773397353592</c:v>
                </c:pt>
                <c:pt idx="709">
                  <c:v>1001.73440696772</c:v>
                </c:pt>
                <c:pt idx="710">
                  <c:v>1003.6871763126</c:v>
                </c:pt>
                <c:pt idx="711">
                  <c:v>1005.63170442635</c:v>
                </c:pt>
                <c:pt idx="712">
                  <c:v>1007.56799078083</c:v>
                </c:pt>
                <c:pt idx="713">
                  <c:v>1009.49603527836</c:v>
                </c:pt>
                <c:pt idx="714">
                  <c:v>1011.41583824843</c:v>
                </c:pt>
                <c:pt idx="715">
                  <c:v>1013.32740044444</c:v>
                </c:pt>
                <c:pt idx="716">
                  <c:v>1015.2307230403</c:v>
                </c:pt>
                <c:pt idx="717">
                  <c:v>1017.12580762709</c:v>
                </c:pt>
                <c:pt idx="718">
                  <c:v>1017.12580762709</c:v>
                </c:pt>
                <c:pt idx="719">
                  <c:v>1017.12580762709</c:v>
                </c:pt>
                <c:pt idx="720">
                  <c:v>1017.12580762709</c:v>
                </c:pt>
                <c:pt idx="721">
                  <c:v>1017.12580762709</c:v>
                </c:pt>
                <c:pt idx="722">
                  <c:v>1017.12580762709</c:v>
                </c:pt>
                <c:pt idx="723">
                  <c:v>1017.12580762709</c:v>
                </c:pt>
                <c:pt idx="724">
                  <c:v>1017.12580762709</c:v>
                </c:pt>
                <c:pt idx="725">
                  <c:v>1017.12580762709</c:v>
                </c:pt>
                <c:pt idx="726">
                  <c:v>1017.12580762709</c:v>
                </c:pt>
                <c:pt idx="727">
                  <c:v>1017.12580762709</c:v>
                </c:pt>
                <c:pt idx="728">
                  <c:v>1017.12580762709</c:v>
                </c:pt>
                <c:pt idx="729">
                  <c:v>1017.12580762709</c:v>
                </c:pt>
                <c:pt idx="730">
                  <c:v>1017.12580762709</c:v>
                </c:pt>
                <c:pt idx="731">
                  <c:v>1017.12580762709</c:v>
                </c:pt>
                <c:pt idx="732">
                  <c:v>1017.12580762709</c:v>
                </c:pt>
                <c:pt idx="733">
                  <c:v>1017.12580762709</c:v>
                </c:pt>
                <c:pt idx="734">
                  <c:v>1017.12580762709</c:v>
                </c:pt>
                <c:pt idx="735">
                  <c:v>1017.12580762709</c:v>
                </c:pt>
                <c:pt idx="736">
                  <c:v>1017.12580762709</c:v>
                </c:pt>
                <c:pt idx="737">
                  <c:v>1017.12580762709</c:v>
                </c:pt>
                <c:pt idx="738">
                  <c:v>1017.12580762709</c:v>
                </c:pt>
                <c:pt idx="739">
                  <c:v>1017.12580762709</c:v>
                </c:pt>
                <c:pt idx="740">
                  <c:v>1017.12580762709</c:v>
                </c:pt>
                <c:pt idx="741">
                  <c:v>1017.12580762709</c:v>
                </c:pt>
                <c:pt idx="742">
                  <c:v>1017.12580762709</c:v>
                </c:pt>
                <c:pt idx="743">
                  <c:v>1017.12580762709</c:v>
                </c:pt>
                <c:pt idx="744">
                  <c:v>1017.12580762709</c:v>
                </c:pt>
                <c:pt idx="745">
                  <c:v>1017.12580762709</c:v>
                </c:pt>
                <c:pt idx="746">
                  <c:v>1017.12580762709</c:v>
                </c:pt>
                <c:pt idx="747">
                  <c:v>1017.12580762709</c:v>
                </c:pt>
                <c:pt idx="748">
                  <c:v>1017.12580762709</c:v>
                </c:pt>
                <c:pt idx="749">
                  <c:v>1017.12580762709</c:v>
                </c:pt>
                <c:pt idx="750">
                  <c:v>1017.12580762709</c:v>
                </c:pt>
                <c:pt idx="751">
                  <c:v>1017.12580762709</c:v>
                </c:pt>
                <c:pt idx="752">
                  <c:v>1017.12580762709</c:v>
                </c:pt>
                <c:pt idx="753">
                  <c:v>1017.12580762709</c:v>
                </c:pt>
                <c:pt idx="754">
                  <c:v>1017.12580762709</c:v>
                </c:pt>
                <c:pt idx="755">
                  <c:v>1017.12580762709</c:v>
                </c:pt>
                <c:pt idx="756">
                  <c:v>1017.12580762709</c:v>
                </c:pt>
                <c:pt idx="757">
                  <c:v>1017.12580762709</c:v>
                </c:pt>
                <c:pt idx="758">
                  <c:v>1017.12580762709</c:v>
                </c:pt>
                <c:pt idx="759">
                  <c:v>1017.12580762709</c:v>
                </c:pt>
                <c:pt idx="760">
                  <c:v>1017.12580762709</c:v>
                </c:pt>
                <c:pt idx="761">
                  <c:v>1017.12580762709</c:v>
                </c:pt>
                <c:pt idx="762">
                  <c:v>1017.12580762709</c:v>
                </c:pt>
                <c:pt idx="763">
                  <c:v>1017.12580762709</c:v>
                </c:pt>
                <c:pt idx="764">
                  <c:v>1017.12580762709</c:v>
                </c:pt>
                <c:pt idx="765">
                  <c:v>1017.12580762709</c:v>
                </c:pt>
                <c:pt idx="766">
                  <c:v>1017.12580762709</c:v>
                </c:pt>
                <c:pt idx="767">
                  <c:v>1017.12580762709</c:v>
                </c:pt>
                <c:pt idx="768">
                  <c:v>1017.12580762709</c:v>
                </c:pt>
                <c:pt idx="769">
                  <c:v>1017.12580762709</c:v>
                </c:pt>
                <c:pt idx="770">
                  <c:v>1017.12580762709</c:v>
                </c:pt>
                <c:pt idx="771">
                  <c:v>1017.12580762709</c:v>
                </c:pt>
                <c:pt idx="772">
                  <c:v>1017.12580762709</c:v>
                </c:pt>
                <c:pt idx="773">
                  <c:v>1017.12580762709</c:v>
                </c:pt>
                <c:pt idx="774">
                  <c:v>1017.12580762709</c:v>
                </c:pt>
                <c:pt idx="775">
                  <c:v>1017.12580762709</c:v>
                </c:pt>
                <c:pt idx="776">
                  <c:v>1017.12580762709</c:v>
                </c:pt>
                <c:pt idx="777">
                  <c:v>1017.12580762709</c:v>
                </c:pt>
                <c:pt idx="778">
                  <c:v>1017.12580762709</c:v>
                </c:pt>
                <c:pt idx="779">
                  <c:v>1017.12580762709</c:v>
                </c:pt>
                <c:pt idx="780">
                  <c:v>1017.12580762709</c:v>
                </c:pt>
                <c:pt idx="781">
                  <c:v>1017.12580762709</c:v>
                </c:pt>
                <c:pt idx="782">
                  <c:v>1017.12580762709</c:v>
                </c:pt>
                <c:pt idx="783">
                  <c:v>1017.12580762709</c:v>
                </c:pt>
                <c:pt idx="784">
                  <c:v>1017.12580762709</c:v>
                </c:pt>
                <c:pt idx="785">
                  <c:v>1017.12580762709</c:v>
                </c:pt>
                <c:pt idx="786">
                  <c:v>1017.12580762709</c:v>
                </c:pt>
                <c:pt idx="787">
                  <c:v>1017.12580762709</c:v>
                </c:pt>
                <c:pt idx="788">
                  <c:v>1017.12580762709</c:v>
                </c:pt>
                <c:pt idx="789">
                  <c:v>1017.12580762709</c:v>
                </c:pt>
                <c:pt idx="790">
                  <c:v>1017.12580762709</c:v>
                </c:pt>
                <c:pt idx="791">
                  <c:v>1017.12580762709</c:v>
                </c:pt>
                <c:pt idx="792">
                  <c:v>1017.12580762709</c:v>
                </c:pt>
                <c:pt idx="793">
                  <c:v>1017.12580762709</c:v>
                </c:pt>
                <c:pt idx="794">
                  <c:v>1017.12580762709</c:v>
                </c:pt>
                <c:pt idx="795">
                  <c:v>1017.12580762709</c:v>
                </c:pt>
                <c:pt idx="796">
                  <c:v>1017.12580762709</c:v>
                </c:pt>
                <c:pt idx="797">
                  <c:v>1017.12580762709</c:v>
                </c:pt>
                <c:pt idx="798">
                  <c:v>1017.12580762709</c:v>
                </c:pt>
                <c:pt idx="799">
                  <c:v>1017.12580762709</c:v>
                </c:pt>
                <c:pt idx="800">
                  <c:v>1017.12580762709</c:v>
                </c:pt>
                <c:pt idx="801">
                  <c:v>1017.12580762709</c:v>
                </c:pt>
                <c:pt idx="802">
                  <c:v>1017.12580762709</c:v>
                </c:pt>
                <c:pt idx="803">
                  <c:v>1017.12580762709</c:v>
                </c:pt>
                <c:pt idx="804">
                  <c:v>1017.12580762709</c:v>
                </c:pt>
                <c:pt idx="805">
                  <c:v>1017.12580762709</c:v>
                </c:pt>
                <c:pt idx="806">
                  <c:v>1017.12580762709</c:v>
                </c:pt>
                <c:pt idx="807">
                  <c:v>1017.12580762709</c:v>
                </c:pt>
                <c:pt idx="808">
                  <c:v>1017.12580762709</c:v>
                </c:pt>
                <c:pt idx="809">
                  <c:v>1017.12580762709</c:v>
                </c:pt>
                <c:pt idx="810">
                  <c:v>1017.12580762709</c:v>
                </c:pt>
                <c:pt idx="811">
                  <c:v>1017.12580762709</c:v>
                </c:pt>
                <c:pt idx="812">
                  <c:v>1017.12580762709</c:v>
                </c:pt>
                <c:pt idx="813">
                  <c:v>1017.12580762709</c:v>
                </c:pt>
                <c:pt idx="814">
                  <c:v>1017.12580762709</c:v>
                </c:pt>
                <c:pt idx="815">
                  <c:v>1017.12580762709</c:v>
                </c:pt>
                <c:pt idx="816">
                  <c:v>1017.12580762709</c:v>
                </c:pt>
                <c:pt idx="817">
                  <c:v>1017.12580762709</c:v>
                </c:pt>
                <c:pt idx="818">
                  <c:v>1017.12580762709</c:v>
                </c:pt>
                <c:pt idx="819">
                  <c:v>1017.12580762709</c:v>
                </c:pt>
                <c:pt idx="820">
                  <c:v>1017.12580762709</c:v>
                </c:pt>
                <c:pt idx="821">
                  <c:v>1017.12580762709</c:v>
                </c:pt>
                <c:pt idx="822">
                  <c:v>1017.12580762709</c:v>
                </c:pt>
                <c:pt idx="823">
                  <c:v>1017.12580762709</c:v>
                </c:pt>
                <c:pt idx="824">
                  <c:v>1017.12580762709</c:v>
                </c:pt>
                <c:pt idx="825">
                  <c:v>1017.12580762709</c:v>
                </c:pt>
                <c:pt idx="826">
                  <c:v>1017.12580762709</c:v>
                </c:pt>
                <c:pt idx="827">
                  <c:v>1017.12580762709</c:v>
                </c:pt>
                <c:pt idx="828">
                  <c:v>1017.12580762709</c:v>
                </c:pt>
                <c:pt idx="829">
                  <c:v>1017.12580762709</c:v>
                </c:pt>
                <c:pt idx="830">
                  <c:v>1017.12580762709</c:v>
                </c:pt>
                <c:pt idx="831">
                  <c:v>1017.12580762709</c:v>
                </c:pt>
                <c:pt idx="832">
                  <c:v>1017.12580762709</c:v>
                </c:pt>
                <c:pt idx="833">
                  <c:v>1017.12580762709</c:v>
                </c:pt>
                <c:pt idx="834">
                  <c:v>1017.12580762709</c:v>
                </c:pt>
                <c:pt idx="835">
                  <c:v>1017.12580762709</c:v>
                </c:pt>
                <c:pt idx="836">
                  <c:v>1017.12580762709</c:v>
                </c:pt>
                <c:pt idx="837">
                  <c:v>1017.12580762709</c:v>
                </c:pt>
                <c:pt idx="838">
                  <c:v>1017.12580762709</c:v>
                </c:pt>
                <c:pt idx="839">
                  <c:v>1017.12580762709</c:v>
                </c:pt>
                <c:pt idx="840">
                  <c:v>1017.12580762709</c:v>
                </c:pt>
                <c:pt idx="841">
                  <c:v>1017.12580762709</c:v>
                </c:pt>
                <c:pt idx="842">
                  <c:v>1017.12580762709</c:v>
                </c:pt>
                <c:pt idx="843">
                  <c:v>1017.12580762709</c:v>
                </c:pt>
                <c:pt idx="844">
                  <c:v>1017.12580762709</c:v>
                </c:pt>
                <c:pt idx="845">
                  <c:v>1017.12580762709</c:v>
                </c:pt>
                <c:pt idx="846">
                  <c:v>1017.12580762709</c:v>
                </c:pt>
                <c:pt idx="847">
                  <c:v>1017.12580762709</c:v>
                </c:pt>
                <c:pt idx="848">
                  <c:v>1017.12580762709</c:v>
                </c:pt>
                <c:pt idx="849">
                  <c:v>1017.12580762709</c:v>
                </c:pt>
                <c:pt idx="850">
                  <c:v>1017.12580762709</c:v>
                </c:pt>
                <c:pt idx="851">
                  <c:v>1017.12580762709</c:v>
                </c:pt>
                <c:pt idx="852">
                  <c:v>1017.12580762709</c:v>
                </c:pt>
                <c:pt idx="853">
                  <c:v>1017.12580762709</c:v>
                </c:pt>
                <c:pt idx="854">
                  <c:v>1017.12580762709</c:v>
                </c:pt>
                <c:pt idx="855">
                  <c:v>1017.12580762709</c:v>
                </c:pt>
                <c:pt idx="856">
                  <c:v>1017.12580762709</c:v>
                </c:pt>
                <c:pt idx="857">
                  <c:v>1017.12580762709</c:v>
                </c:pt>
                <c:pt idx="858">
                  <c:v>1017.12580762709</c:v>
                </c:pt>
                <c:pt idx="859">
                  <c:v>1017.12580762709</c:v>
                </c:pt>
                <c:pt idx="860">
                  <c:v>1017.12580762709</c:v>
                </c:pt>
                <c:pt idx="861">
                  <c:v>1017.12580762709</c:v>
                </c:pt>
                <c:pt idx="862">
                  <c:v>1017.12580762709</c:v>
                </c:pt>
                <c:pt idx="863">
                  <c:v>1017.12580762709</c:v>
                </c:pt>
                <c:pt idx="864">
                  <c:v>1017.12580762709</c:v>
                </c:pt>
                <c:pt idx="865">
                  <c:v>1017.12580762709</c:v>
                </c:pt>
                <c:pt idx="866">
                  <c:v>1017.12580762709</c:v>
                </c:pt>
                <c:pt idx="867">
                  <c:v>1017.12580762709</c:v>
                </c:pt>
                <c:pt idx="868">
                  <c:v>1017.12580762709</c:v>
                </c:pt>
                <c:pt idx="869">
                  <c:v>1017.12580762709</c:v>
                </c:pt>
                <c:pt idx="870">
                  <c:v>1017.12580762709</c:v>
                </c:pt>
                <c:pt idx="871">
                  <c:v>1017.12580762709</c:v>
                </c:pt>
                <c:pt idx="872">
                  <c:v>1017.12580762709</c:v>
                </c:pt>
                <c:pt idx="873">
                  <c:v>1017.12580762709</c:v>
                </c:pt>
                <c:pt idx="874">
                  <c:v>1017.12580762709</c:v>
                </c:pt>
                <c:pt idx="875">
                  <c:v>1017.12580762709</c:v>
                </c:pt>
                <c:pt idx="876">
                  <c:v>1017.12580762709</c:v>
                </c:pt>
                <c:pt idx="877">
                  <c:v>1017.12580762709</c:v>
                </c:pt>
                <c:pt idx="878">
                  <c:v>1017.12580762709</c:v>
                </c:pt>
                <c:pt idx="879">
                  <c:v>1017.12580762709</c:v>
                </c:pt>
                <c:pt idx="880">
                  <c:v>1017.12580762709</c:v>
                </c:pt>
                <c:pt idx="881">
                  <c:v>1017.12580762709</c:v>
                </c:pt>
                <c:pt idx="882">
                  <c:v>1017.12580762709</c:v>
                </c:pt>
                <c:pt idx="883">
                  <c:v>1017.12580762709</c:v>
                </c:pt>
                <c:pt idx="884">
                  <c:v>1017.12580762709</c:v>
                </c:pt>
                <c:pt idx="885">
                  <c:v>1017.12580762709</c:v>
                </c:pt>
                <c:pt idx="886">
                  <c:v>1017.12580762709</c:v>
                </c:pt>
                <c:pt idx="887">
                  <c:v>1017.12580762709</c:v>
                </c:pt>
                <c:pt idx="888">
                  <c:v>1017.12580762709</c:v>
                </c:pt>
                <c:pt idx="889">
                  <c:v>1017.12580762709</c:v>
                </c:pt>
                <c:pt idx="890">
                  <c:v>1017.12580762709</c:v>
                </c:pt>
                <c:pt idx="891">
                  <c:v>1017.12580762709</c:v>
                </c:pt>
                <c:pt idx="892">
                  <c:v>1017.12580762709</c:v>
                </c:pt>
                <c:pt idx="893">
                  <c:v>1017.12580762709</c:v>
                </c:pt>
                <c:pt idx="894">
                  <c:v>1017.12580762709</c:v>
                </c:pt>
                <c:pt idx="895">
                  <c:v>1017.12580762709</c:v>
                </c:pt>
                <c:pt idx="896">
                  <c:v>1017.12580762709</c:v>
                </c:pt>
                <c:pt idx="897">
                  <c:v>1017.12580762709</c:v>
                </c:pt>
                <c:pt idx="898">
                  <c:v>1017.12580762709</c:v>
                </c:pt>
                <c:pt idx="899">
                  <c:v>1017.12580762709</c:v>
                </c:pt>
                <c:pt idx="900">
                  <c:v>1017.12580762709</c:v>
                </c:pt>
                <c:pt idx="901">
                  <c:v>1017.12580762709</c:v>
                </c:pt>
                <c:pt idx="902">
                  <c:v>1017.12580762709</c:v>
                </c:pt>
                <c:pt idx="903">
                  <c:v>1017.12580762709</c:v>
                </c:pt>
                <c:pt idx="904">
                  <c:v>1017.12580762709</c:v>
                </c:pt>
                <c:pt idx="905">
                  <c:v>1017.12580762709</c:v>
                </c:pt>
                <c:pt idx="906">
                  <c:v>1017.12580762709</c:v>
                </c:pt>
                <c:pt idx="907">
                  <c:v>1017.12580762709</c:v>
                </c:pt>
                <c:pt idx="908">
                  <c:v>1017.12580762709</c:v>
                </c:pt>
                <c:pt idx="909">
                  <c:v>1017.12580762709</c:v>
                </c:pt>
                <c:pt idx="910">
                  <c:v>1017.12580762709</c:v>
                </c:pt>
                <c:pt idx="911">
                  <c:v>1017.12580762709</c:v>
                </c:pt>
                <c:pt idx="912">
                  <c:v>1017.12580762709</c:v>
                </c:pt>
                <c:pt idx="913">
                  <c:v>1017.12580762709</c:v>
                </c:pt>
                <c:pt idx="914">
                  <c:v>1017.12580762709</c:v>
                </c:pt>
                <c:pt idx="915">
                  <c:v>1017.12580762709</c:v>
                </c:pt>
                <c:pt idx="916">
                  <c:v>1017.12580762709</c:v>
                </c:pt>
                <c:pt idx="917">
                  <c:v>1017.12580762709</c:v>
                </c:pt>
                <c:pt idx="918">
                  <c:v>1017.12580762709</c:v>
                </c:pt>
                <c:pt idx="919">
                  <c:v>1017.12580762709</c:v>
                </c:pt>
                <c:pt idx="920">
                  <c:v>1017.12580762709</c:v>
                </c:pt>
                <c:pt idx="921">
                  <c:v>1017.12580762709</c:v>
                </c:pt>
                <c:pt idx="922">
                  <c:v>1017.12580762709</c:v>
                </c:pt>
                <c:pt idx="923">
                  <c:v>1017.12580762709</c:v>
                </c:pt>
                <c:pt idx="924">
                  <c:v>1017.12580762709</c:v>
                </c:pt>
                <c:pt idx="925">
                  <c:v>1017.12580762709</c:v>
                </c:pt>
                <c:pt idx="926">
                  <c:v>1017.12580762709</c:v>
                </c:pt>
                <c:pt idx="927">
                  <c:v>1017.12580762709</c:v>
                </c:pt>
                <c:pt idx="928">
                  <c:v>1017.12580762709</c:v>
                </c:pt>
                <c:pt idx="929">
                  <c:v>1017.12580762709</c:v>
                </c:pt>
                <c:pt idx="930">
                  <c:v>1017.12580762709</c:v>
                </c:pt>
                <c:pt idx="931">
                  <c:v>1017.12580762709</c:v>
                </c:pt>
                <c:pt idx="932">
                  <c:v>1017.12580762709</c:v>
                </c:pt>
                <c:pt idx="933">
                  <c:v>1017.12580762709</c:v>
                </c:pt>
                <c:pt idx="934">
                  <c:v>1017.12580762709</c:v>
                </c:pt>
                <c:pt idx="935">
                  <c:v>1017.12580762709</c:v>
                </c:pt>
                <c:pt idx="936">
                  <c:v>1017.12580762709</c:v>
                </c:pt>
                <c:pt idx="937">
                  <c:v>1017.12580762709</c:v>
                </c:pt>
                <c:pt idx="938">
                  <c:v>1017.12580762709</c:v>
                </c:pt>
                <c:pt idx="939">
                  <c:v>1017.12580762709</c:v>
                </c:pt>
                <c:pt idx="940">
                  <c:v>1017.12580762709</c:v>
                </c:pt>
                <c:pt idx="941">
                  <c:v>1017.12580762709</c:v>
                </c:pt>
                <c:pt idx="942">
                  <c:v>1017.12580762709</c:v>
                </c:pt>
                <c:pt idx="943">
                  <c:v>1017.12580762709</c:v>
                </c:pt>
                <c:pt idx="944">
                  <c:v>1017.12580762709</c:v>
                </c:pt>
                <c:pt idx="945">
                  <c:v>1017.12580762709</c:v>
                </c:pt>
                <c:pt idx="946">
                  <c:v>1017.12580762709</c:v>
                </c:pt>
                <c:pt idx="947">
                  <c:v>1017.12580762709</c:v>
                </c:pt>
                <c:pt idx="948">
                  <c:v>1017.12580762709</c:v>
                </c:pt>
                <c:pt idx="949">
                  <c:v>1017.12580762709</c:v>
                </c:pt>
                <c:pt idx="950">
                  <c:v>1017.12580762709</c:v>
                </c:pt>
                <c:pt idx="951">
                  <c:v>1017.12580762709</c:v>
                </c:pt>
                <c:pt idx="952">
                  <c:v>1017.12580762709</c:v>
                </c:pt>
                <c:pt idx="953">
                  <c:v>1017.12580762709</c:v>
                </c:pt>
                <c:pt idx="954">
                  <c:v>1017.12580762709</c:v>
                </c:pt>
                <c:pt idx="955">
                  <c:v>1017.12580762709</c:v>
                </c:pt>
                <c:pt idx="956">
                  <c:v>1017.12580762709</c:v>
                </c:pt>
                <c:pt idx="957">
                  <c:v>1017.12580762709</c:v>
                </c:pt>
                <c:pt idx="958">
                  <c:v>1017.12580762709</c:v>
                </c:pt>
                <c:pt idx="959">
                  <c:v>1017.12580762709</c:v>
                </c:pt>
                <c:pt idx="960">
                  <c:v>1017.12580762709</c:v>
                </c:pt>
                <c:pt idx="961">
                  <c:v>1017.12580762709</c:v>
                </c:pt>
                <c:pt idx="962">
                  <c:v>1017.12580762709</c:v>
                </c:pt>
                <c:pt idx="963">
                  <c:v>1017.12580762709</c:v>
                </c:pt>
                <c:pt idx="964">
                  <c:v>1017.12580762709</c:v>
                </c:pt>
                <c:pt idx="965">
                  <c:v>1017.12580762709</c:v>
                </c:pt>
                <c:pt idx="966">
                  <c:v>1017.12580762709</c:v>
                </c:pt>
                <c:pt idx="967">
                  <c:v>1017.12580762709</c:v>
                </c:pt>
                <c:pt idx="968">
                  <c:v>1017.12580762709</c:v>
                </c:pt>
                <c:pt idx="969">
                  <c:v>1017.12580762709</c:v>
                </c:pt>
                <c:pt idx="970">
                  <c:v>1017.12580762709</c:v>
                </c:pt>
                <c:pt idx="971">
                  <c:v>1017.12580762709</c:v>
                </c:pt>
                <c:pt idx="972">
                  <c:v>1017.12580762709</c:v>
                </c:pt>
                <c:pt idx="973">
                  <c:v>1017.12580762709</c:v>
                </c:pt>
                <c:pt idx="974">
                  <c:v>1017.12580762709</c:v>
                </c:pt>
                <c:pt idx="975">
                  <c:v>1017.12580762709</c:v>
                </c:pt>
                <c:pt idx="976">
                  <c:v>1017.12580762709</c:v>
                </c:pt>
                <c:pt idx="977">
                  <c:v>1017.12580762709</c:v>
                </c:pt>
                <c:pt idx="978">
                  <c:v>1017.12580762709</c:v>
                </c:pt>
                <c:pt idx="979">
                  <c:v>1017.12580762709</c:v>
                </c:pt>
                <c:pt idx="980">
                  <c:v>1017.12580762709</c:v>
                </c:pt>
                <c:pt idx="981">
                  <c:v>1017.12580762709</c:v>
                </c:pt>
                <c:pt idx="982">
                  <c:v>1017.12580762709</c:v>
                </c:pt>
                <c:pt idx="983">
                  <c:v>1017.12580762709</c:v>
                </c:pt>
                <c:pt idx="984">
                  <c:v>1017.12580762709</c:v>
                </c:pt>
                <c:pt idx="985">
                  <c:v>1017.12580762709</c:v>
                </c:pt>
                <c:pt idx="986">
                  <c:v>1017.12580762709</c:v>
                </c:pt>
                <c:pt idx="987">
                  <c:v>1017.12580762709</c:v>
                </c:pt>
                <c:pt idx="988">
                  <c:v>1017.12580762709</c:v>
                </c:pt>
                <c:pt idx="989">
                  <c:v>1017.12580762709</c:v>
                </c:pt>
                <c:pt idx="990">
                  <c:v>1017.12580762709</c:v>
                </c:pt>
                <c:pt idx="991">
                  <c:v>1017.12580762709</c:v>
                </c:pt>
                <c:pt idx="992">
                  <c:v>1017.12580762709</c:v>
                </c:pt>
                <c:pt idx="993">
                  <c:v>1017.12580762709</c:v>
                </c:pt>
                <c:pt idx="994">
                  <c:v>1017.12580762709</c:v>
                </c:pt>
                <c:pt idx="995">
                  <c:v>1017.12580762709</c:v>
                </c:pt>
                <c:pt idx="996">
                  <c:v>1017.12580762709</c:v>
                </c:pt>
                <c:pt idx="997">
                  <c:v>1017.12580762709</c:v>
                </c:pt>
                <c:pt idx="998">
                  <c:v>1017.12580762709</c:v>
                </c:pt>
                <c:pt idx="999">
                  <c:v>1017.12580762709</c:v>
                </c:pt>
                <c:pt idx="1000">
                  <c:v>1017.12580762709</c:v>
                </c:pt>
              </c:numCache>
            </c:numRef>
          </c:xVal>
          <c:yVal>
            <c:numRef>
              <c:f>Calculs!$K$4:$K$1004</c:f>
              <c:numCache>
                <c:formatCode>General</c:formatCode>
                <c:ptCount val="1001"/>
                <c:pt idx="0">
                  <c:v>0</c:v>
                </c:pt>
                <c:pt idx="1">
                  <c:v>0</c:v>
                </c:pt>
                <c:pt idx="2">
                  <c:v>0.000886599299514683</c:v>
                </c:pt>
                <c:pt idx="3">
                  <c:v>0.00445512822990102</c:v>
                </c:pt>
                <c:pt idx="4">
                  <c:v>0.0125237609457696</c:v>
                </c:pt>
                <c:pt idx="5">
                  <c:v>0.0269123436636311</c:v>
                </c:pt>
                <c:pt idx="6">
                  <c:v>0.0489825233463651</c:v>
                </c:pt>
                <c:pt idx="7">
                  <c:v>0.0791768355144557</c:v>
                </c:pt>
                <c:pt idx="8">
                  <c:v>0.117477831691603</c:v>
                </c:pt>
                <c:pt idx="9">
                  <c:v>0.163867999950866</c:v>
                </c:pt>
                <c:pt idx="10">
                  <c:v>0.218329765130187</c:v>
                </c:pt>
                <c:pt idx="11">
                  <c:v>0.28084548904954</c:v>
                </c:pt>
                <c:pt idx="12">
                  <c:v>0.351397470729712</c:v>
                </c:pt>
                <c:pt idx="13">
                  <c:v>0.429967946612676</c:v>
                </c:pt>
                <c:pt idx="14">
                  <c:v>0.516539090783578</c:v>
                </c:pt>
                <c:pt idx="15">
                  <c:v>0.61109301519429</c:v>
                </c:pt>
                <c:pt idx="16">
                  <c:v>0.713611769888542</c:v>
                </c:pt>
                <c:pt idx="17">
                  <c:v>0.824077343228604</c:v>
                </c:pt>
                <c:pt idx="18">
                  <c:v>0.942471662123513</c:v>
                </c:pt>
                <c:pt idx="19">
                  <c:v>1.06877659225883</c:v>
                </c:pt>
                <c:pt idx="20">
                  <c:v>1.20297393832791</c:v>
                </c:pt>
                <c:pt idx="21">
                  <c:v>1.34504544426469</c:v>
                </c:pt>
                <c:pt idx="22">
                  <c:v>1.4949727934779</c:v>
                </c:pt>
                <c:pt idx="23">
                  <c:v>1.65273760908688</c:v>
                </c:pt>
                <c:pt idx="24">
                  <c:v>1.81832145415871</c:v>
                </c:pt>
                <c:pt idx="25">
                  <c:v>1.99170583194687</c:v>
                </c:pt>
                <c:pt idx="26">
                  <c:v>2.17287218613136</c:v>
                </c:pt>
                <c:pt idx="27">
                  <c:v>2.36180190106013</c:v>
                </c:pt>
                <c:pt idx="28">
                  <c:v>2.55847630199202</c:v>
                </c:pt>
                <c:pt idx="29">
                  <c:v>2.76287665534105</c:v>
                </c:pt>
                <c:pt idx="30">
                  <c:v>2.97498416892209</c:v>
                </c:pt>
                <c:pt idx="31">
                  <c:v>3.19477999219785</c:v>
                </c:pt>
                <c:pt idx="32">
                  <c:v>3.42224521652733</c:v>
                </c:pt>
                <c:pt idx="33">
                  <c:v>3.65736087541546</c:v>
                </c:pt>
                <c:pt idx="34">
                  <c:v>3.90010794476418</c:v>
                </c:pt>
                <c:pt idx="35">
                  <c:v>4.15046734312471</c:v>
                </c:pt>
                <c:pt idx="36">
                  <c:v>4.40840513511947</c:v>
                </c:pt>
                <c:pt idx="37">
                  <c:v>4.67388685351736</c:v>
                </c:pt>
                <c:pt idx="38">
                  <c:v>4.94689230160397</c:v>
                </c:pt>
                <c:pt idx="39">
                  <c:v>5.22740124334607</c:v>
                </c:pt>
                <c:pt idx="40">
                  <c:v>5.51539340956389</c:v>
                </c:pt>
                <c:pt idx="41">
                  <c:v>5.8108484971669</c:v>
                </c:pt>
                <c:pt idx="42">
                  <c:v>6.11374616846535</c:v>
                </c:pt>
                <c:pt idx="43">
                  <c:v>6.42406605055037</c:v>
                </c:pt>
                <c:pt idx="44">
                  <c:v>6.7417877347362</c:v>
                </c:pt>
                <c:pt idx="45">
                  <c:v>7.06689077605901</c:v>
                </c:pt>
                <c:pt idx="46">
                  <c:v>7.39935469282721</c:v>
                </c:pt>
                <c:pt idx="47">
                  <c:v>7.73915896621884</c:v>
                </c:pt>
                <c:pt idx="48">
                  <c:v>8.08628303992209</c:v>
                </c:pt>
                <c:pt idx="49">
                  <c:v>8.44070631981545</c:v>
                </c:pt>
                <c:pt idx="50">
                  <c:v>8.80240817368416</c:v>
                </c:pt>
                <c:pt idx="51">
                  <c:v>9.17137034682917</c:v>
                </c:pt>
                <c:pt idx="52">
                  <c:v>9.54757938061544</c:v>
                </c:pt>
                <c:pt idx="53">
                  <c:v>9.93102420059173</c:v>
                </c:pt>
                <c:pt idx="54">
                  <c:v>10.321693701672</c:v>
                </c:pt>
                <c:pt idx="55">
                  <c:v>10.7195767478822</c:v>
                </c:pt>
                <c:pt idx="56">
                  <c:v>11.1246621721265</c:v>
                </c:pt>
                <c:pt idx="57">
                  <c:v>11.5369387759725</c:v>
                </c:pt>
                <c:pt idx="58">
                  <c:v>11.9563953294543</c:v>
                </c:pt>
                <c:pt idx="59">
                  <c:v>12.3830205708915</c:v>
                </c:pt>
                <c:pt idx="60">
                  <c:v>12.816803206723</c:v>
                </c:pt>
                <c:pt idx="61">
                  <c:v>13.2577319113566</c:v>
                </c:pt>
                <c:pt idx="62">
                  <c:v>13.7057953270311</c:v>
                </c:pt>
                <c:pt idx="63">
                  <c:v>14.1609820636909</c:v>
                </c:pt>
                <c:pt idx="64">
                  <c:v>14.623280698874</c:v>
                </c:pt>
                <c:pt idx="65">
                  <c:v>15.0926797776097</c:v>
                </c:pt>
                <c:pt idx="66">
                  <c:v>15.569167812328</c:v>
                </c:pt>
                <c:pt idx="67">
                  <c:v>16.0527332827793</c:v>
                </c:pt>
                <c:pt idx="68">
                  <c:v>16.5433646359626</c:v>
                </c:pt>
                <c:pt idx="69">
                  <c:v>17.0410502860639</c:v>
                </c:pt>
                <c:pt idx="70">
                  <c:v>17.545778614403</c:v>
                </c:pt>
                <c:pt idx="71">
                  <c:v>18.0575379693877</c:v>
                </c:pt>
                <c:pt idx="72">
                  <c:v>18.576316666477</c:v>
                </c:pt>
                <c:pt idx="73">
                  <c:v>19.1021029881506</c:v>
                </c:pt>
                <c:pt idx="74">
                  <c:v>19.6348851838865</c:v>
                </c:pt>
                <c:pt idx="75">
                  <c:v>20.1746514701443</c:v>
                </c:pt>
                <c:pt idx="76">
                  <c:v>20.7213900303556</c:v>
                </c:pt>
                <c:pt idx="77">
                  <c:v>21.2750890149206</c:v>
                </c:pt>
                <c:pt idx="78">
                  <c:v>21.8357365412097</c:v>
                </c:pt>
                <c:pt idx="79">
                  <c:v>22.4033206935719</c:v>
                </c:pt>
                <c:pt idx="80">
                  <c:v>22.9778295233478</c:v>
                </c:pt>
                <c:pt idx="81">
                  <c:v>23.5592510488876</c:v>
                </c:pt>
                <c:pt idx="82">
                  <c:v>24.1475732555747</c:v>
                </c:pt>
                <c:pt idx="83">
                  <c:v>24.7427840958536</c:v>
                </c:pt>
                <c:pt idx="84">
                  <c:v>25.3448714892622</c:v>
                </c:pt>
                <c:pt idx="85">
                  <c:v>25.9538233224689</c:v>
                </c:pt>
                <c:pt idx="86">
                  <c:v>26.5696274493133</c:v>
                </c:pt>
                <c:pt idx="87">
                  <c:v>27.1922716908518</c:v>
                </c:pt>
                <c:pt idx="88">
                  <c:v>27.821743835406</c:v>
                </c:pt>
                <c:pt idx="89">
                  <c:v>28.4580316386156</c:v>
                </c:pt>
                <c:pt idx="90">
                  <c:v>29.1011228234948</c:v>
                </c:pt>
                <c:pt idx="91">
                  <c:v>29.7510050804919</c:v>
                </c:pt>
                <c:pt idx="92">
                  <c:v>30.4076660675523</c:v>
                </c:pt>
                <c:pt idx="93">
                  <c:v>31.0710934101852</c:v>
                </c:pt>
                <c:pt idx="94">
                  <c:v>31.7412747015326</c:v>
                </c:pt>
                <c:pt idx="95">
                  <c:v>32.418197502442</c:v>
                </c:pt>
                <c:pt idx="96">
                  <c:v>33.1018493415417</c:v>
                </c:pt>
                <c:pt idx="97">
                  <c:v>33.7922177153192</c:v>
                </c:pt>
                <c:pt idx="98">
                  <c:v>34.4892900882017</c:v>
                </c:pt>
                <c:pt idx="99">
                  <c:v>35.19305389264</c:v>
                </c:pt>
                <c:pt idx="100">
                  <c:v>35.9034965291947</c:v>
                </c:pt>
                <c:pt idx="101">
                  <c:v>36.6206042580729</c:v>
                </c:pt>
                <c:pt idx="102">
                  <c:v>37.3443610895686</c:v>
                </c:pt>
                <c:pt idx="103">
                  <c:v>38.0747498912897</c:v>
                </c:pt>
                <c:pt idx="104">
                  <c:v>38.8117534965204</c:v>
                </c:pt>
                <c:pt idx="105">
                  <c:v>39.5553547043826</c:v>
                </c:pt>
                <c:pt idx="106">
                  <c:v>40.3055362799993</c:v>
                </c:pt>
                <c:pt idx="107">
                  <c:v>41.0622809546605</c:v>
                </c:pt>
                <c:pt idx="108">
                  <c:v>41.825571425991</c:v>
                </c:pt>
                <c:pt idx="109">
                  <c:v>42.5953903581207</c:v>
                </c:pt>
                <c:pt idx="110">
                  <c:v>43.3717203818559</c:v>
                </c:pt>
                <c:pt idx="111">
                  <c:v>44.1545440948537</c:v>
                </c:pt>
                <c:pt idx="112">
                  <c:v>44.9438440617979</c:v>
                </c:pt>
                <c:pt idx="113">
                  <c:v>45.7396028145756</c:v>
                </c:pt>
                <c:pt idx="114">
                  <c:v>46.5418028524577</c:v>
                </c:pt>
                <c:pt idx="115">
                  <c:v>47.3504266422788</c:v>
                </c:pt>
                <c:pt idx="116">
                  <c:v>48.1654566186204</c:v>
                </c:pt>
                <c:pt idx="117">
                  <c:v>48.9868751839951</c:v>
                </c:pt>
                <c:pt idx="118">
                  <c:v>49.8146647090317</c:v>
                </c:pt>
                <c:pt idx="119">
                  <c:v>50.6488075326633</c:v>
                </c:pt>
                <c:pt idx="120">
                  <c:v>51.4892859623152</c:v>
                </c:pt>
                <c:pt idx="121">
                  <c:v>52.3360822740953</c:v>
                </c:pt>
                <c:pt idx="122">
                  <c:v>53.1891787129853</c:v>
                </c:pt>
                <c:pt idx="123">
                  <c:v>54.0485574930335</c:v>
                </c:pt>
                <c:pt idx="124">
                  <c:v>54.9142007975487</c:v>
                </c:pt>
                <c:pt idx="125">
                  <c:v>55.7860907792954</c:v>
                </c:pt>
                <c:pt idx="126">
                  <c:v>56.6642095606902</c:v>
                </c:pt>
                <c:pt idx="127">
                  <c:v>57.5485392339992</c:v>
                </c:pt>
                <c:pt idx="128">
                  <c:v>58.4390618615367</c:v>
                </c:pt>
                <c:pt idx="129">
                  <c:v>59.3357594758647</c:v>
                </c:pt>
                <c:pt idx="130">
                  <c:v>60.2386140799942</c:v>
                </c:pt>
                <c:pt idx="131">
                  <c:v>61.1476076475863</c:v>
                </c:pt>
                <c:pt idx="132">
                  <c:v>62.0627221231552</c:v>
                </c:pt>
                <c:pt idx="133">
                  <c:v>62.9839394222718</c:v>
                </c:pt>
                <c:pt idx="134">
                  <c:v>63.9112414317686</c:v>
                </c:pt>
                <c:pt idx="135">
                  <c:v>64.8446100099444</c:v>
                </c:pt>
                <c:pt idx="136">
                  <c:v>65.7840269867716</c:v>
                </c:pt>
                <c:pt idx="137">
                  <c:v>66.7294741641023</c:v>
                </c:pt>
                <c:pt idx="138">
                  <c:v>67.6809333158771</c:v>
                </c:pt>
                <c:pt idx="139">
                  <c:v>68.6383861883332</c:v>
                </c:pt>
                <c:pt idx="140">
                  <c:v>69.601814500214</c:v>
                </c:pt>
                <c:pt idx="141">
                  <c:v>70.5711999429793</c:v>
                </c:pt>
                <c:pt idx="142">
                  <c:v>71.5465241810161</c:v>
                </c:pt>
                <c:pt idx="143">
                  <c:v>72.5277688518498</c:v>
                </c:pt>
                <c:pt idx="144">
                  <c:v>73.5149155663568</c:v>
                </c:pt>
                <c:pt idx="145">
                  <c:v>74.5079459089767</c:v>
                </c:pt>
                <c:pt idx="146">
                  <c:v>75.506841437926</c:v>
                </c:pt>
                <c:pt idx="147">
                  <c:v>76.5115836854117</c:v>
                </c:pt>
                <c:pt idx="148">
                  <c:v>77.5221541578458</c:v>
                </c:pt>
                <c:pt idx="149">
                  <c:v>78.5385343360602</c:v>
                </c:pt>
                <c:pt idx="150">
                  <c:v>79.5607056755223</c:v>
                </c:pt>
                <c:pt idx="151">
                  <c:v>80.5886499822593</c:v>
                </c:pt>
                <c:pt idx="152">
                  <c:v>81.6223497890387</c:v>
                </c:pt>
                <c:pt idx="153">
                  <c:v>82.6617879801364</c:v>
                </c:pt>
                <c:pt idx="154">
                  <c:v>83.7069474158421</c:v>
                </c:pt>
                <c:pt idx="155">
                  <c:v>84.7578109326538</c:v>
                </c:pt>
                <c:pt idx="156">
                  <c:v>85.8143613434748</c:v>
                </c:pt>
                <c:pt idx="157">
                  <c:v>86.876581437809</c:v>
                </c:pt>
                <c:pt idx="158">
                  <c:v>87.9444539819586</c:v>
                </c:pt>
                <c:pt idx="159">
                  <c:v>89.0179617192205</c:v>
                </c:pt>
                <c:pt idx="160">
                  <c:v>90.0970873700843</c:v>
                </c:pt>
                <c:pt idx="161">
                  <c:v>91.1818136324295</c:v>
                </c:pt>
                <c:pt idx="162">
                  <c:v>92.2721231817242</c:v>
                </c:pt>
                <c:pt idx="163">
                  <c:v>93.3679986712229</c:v>
                </c:pt>
                <c:pt idx="164">
                  <c:v>94.4694227321655</c:v>
                </c:pt>
                <c:pt idx="165">
                  <c:v>95.5763779739763</c:v>
                </c:pt>
                <c:pt idx="166">
                  <c:v>96.6888469844628</c:v>
                </c:pt>
                <c:pt idx="167">
                  <c:v>97.8068123300154</c:v>
                </c:pt>
                <c:pt idx="168">
                  <c:v>98.9302565558071</c:v>
                </c:pt>
                <c:pt idx="169">
                  <c:v>100.059162185993</c:v>
                </c:pt>
                <c:pt idx="170">
                  <c:v>101.19351172391</c:v>
                </c:pt>
                <c:pt idx="171">
                  <c:v>102.333287652279</c:v>
                </c:pt>
                <c:pt idx="172">
                  <c:v>103.478472433402</c:v>
                </c:pt>
                <c:pt idx="173">
                  <c:v>104.629048509364</c:v>
                </c:pt>
                <c:pt idx="174">
                  <c:v>105.784998302236</c:v>
                </c:pt>
                <c:pt idx="175">
                  <c:v>106.946304214273</c:v>
                </c:pt>
                <c:pt idx="176">
                  <c:v>108.112948628113</c:v>
                </c:pt>
                <c:pt idx="177">
                  <c:v>109.284913906984</c:v>
                </c:pt>
                <c:pt idx="178">
                  <c:v>110.4621823949</c:v>
                </c:pt>
                <c:pt idx="179">
                  <c:v>111.644736416862</c:v>
                </c:pt>
                <c:pt idx="180">
                  <c:v>112.832558279062</c:v>
                </c:pt>
                <c:pt idx="181">
                  <c:v>114.025630269084</c:v>
                </c:pt>
                <c:pt idx="182">
                  <c:v>115.223934656101</c:v>
                </c:pt>
                <c:pt idx="183">
                  <c:v>116.427453691083</c:v>
                </c:pt>
                <c:pt idx="184">
                  <c:v>117.636169606991</c:v>
                </c:pt>
                <c:pt idx="185">
                  <c:v>118.850064618984</c:v>
                </c:pt>
                <c:pt idx="186">
                  <c:v>120.069120924616</c:v>
                </c:pt>
                <c:pt idx="187">
                  <c:v>121.29332070404</c:v>
                </c:pt>
                <c:pt idx="188">
                  <c:v>122.522646120209</c:v>
                </c:pt>
                <c:pt idx="189">
                  <c:v>123.757079319074</c:v>
                </c:pt>
                <c:pt idx="190">
                  <c:v>124.996602429788</c:v>
                </c:pt>
                <c:pt idx="191">
                  <c:v>126.241197564907</c:v>
                </c:pt>
                <c:pt idx="192">
                  <c:v>127.490846820588</c:v>
                </c:pt>
                <c:pt idx="193">
                  <c:v>128.745532276794</c:v>
                </c:pt>
                <c:pt idx="194">
                  <c:v>130.00523599749</c:v>
                </c:pt>
                <c:pt idx="195">
                  <c:v>131.269940030847</c:v>
                </c:pt>
                <c:pt idx="196">
                  <c:v>132.53962640944</c:v>
                </c:pt>
                <c:pt idx="197">
                  <c:v>133.814277150449</c:v>
                </c:pt>
                <c:pt idx="198">
                  <c:v>135.093874255861</c:v>
                </c:pt>
                <c:pt idx="199">
                  <c:v>136.378399712667</c:v>
                </c:pt>
                <c:pt idx="200">
                  <c:v>137.667835493061</c:v>
                </c:pt>
                <c:pt idx="201">
                  <c:v>138.962163554646</c:v>
                </c:pt>
                <c:pt idx="202">
                  <c:v>140.261365840624</c:v>
                </c:pt>
                <c:pt idx="203">
                  <c:v>141.565424280003</c:v>
                </c:pt>
                <c:pt idx="204">
                  <c:v>142.87432078779</c:v>
                </c:pt>
                <c:pt idx="205">
                  <c:v>144.188037265196</c:v>
                </c:pt>
                <c:pt idx="206">
                  <c:v>145.506555599828</c:v>
                </c:pt>
                <c:pt idx="207">
                  <c:v>146.829857665891</c:v>
                </c:pt>
                <c:pt idx="208">
                  <c:v>148.157925324385</c:v>
                </c:pt>
                <c:pt idx="209">
                  <c:v>149.490740423305</c:v>
                </c:pt>
                <c:pt idx="210">
                  <c:v>150.828284797831</c:v>
                </c:pt>
                <c:pt idx="211">
                  <c:v>152.170540270537</c:v>
                </c:pt>
                <c:pt idx="212">
                  <c:v>153.517488651576</c:v>
                </c:pt>
                <c:pt idx="213">
                  <c:v>154.869111738885</c:v>
                </c:pt>
                <c:pt idx="214">
                  <c:v>156.225391318377</c:v>
                </c:pt>
                <c:pt idx="215">
                  <c:v>157.586309164138</c:v>
                </c:pt>
                <c:pt idx="216">
                  <c:v>158.951847038622</c:v>
                </c:pt>
                <c:pt idx="217">
                  <c:v>160.32198669285</c:v>
                </c:pt>
                <c:pt idx="218">
                  <c:v>161.696709866598</c:v>
                </c:pt>
                <c:pt idx="219">
                  <c:v>163.075998288599</c:v>
                </c:pt>
                <c:pt idx="220">
                  <c:v>164.459833676732</c:v>
                </c:pt>
                <c:pt idx="221">
                  <c:v>165.848197738218</c:v>
                </c:pt>
                <c:pt idx="222">
                  <c:v>167.241072169814</c:v>
                </c:pt>
                <c:pt idx="223">
                  <c:v>168.638438658005</c:v>
                </c:pt>
                <c:pt idx="224">
                  <c:v>170.040278879197</c:v>
                </c:pt>
                <c:pt idx="225">
                  <c:v>171.446574499911</c:v>
                </c:pt>
                <c:pt idx="226">
                  <c:v>172.857307176971</c:v>
                </c:pt>
                <c:pt idx="227">
                  <c:v>174.272458557701</c:v>
                </c:pt>
                <c:pt idx="228">
                  <c:v>175.692010280111</c:v>
                </c:pt>
                <c:pt idx="229">
                  <c:v>177.115943973092</c:v>
                </c:pt>
                <c:pt idx="230">
                  <c:v>178.544241256601</c:v>
                </c:pt>
                <c:pt idx="231">
                  <c:v>179.976883741859</c:v>
                </c:pt>
                <c:pt idx="232">
                  <c:v>181.41385303153</c:v>
                </c:pt>
                <c:pt idx="233">
                  <c:v>182.85513071992</c:v>
                </c:pt>
                <c:pt idx="234">
                  <c:v>184.300698393158</c:v>
                </c:pt>
                <c:pt idx="235">
                  <c:v>185.750537629389</c:v>
                </c:pt>
                <c:pt idx="236">
                  <c:v>187.204629998958</c:v>
                </c:pt>
                <c:pt idx="237">
                  <c:v>188.662957064599</c:v>
                </c:pt>
                <c:pt idx="238">
                  <c:v>190.125500381621</c:v>
                </c:pt>
                <c:pt idx="239">
                  <c:v>191.592241498094</c:v>
                </c:pt>
                <c:pt idx="240">
                  <c:v>193.063161955036</c:v>
                </c:pt>
                <c:pt idx="241">
                  <c:v>194.538243286595</c:v>
                </c:pt>
                <c:pt idx="242">
                  <c:v>196.017467020237</c:v>
                </c:pt>
                <c:pt idx="243">
                  <c:v>197.500814676927</c:v>
                </c:pt>
                <c:pt idx="244">
                  <c:v>198.988267771316</c:v>
                </c:pt>
                <c:pt idx="245">
                  <c:v>200.479807811919</c:v>
                </c:pt>
                <c:pt idx="246">
                  <c:v>201.975416301304</c:v>
                </c:pt>
                <c:pt idx="247">
                  <c:v>203.475074736266</c:v>
                </c:pt>
                <c:pt idx="248">
                  <c:v>204.978764608017</c:v>
                </c:pt>
                <c:pt idx="249">
                  <c:v>206.486467402359</c:v>
                </c:pt>
                <c:pt idx="250">
                  <c:v>207.998164599869</c:v>
                </c:pt>
                <c:pt idx="251">
                  <c:v>209.513836066762</c:v>
                </c:pt>
                <c:pt idx="252">
                  <c:v>211.033458445619</c:v>
                </c:pt>
                <c:pt idx="253">
                  <c:v>212.557006765485</c:v>
                </c:pt>
                <c:pt idx="254">
                  <c:v>214.084456052128</c:v>
                </c:pt>
                <c:pt idx="255">
                  <c:v>215.615781328299</c:v>
                </c:pt>
                <c:pt idx="256">
                  <c:v>217.150957613994</c:v>
                </c:pt>
                <c:pt idx="257">
                  <c:v>218.68995992671</c:v>
                </c:pt>
                <c:pt idx="258">
                  <c:v>220.232763281703</c:v>
                </c:pt>
                <c:pt idx="259">
                  <c:v>221.779342692243</c:v>
                </c:pt>
                <c:pt idx="260">
                  <c:v>223.32967316987</c:v>
                </c:pt>
                <c:pt idx="261">
                  <c:v>224.883729724647</c:v>
                </c:pt>
                <c:pt idx="262">
                  <c:v>226.441487365412</c:v>
                </c:pt>
                <c:pt idx="263">
                  <c:v>228.002921100029</c:v>
                </c:pt>
                <c:pt idx="264">
                  <c:v>229.568005935641</c:v>
                </c:pt>
                <c:pt idx="265">
                  <c:v>231.136716878913</c:v>
                </c:pt>
                <c:pt idx="266">
                  <c:v>232.709028936287</c:v>
                </c:pt>
                <c:pt idx="267">
                  <c:v>234.284917114222</c:v>
                </c:pt>
                <c:pt idx="268">
                  <c:v>235.864356419442</c:v>
                </c:pt>
                <c:pt idx="269">
                  <c:v>237.447321859181</c:v>
                </c:pt>
                <c:pt idx="270">
                  <c:v>239.033788441425</c:v>
                </c:pt>
                <c:pt idx="271">
                  <c:v>240.623731175152</c:v>
                </c:pt>
                <c:pt idx="272">
                  <c:v>242.217125070574</c:v>
                </c:pt>
                <c:pt idx="273">
                  <c:v>243.813945139375</c:v>
                </c:pt>
                <c:pt idx="274">
                  <c:v>245.414166394952</c:v>
                </c:pt>
                <c:pt idx="275">
                  <c:v>247.017763852646</c:v>
                </c:pt>
                <c:pt idx="276">
                  <c:v>248.624712529983</c:v>
                </c:pt>
                <c:pt idx="277">
                  <c:v>250.234987446904</c:v>
                </c:pt>
                <c:pt idx="278">
                  <c:v>251.848563626</c:v>
                </c:pt>
                <c:pt idx="279">
                  <c:v>253.465416092741</c:v>
                </c:pt>
                <c:pt idx="280">
                  <c:v>255.085519875712</c:v>
                </c:pt>
                <c:pt idx="281">
                  <c:v>256.708850006834</c:v>
                </c:pt>
                <c:pt idx="282">
                  <c:v>258.335381521598</c:v>
                </c:pt>
                <c:pt idx="283">
                  <c:v>259.965089459288</c:v>
                </c:pt>
                <c:pt idx="284">
                  <c:v>261.597948863208</c:v>
                </c:pt>
                <c:pt idx="285">
                  <c:v>263.233934780904</c:v>
                </c:pt>
                <c:pt idx="286">
                  <c:v>264.873022264387</c:v>
                </c:pt>
                <c:pt idx="287">
                  <c:v>266.515186370356</c:v>
                </c:pt>
                <c:pt idx="288">
                  <c:v>268.160402160416</c:v>
                </c:pt>
                <c:pt idx="289">
                  <c:v>269.808644701295</c:v>
                </c:pt>
                <c:pt idx="290">
                  <c:v>271.459889065065</c:v>
                </c:pt>
                <c:pt idx="291">
                  <c:v>273.114110329355</c:v>
                </c:pt>
                <c:pt idx="292">
                  <c:v>274.771283577567</c:v>
                </c:pt>
                <c:pt idx="293">
                  <c:v>276.431383899089</c:v>
                </c:pt>
                <c:pt idx="294">
                  <c:v>278.094386389504</c:v>
                </c:pt>
                <c:pt idx="295">
                  <c:v>279.760266150806</c:v>
                </c:pt>
                <c:pt idx="296">
                  <c:v>281.428998291605</c:v>
                </c:pt>
                <c:pt idx="297">
                  <c:v>283.100557927335</c:v>
                </c:pt>
                <c:pt idx="298">
                  <c:v>284.774902571347</c:v>
                </c:pt>
                <c:pt idx="299">
                  <c:v>286.451954530458</c:v>
                </c:pt>
                <c:pt idx="300">
                  <c:v>288.13161853087</c:v>
                </c:pt>
                <c:pt idx="301">
                  <c:v>289.813799340406</c:v>
                </c:pt>
                <c:pt idx="302">
                  <c:v>291.498401770284</c:v>
                </c:pt>
                <c:pt idx="303">
                  <c:v>293.185330676862</c:v>
                </c:pt>
                <c:pt idx="304">
                  <c:v>294.874490963368</c:v>
                </c:pt>
                <c:pt idx="305">
                  <c:v>296.565787581617</c:v>
                </c:pt>
                <c:pt idx="306">
                  <c:v>298.259125533696</c:v>
                </c:pt>
                <c:pt idx="307">
                  <c:v>299.954409873646</c:v>
                </c:pt>
                <c:pt idx="308">
                  <c:v>301.651545709113</c:v>
                </c:pt>
                <c:pt idx="309">
                  <c:v>303.350438202983</c:v>
                </c:pt>
                <c:pt idx="310">
                  <c:v>305.050992575007</c:v>
                </c:pt>
                <c:pt idx="311">
                  <c:v>306.75311410339</c:v>
                </c:pt>
                <c:pt idx="312">
                  <c:v>308.456708126379</c:v>
                </c:pt>
                <c:pt idx="313">
                  <c:v>310.161680043819</c:v>
                </c:pt>
                <c:pt idx="314">
                  <c:v>311.867935318694</c:v>
                </c:pt>
                <c:pt idx="315">
                  <c:v>313.575379478655</c:v>
                </c:pt>
                <c:pt idx="316">
                  <c:v>315.283918117518</c:v>
                </c:pt>
                <c:pt idx="317">
                  <c:v>316.99345689675</c:v>
                </c:pt>
                <c:pt idx="318">
                  <c:v>318.703901546938</c:v>
                </c:pt>
                <c:pt idx="319">
                  <c:v>320.415157869228</c:v>
                </c:pt>
                <c:pt idx="320">
                  <c:v>322.127131736761</c:v>
                </c:pt>
                <c:pt idx="321">
                  <c:v>323.839736089868</c:v>
                </c:pt>
                <c:pt idx="322">
                  <c:v>325.552897926152</c:v>
                </c:pt>
                <c:pt idx="323">
                  <c:v>327.266551296349</c:v>
                </c:pt>
                <c:pt idx="324">
                  <c:v>328.980630304944</c:v>
                </c:pt>
                <c:pt idx="325">
                  <c:v>330.695069110826</c:v>
                </c:pt>
                <c:pt idx="326">
                  <c:v>332.409801927942</c:v>
                </c:pt>
                <c:pt idx="327">
                  <c:v>334.124763025925</c:v>
                </c:pt>
                <c:pt idx="328">
                  <c:v>335.839886730737</c:v>
                </c:pt>
                <c:pt idx="329">
                  <c:v>337.555107425276</c:v>
                </c:pt>
                <c:pt idx="330">
                  <c:v>339.270359549995</c:v>
                </c:pt>
                <c:pt idx="331">
                  <c:v>340.985577603502</c:v>
                </c:pt>
                <c:pt idx="332">
                  <c:v>342.700696143148</c:v>
                </c:pt>
                <c:pt idx="333">
                  <c:v>344.415649785616</c:v>
                </c:pt>
                <c:pt idx="334">
                  <c:v>346.130373207487</c:v>
                </c:pt>
                <c:pt idx="335">
                  <c:v>347.844801145811</c:v>
                </c:pt>
                <c:pt idx="336">
                  <c:v>349.55886839866</c:v>
                </c:pt>
                <c:pt idx="337">
                  <c:v>351.272509825671</c:v>
                </c:pt>
                <c:pt idx="338">
                  <c:v>352.985660348588</c:v>
                </c:pt>
                <c:pt idx="339">
                  <c:v>354.698254951783</c:v>
                </c:pt>
                <c:pt idx="340">
                  <c:v>356.410228682782</c:v>
                </c:pt>
                <c:pt idx="341">
                  <c:v>358.121516652768</c:v>
                </c:pt>
                <c:pt idx="342">
                  <c:v>359.832054037085</c:v>
                </c:pt>
                <c:pt idx="343">
                  <c:v>361.541776075727</c:v>
                </c:pt>
                <c:pt idx="344">
                  <c:v>363.250618073825</c:v>
                </c:pt>
                <c:pt idx="345">
                  <c:v>364.958515402112</c:v>
                </c:pt>
                <c:pt idx="346">
                  <c:v>366.665403497398</c:v>
                </c:pt>
                <c:pt idx="347">
                  <c:v>368.371217863017</c:v>
                </c:pt>
                <c:pt idx="348">
                  <c:v>370.075894822603</c:v>
                </c:pt>
                <c:pt idx="349">
                  <c:v>371.779372273042</c:v>
                </c:pt>
                <c:pt idx="350">
                  <c:v>373.481588929917</c:v>
                </c:pt>
                <c:pt idx="351">
                  <c:v>375.182483573755</c:v>
                </c:pt>
                <c:pt idx="352">
                  <c:v>376.881995050387</c:v>
                </c:pt>
                <c:pt idx="353">
                  <c:v>378.580062271306</c:v>
                </c:pt>
                <c:pt idx="354">
                  <c:v>380.276624214016</c:v>
                </c:pt>
                <c:pt idx="355">
                  <c:v>381.971619922372</c:v>
                </c:pt>
                <c:pt idx="356">
                  <c:v>383.664988506916</c:v>
                </c:pt>
                <c:pt idx="357">
                  <c:v>385.3566691452</c:v>
                </c:pt>
                <c:pt idx="358">
                  <c:v>387.046601082107</c:v>
                </c:pt>
                <c:pt idx="359">
                  <c:v>388.734723630157</c:v>
                </c:pt>
                <c:pt idx="360">
                  <c:v>390.420991830062</c:v>
                </c:pt>
                <c:pt idx="361">
                  <c:v>392.105392092282</c:v>
                </c:pt>
                <c:pt idx="362">
                  <c:v>393.787926500163</c:v>
                </c:pt>
                <c:pt idx="363">
                  <c:v>395.468597131911</c:v>
                </c:pt>
                <c:pt idx="364">
                  <c:v>397.147406060611</c:v>
                </c:pt>
                <c:pt idx="365">
                  <c:v>398.824355354241</c:v>
                </c:pt>
                <c:pt idx="366">
                  <c:v>400.499447075689</c:v>
                </c:pt>
                <c:pt idx="367">
                  <c:v>402.17268328277</c:v>
                </c:pt>
                <c:pt idx="368">
                  <c:v>403.84406602824</c:v>
                </c:pt>
                <c:pt idx="369">
                  <c:v>405.513597359812</c:v>
                </c:pt>
                <c:pt idx="370">
                  <c:v>407.181279320173</c:v>
                </c:pt>
                <c:pt idx="371">
                  <c:v>408.847113947</c:v>
                </c:pt>
                <c:pt idx="372">
                  <c:v>410.511103272972</c:v>
                </c:pt>
                <c:pt idx="373">
                  <c:v>412.173249325792</c:v>
                </c:pt>
                <c:pt idx="374">
                  <c:v>413.833554128195</c:v>
                </c:pt>
                <c:pt idx="375">
                  <c:v>415.492019697971</c:v>
                </c:pt>
                <c:pt idx="376">
                  <c:v>417.148648047974</c:v>
                </c:pt>
                <c:pt idx="377">
                  <c:v>418.803441186141</c:v>
                </c:pt>
                <c:pt idx="378">
                  <c:v>420.456401115506</c:v>
                </c:pt>
                <c:pt idx="379">
                  <c:v>422.107529834216</c:v>
                </c:pt>
                <c:pt idx="380">
                  <c:v>423.756829335546</c:v>
                </c:pt>
                <c:pt idx="381">
                  <c:v>425.404301607912</c:v>
                </c:pt>
                <c:pt idx="382">
                  <c:v>427.04994863489</c:v>
                </c:pt>
                <c:pt idx="383">
                  <c:v>428.693772395227</c:v>
                </c:pt>
                <c:pt idx="384">
                  <c:v>430.335774862858</c:v>
                </c:pt>
                <c:pt idx="385">
                  <c:v>431.975958006923</c:v>
                </c:pt>
                <c:pt idx="386">
                  <c:v>433.614323791775</c:v>
                </c:pt>
                <c:pt idx="387">
                  <c:v>435.250874177002</c:v>
                </c:pt>
                <c:pt idx="388">
                  <c:v>436.885611117438</c:v>
                </c:pt>
                <c:pt idx="389">
                  <c:v>438.51853656318</c:v>
                </c:pt>
                <c:pt idx="390">
                  <c:v>440.149652459597</c:v>
                </c:pt>
                <c:pt idx="391">
                  <c:v>441.778960747352</c:v>
                </c:pt>
                <c:pt idx="392">
                  <c:v>443.406463362412</c:v>
                </c:pt>
                <c:pt idx="393">
                  <c:v>445.032162236063</c:v>
                </c:pt>
                <c:pt idx="394">
                  <c:v>446.656059294923</c:v>
                </c:pt>
                <c:pt idx="395">
                  <c:v>448.278156460961</c:v>
                </c:pt>
                <c:pt idx="396">
                  <c:v>449.898455651507</c:v>
                </c:pt>
                <c:pt idx="397">
                  <c:v>451.516958779265</c:v>
                </c:pt>
                <c:pt idx="398">
                  <c:v>453.133667752332</c:v>
                </c:pt>
                <c:pt idx="399">
                  <c:v>454.748584474209</c:v>
                </c:pt>
                <c:pt idx="400">
                  <c:v>456.361710843814</c:v>
                </c:pt>
                <c:pt idx="401">
                  <c:v>472.394651925885</c:v>
                </c:pt>
                <c:pt idx="402">
                  <c:v>488.249779599886</c:v>
                </c:pt>
                <c:pt idx="403">
                  <c:v>503.928947125683</c:v>
                </c:pt>
                <c:pt idx="404">
                  <c:v>519.433963826796</c:v>
                </c:pt>
                <c:pt idx="405">
                  <c:v>534.766596395646</c:v>
                </c:pt>
                <c:pt idx="406">
                  <c:v>549.928570149135</c:v>
                </c:pt>
                <c:pt idx="407">
                  <c:v>564.921570236802</c:v>
                </c:pt>
                <c:pt idx="408">
                  <c:v>579.747242803692</c:v>
                </c:pt>
                <c:pt idx="409">
                  <c:v>594.407196109961</c:v>
                </c:pt>
                <c:pt idx="410">
                  <c:v>608.903001609113</c:v>
                </c:pt>
                <c:pt idx="411">
                  <c:v>623.236194986719</c:v>
                </c:pt>
                <c:pt idx="412">
                  <c:v>637.408277161302</c:v>
                </c:pt>
                <c:pt idx="413">
                  <c:v>651.420715249054</c:v>
                </c:pt>
                <c:pt idx="414">
                  <c:v>665.27494349392</c:v>
                </c:pt>
                <c:pt idx="415">
                  <c:v>678.972364164529</c:v>
                </c:pt>
                <c:pt idx="416">
                  <c:v>692.514348419381</c:v>
                </c:pt>
                <c:pt idx="417">
                  <c:v>705.902237141607</c:v>
                </c:pt>
                <c:pt idx="418">
                  <c:v>719.13734174458</c:v>
                </c:pt>
                <c:pt idx="419">
                  <c:v>732.220944949586</c:v>
                </c:pt>
                <c:pt idx="420">
                  <c:v>745.154301536688</c:v>
                </c:pt>
                <c:pt idx="421">
                  <c:v>757.938639069888</c:v>
                </c:pt>
                <c:pt idx="422">
                  <c:v>770.575158597618</c:v>
                </c:pt>
                <c:pt idx="423">
                  <c:v>783.065035329567</c:v>
                </c:pt>
                <c:pt idx="424">
                  <c:v>795.409419290757</c:v>
                </c:pt>
                <c:pt idx="425">
                  <c:v>807.609435953807</c:v>
                </c:pt>
                <c:pt idx="426">
                  <c:v>819.666186850216</c:v>
                </c:pt>
                <c:pt idx="427">
                  <c:v>831.580750161487</c:v>
                </c:pt>
                <c:pt idx="428">
                  <c:v>843.354181290892</c:v>
                </c:pt>
                <c:pt idx="429">
                  <c:v>854.987513416598</c:v>
                </c:pt>
                <c:pt idx="430">
                  <c:v>866.481758026892</c:v>
                </c:pt>
                <c:pt idx="431">
                  <c:v>877.837905438159</c:v>
                </c:pt>
                <c:pt idx="432">
                  <c:v>889.056925296292</c:v>
                </c:pt>
                <c:pt idx="433">
                  <c:v>900.139767062129</c:v>
                </c:pt>
                <c:pt idx="434">
                  <c:v>911.08736048153</c:v>
                </c:pt>
                <c:pt idx="435">
                  <c:v>921.900616040654</c:v>
                </c:pt>
                <c:pt idx="436">
                  <c:v>932.580425406976</c:v>
                </c:pt>
                <c:pt idx="437">
                  <c:v>943.127661856576</c:v>
                </c:pt>
                <c:pt idx="438">
                  <c:v>953.543180688191</c:v>
                </c:pt>
                <c:pt idx="439">
                  <c:v>963.827819624497</c:v>
                </c:pt>
                <c:pt idx="440">
                  <c:v>973.982399201103</c:v>
                </c:pt>
                <c:pt idx="441">
                  <c:v>984.007723143668</c:v>
                </c:pt>
                <c:pt idx="442">
                  <c:v>993.904578733576</c:v>
                </c:pt>
                <c:pt idx="443">
                  <c:v>1003.67373716257</c:v>
                </c:pt>
                <c:pt idx="444">
                  <c:v>1013.3159538767</c:v>
                </c:pt>
                <c:pt idx="445">
                  <c:v>1022.83196891007</c:v>
                </c:pt>
                <c:pt idx="446">
                  <c:v>1032.22250720851</c:v>
                </c:pt>
                <c:pt idx="447">
                  <c:v>1041.48827894377</c:v>
                </c:pt>
                <c:pt idx="448">
                  <c:v>1050.62997981842</c:v>
                </c:pt>
                <c:pt idx="449">
                  <c:v>1059.64829136178</c:v>
                </c:pt>
                <c:pt idx="450">
                  <c:v>1068.54388121718</c:v>
                </c:pt>
                <c:pt idx="451">
                  <c:v>1077.31740342096</c:v>
                </c:pt>
                <c:pt idx="452">
                  <c:v>1085.96949867323</c:v>
                </c:pt>
                <c:pt idx="453">
                  <c:v>1094.50079460097</c:v>
                </c:pt>
                <c:pt idx="454">
                  <c:v>1102.91190601349</c:v>
                </c:pt>
                <c:pt idx="455">
                  <c:v>1111.2034351506</c:v>
                </c:pt>
                <c:pt idx="456">
                  <c:v>1119.37597192372</c:v>
                </c:pt>
                <c:pt idx="457">
                  <c:v>1127.43009415016</c:v>
                </c:pt>
                <c:pt idx="458">
                  <c:v>1135.36636778077</c:v>
                </c:pt>
                <c:pt idx="459">
                  <c:v>1143.18534712119</c:v>
                </c:pt>
                <c:pt idx="460">
                  <c:v>1150.88757504695</c:v>
                </c:pt>
                <c:pt idx="461">
                  <c:v>1158.47358321248</c:v>
                </c:pt>
                <c:pt idx="462">
                  <c:v>1165.94389225442</c:v>
                </c:pt>
                <c:pt idx="463">
                  <c:v>1173.29901198928</c:v>
                </c:pt>
                <c:pt idx="464">
                  <c:v>1180.53944160563</c:v>
                </c:pt>
                <c:pt idx="465">
                  <c:v>1187.66566985108</c:v>
                </c:pt>
                <c:pt idx="466">
                  <c:v>1194.67817521414</c:v>
                </c:pt>
                <c:pt idx="467">
                  <c:v>1201.57742610115</c:v>
                </c:pt>
                <c:pt idx="468">
                  <c:v>1208.36388100848</c:v>
                </c:pt>
                <c:pt idx="469">
                  <c:v>1215.03798869005</c:v>
                </c:pt>
                <c:pt idx="470">
                  <c:v>1221.60018832045</c:v>
                </c:pt>
                <c:pt idx="471">
                  <c:v>1228.05090965369</c:v>
                </c:pt>
                <c:pt idx="472">
                  <c:v>1234.39057317785</c:v>
                </c:pt>
                <c:pt idx="473">
                  <c:v>1240.61959026558</c:v>
                </c:pt>
                <c:pt idx="474">
                  <c:v>1246.73836332082</c:v>
                </c:pt>
                <c:pt idx="475">
                  <c:v>1252.74728592165</c:v>
                </c:pt>
                <c:pt idx="476">
                  <c:v>1258.64674295962</c:v>
                </c:pt>
                <c:pt idx="477">
                  <c:v>1264.43711077547</c:v>
                </c:pt>
                <c:pt idx="478">
                  <c:v>1270.11875729153</c:v>
                </c:pt>
                <c:pt idx="479">
                  <c:v>1275.69204214088</c:v>
                </c:pt>
                <c:pt idx="480">
                  <c:v>1281.15731679333</c:v>
                </c:pt>
                <c:pt idx="481">
                  <c:v>1286.51492467846</c:v>
                </c:pt>
                <c:pt idx="482">
                  <c:v>1291.76520130575</c:v>
                </c:pt>
                <c:pt idx="483">
                  <c:v>1296.90847438199</c:v>
                </c:pt>
                <c:pt idx="484">
                  <c:v>1301.94506392602</c:v>
                </c:pt>
                <c:pt idx="485">
                  <c:v>1306.87528238102</c:v>
                </c:pt>
                <c:pt idx="486">
                  <c:v>1311.69943472441</c:v>
                </c:pt>
                <c:pt idx="487">
                  <c:v>1316.4178185755</c:v>
                </c:pt>
                <c:pt idx="488">
                  <c:v>1321.03072430105</c:v>
                </c:pt>
                <c:pt idx="489">
                  <c:v>1325.53843511886</c:v>
                </c:pt>
                <c:pt idx="490">
                  <c:v>1329.9412271995</c:v>
                </c:pt>
                <c:pt idx="491">
                  <c:v>1334.23936976642</c:v>
                </c:pt>
                <c:pt idx="492">
                  <c:v>1338.43312519442</c:v>
                </c:pt>
                <c:pt idx="493">
                  <c:v>1342.52274910688</c:v>
                </c:pt>
                <c:pt idx="494">
                  <c:v>1346.50849047162</c:v>
                </c:pt>
                <c:pt idx="495">
                  <c:v>1350.39059169583</c:v>
                </c:pt>
                <c:pt idx="496">
                  <c:v>1354.16928872009</c:v>
                </c:pt>
                <c:pt idx="497">
                  <c:v>1357.84481111169</c:v>
                </c:pt>
                <c:pt idx="498">
                  <c:v>1361.41738215752</c:v>
                </c:pt>
                <c:pt idx="499">
                  <c:v>1364.88721895664</c:v>
                </c:pt>
                <c:pt idx="500">
                  <c:v>1368.25453251286</c:v>
                </c:pt>
                <c:pt idx="501">
                  <c:v>1371.51952782747</c:v>
                </c:pt>
                <c:pt idx="502">
                  <c:v>1374.68240399244</c:v>
                </c:pt>
                <c:pt idx="503">
                  <c:v>1377.74335428434</c:v>
                </c:pt>
                <c:pt idx="504">
                  <c:v>1380.70256625926</c:v>
                </c:pt>
                <c:pt idx="505">
                  <c:v>1383.56022184903</c:v>
                </c:pt>
                <c:pt idx="506">
                  <c:v>1386.31649745907</c:v>
                </c:pt>
                <c:pt idx="507">
                  <c:v>1388.97156406826</c:v>
                </c:pt>
                <c:pt idx="508">
                  <c:v>1391.52558733108</c:v>
                </c:pt>
                <c:pt idx="509">
                  <c:v>1393.97872768251</c:v>
                </c:pt>
                <c:pt idx="510">
                  <c:v>1396.33114044608</c:v>
                </c:pt>
                <c:pt idx="511">
                  <c:v>1398.5829759454</c:v>
                </c:pt>
                <c:pt idx="512">
                  <c:v>1400.73437961973</c:v>
                </c:pt>
                <c:pt idx="513">
                  <c:v>1402.78549214398</c:v>
                </c:pt>
                <c:pt idx="514">
                  <c:v>1404.73644955357</c:v>
                </c:pt>
                <c:pt idx="515">
                  <c:v>1406.58738337473</c:v>
                </c:pt>
                <c:pt idx="516">
                  <c:v>1408.33842076058</c:v>
                </c:pt>
                <c:pt idx="517">
                  <c:v>1409.9896846336</c:v>
                </c:pt>
                <c:pt idx="518">
                  <c:v>1411.54129383475</c:v>
                </c:pt>
                <c:pt idx="519">
                  <c:v>1412.99336327994</c:v>
                </c:pt>
                <c:pt idx="520">
                  <c:v>1414.34600412394</c:v>
                </c:pt>
                <c:pt idx="521">
                  <c:v>1415.59932393238</c:v>
                </c:pt>
                <c:pt idx="522">
                  <c:v>1416.75342686184</c:v>
                </c:pt>
                <c:pt idx="523">
                  <c:v>1417.80841384848</c:v>
                </c:pt>
                <c:pt idx="524">
                  <c:v>1418.76438280518</c:v>
                </c:pt>
                <c:pt idx="525">
                  <c:v>1419.62142882732</c:v>
                </c:pt>
                <c:pt idx="526">
                  <c:v>1420.37964440698</c:v>
                </c:pt>
                <c:pt idx="527">
                  <c:v>1421.03911965539</c:v>
                </c:pt>
                <c:pt idx="528">
                  <c:v>1421.59994253332</c:v>
                </c:pt>
                <c:pt idx="529">
                  <c:v>1422.06219908876</c:v>
                </c:pt>
                <c:pt idx="530">
                  <c:v>1422.42597370133</c:v>
                </c:pt>
                <c:pt idx="531">
                  <c:v>1422.69134933247</c:v>
                </c:pt>
                <c:pt idx="532">
                  <c:v>1422.85840778069</c:v>
                </c:pt>
                <c:pt idx="533">
                  <c:v>1422.92722994048</c:v>
                </c:pt>
                <c:pt idx="534">
                  <c:v>1422.89789606395</c:v>
                </c:pt>
                <c:pt idx="535">
                  <c:v>1422.7704860238</c:v>
                </c:pt>
                <c:pt idx="536">
                  <c:v>1422.54507957631</c:v>
                </c:pt>
                <c:pt idx="537">
                  <c:v>1422.22175662293</c:v>
                </c:pt>
                <c:pt idx="538">
                  <c:v>1421.80059746922</c:v>
                </c:pt>
                <c:pt idx="539">
                  <c:v>1421.28168307973</c:v>
                </c:pt>
                <c:pt idx="540">
                  <c:v>1420.66509532753</c:v>
                </c:pt>
                <c:pt idx="541">
                  <c:v>1419.9509172373</c:v>
                </c:pt>
                <c:pt idx="542">
                  <c:v>1419.13923322084</c:v>
                </c:pt>
                <c:pt idx="543">
                  <c:v>1418.2301293041</c:v>
                </c:pt>
                <c:pt idx="544">
                  <c:v>1417.22369334493</c:v>
                </c:pt>
                <c:pt idx="545">
                  <c:v>1416.12001524092</c:v>
                </c:pt>
                <c:pt idx="546">
                  <c:v>1414.91918712678</c:v>
                </c:pt>
                <c:pt idx="547">
                  <c:v>1413.62130356098</c:v>
                </c:pt>
                <c:pt idx="548">
                  <c:v>1412.22646170146</c:v>
                </c:pt>
                <c:pt idx="549">
                  <c:v>1410.73476147019</c:v>
                </c:pt>
                <c:pt idx="550">
                  <c:v>1409.14630570681</c:v>
                </c:pt>
                <c:pt idx="551">
                  <c:v>1407.46120031136</c:v>
                </c:pt>
                <c:pt idx="552">
                  <c:v>1405.67955437639</c:v>
                </c:pt>
                <c:pt idx="553">
                  <c:v>1403.80148030868</c:v>
                </c:pt>
                <c:pt idx="554">
                  <c:v>1401.82709394108</c:v>
                </c:pt>
                <c:pt idx="555">
                  <c:v>1399.75651463464</c:v>
                </c:pt>
                <c:pt idx="556">
                  <c:v>1397.58986537169</c:v>
                </c:pt>
                <c:pt idx="557">
                  <c:v>1395.32727284019</c:v>
                </c:pt>
                <c:pt idx="558">
                  <c:v>1392.96886750987</c:v>
                </c:pt>
                <c:pt idx="559">
                  <c:v>1390.51478370056</c:v>
                </c:pt>
                <c:pt idx="560">
                  <c:v>1387.96515964323</c:v>
                </c:pt>
                <c:pt idx="561">
                  <c:v>1385.32013753424</c:v>
                </c:pt>
                <c:pt idx="562">
                  <c:v>1382.57986358308</c:v>
                </c:pt>
                <c:pt idx="563">
                  <c:v>1379.74448805413</c:v>
                </c:pt>
                <c:pt idx="564">
                  <c:v>1376.81416530293</c:v>
                </c:pt>
                <c:pt idx="565">
                  <c:v>1373.78905380705</c:v>
                </c:pt>
                <c:pt idx="566">
                  <c:v>1370.66931619228</c:v>
                </c:pt>
                <c:pt idx="567">
                  <c:v>1367.45511925414</c:v>
                </c:pt>
                <c:pt idx="568">
                  <c:v>1364.14663397535</c:v>
                </c:pt>
                <c:pt idx="569">
                  <c:v>1360.74403553918</c:v>
                </c:pt>
                <c:pt idx="570">
                  <c:v>1357.24750333935</c:v>
                </c:pt>
                <c:pt idx="571">
                  <c:v>1353.65722098641</c:v>
                </c:pt>
                <c:pt idx="572">
                  <c:v>1349.97337631098</c:v>
                </c:pt>
                <c:pt idx="573">
                  <c:v>1346.19616136412</c:v>
                </c:pt>
                <c:pt idx="574">
                  <c:v>1342.32577241485</c:v>
                </c:pt>
                <c:pt idx="575">
                  <c:v>1338.36240994515</c:v>
                </c:pt>
                <c:pt idx="576">
                  <c:v>1334.3062786426</c:v>
                </c:pt>
                <c:pt idx="577">
                  <c:v>1330.15758739073</c:v>
                </c:pt>
                <c:pt idx="578">
                  <c:v>1325.9165492573</c:v>
                </c:pt>
                <c:pt idx="579">
                  <c:v>1321.5833814806</c:v>
                </c:pt>
                <c:pt idx="580">
                  <c:v>1317.15830545391</c:v>
                </c:pt>
                <c:pt idx="581">
                  <c:v>1312.64154670825</c:v>
                </c:pt>
                <c:pt idx="582">
                  <c:v>1308.03333489347</c:v>
                </c:pt>
                <c:pt idx="583">
                  <c:v>1303.33390375778</c:v>
                </c:pt>
                <c:pt idx="584">
                  <c:v>1298.54349112594</c:v>
                </c:pt>
                <c:pt idx="585">
                  <c:v>1293.66233887595</c:v>
                </c:pt>
                <c:pt idx="586">
                  <c:v>1288.69069291451</c:v>
                </c:pt>
                <c:pt idx="587">
                  <c:v>1283.62880315127</c:v>
                </c:pt>
                <c:pt idx="588">
                  <c:v>1278.47692347192</c:v>
                </c:pt>
                <c:pt idx="589">
                  <c:v>1273.23531171008</c:v>
                </c:pt>
                <c:pt idx="590">
                  <c:v>1267.90422961832</c:v>
                </c:pt>
                <c:pt idx="591">
                  <c:v>1262.48394283802</c:v>
                </c:pt>
                <c:pt idx="592">
                  <c:v>1256.97472086839</c:v>
                </c:pt>
                <c:pt idx="593">
                  <c:v>1251.37683703449</c:v>
                </c:pt>
                <c:pt idx="594">
                  <c:v>1245.69056845454</c:v>
                </c:pt>
                <c:pt idx="595">
                  <c:v>1239.91619600623</c:v>
                </c:pt>
                <c:pt idx="596">
                  <c:v>1234.05400429237</c:v>
                </c:pt>
                <c:pt idx="597">
                  <c:v>1228.10428160575</c:v>
                </c:pt>
                <c:pt idx="598">
                  <c:v>1222.06731989327</c:v>
                </c:pt>
                <c:pt idx="599">
                  <c:v>1215.94341471941</c:v>
                </c:pt>
                <c:pt idx="600">
                  <c:v>1209.73286522902</c:v>
                </c:pt>
                <c:pt idx="601">
                  <c:v>1203.43597410951</c:v>
                </c:pt>
                <c:pt idx="602">
                  <c:v>1197.05304755239</c:v>
                </c:pt>
                <c:pt idx="603">
                  <c:v>1190.58439521429</c:v>
                </c:pt>
                <c:pt idx="604">
                  <c:v>1184.03033017737</c:v>
                </c:pt>
                <c:pt idx="605">
                  <c:v>1177.39116890926</c:v>
                </c:pt>
                <c:pt idx="606">
                  <c:v>1170.66723122242</c:v>
                </c:pt>
                <c:pt idx="607">
                  <c:v>1163.85884023308</c:v>
                </c:pt>
                <c:pt idx="608">
                  <c:v>1156.96632231971</c:v>
                </c:pt>
                <c:pt idx="609">
                  <c:v>1149.99000708095</c:v>
                </c:pt>
                <c:pt idx="610">
                  <c:v>1142.93022729326</c:v>
                </c:pt>
                <c:pt idx="611">
                  <c:v>1135.78731886803</c:v>
                </c:pt>
                <c:pt idx="612">
                  <c:v>1128.56162080841</c:v>
                </c:pt>
                <c:pt idx="613">
                  <c:v>1121.25347516565</c:v>
                </c:pt>
                <c:pt idx="614">
                  <c:v>1113.86322699519</c:v>
                </c:pt>
                <c:pt idx="615">
                  <c:v>1106.39122431236</c:v>
                </c:pt>
                <c:pt idx="616">
                  <c:v>1098.83781804776</c:v>
                </c:pt>
                <c:pt idx="617">
                  <c:v>1091.20336200232</c:v>
                </c:pt>
                <c:pt idx="618">
                  <c:v>1083.48821280211</c:v>
                </c:pt>
                <c:pt idx="619">
                  <c:v>1075.69272985287</c:v>
                </c:pt>
                <c:pt idx="620">
                  <c:v>1067.81727529418</c:v>
                </c:pt>
                <c:pt idx="621">
                  <c:v>1059.86221395353</c:v>
                </c:pt>
                <c:pt idx="622">
                  <c:v>1051.82791330009</c:v>
                </c:pt>
                <c:pt idx="623">
                  <c:v>1043.71474339818</c:v>
                </c:pt>
                <c:pt idx="624">
                  <c:v>1035.52307686072</c:v>
                </c:pt>
                <c:pt idx="625">
                  <c:v>1027.2532888023</c:v>
                </c:pt>
                <c:pt idx="626">
                  <c:v>1018.90575679219</c:v>
                </c:pt>
                <c:pt idx="627">
                  <c:v>1010.48086080715</c:v>
                </c:pt>
                <c:pt idx="628">
                  <c:v>1001.97898318406</c:v>
                </c:pt>
                <c:pt idx="629">
                  <c:v>993.400508572492</c:v>
                </c:pt>
                <c:pt idx="630">
                  <c:v>984.745823887052</c:v>
                </c:pt>
                <c:pt idx="631">
                  <c:v>976.015318259686</c:v>
                </c:pt>
                <c:pt idx="632">
                  <c:v>967.209382991849</c:v>
                </c:pt>
                <c:pt idx="633">
                  <c:v>958.328411506599</c:v>
                </c:pt>
                <c:pt idx="634">
                  <c:v>949.372799300606</c:v>
                </c:pt>
                <c:pt idx="635">
                  <c:v>940.342943896101</c:v>
                </c:pt>
                <c:pt idx="636">
                  <c:v>931.239244792768</c:v>
                </c:pt>
                <c:pt idx="637">
                  <c:v>922.062103419599</c:v>
                </c:pt>
                <c:pt idx="638">
                  <c:v>912.81192308671</c:v>
                </c:pt>
                <c:pt idx="639">
                  <c:v>903.489108937149</c:v>
                </c:pt>
                <c:pt idx="640">
                  <c:v>894.094067898689</c:v>
                </c:pt>
                <c:pt idx="641">
                  <c:v>884.627208635624</c:v>
                </c:pt>
                <c:pt idx="642">
                  <c:v>875.088941500587</c:v>
                </c:pt>
                <c:pt idx="643">
                  <c:v>865.47967848638</c:v>
                </c:pt>
                <c:pt idx="644">
                  <c:v>855.799833177855</c:v>
                </c:pt>
                <c:pt idx="645">
                  <c:v>846.049820703828</c:v>
                </c:pt>
                <c:pt idx="646">
                  <c:v>836.230057689058</c:v>
                </c:pt>
                <c:pt idx="647">
                  <c:v>826.34096220629</c:v>
                </c:pt>
                <c:pt idx="648">
                  <c:v>816.382953728376</c:v>
                </c:pt>
                <c:pt idx="649">
                  <c:v>806.356453080481</c:v>
                </c:pt>
                <c:pt idx="650">
                  <c:v>796.261882392392</c:v>
                </c:pt>
                <c:pt idx="651">
                  <c:v>786.099665050926</c:v>
                </c:pt>
                <c:pt idx="652">
                  <c:v>775.870225652461</c:v>
                </c:pt>
                <c:pt idx="653">
                  <c:v>765.573989955588</c:v>
                </c:pt>
                <c:pt idx="654">
                  <c:v>755.211384833907</c:v>
                </c:pt>
                <c:pt idx="655">
                  <c:v>744.782838228955</c:v>
                </c:pt>
                <c:pt idx="656">
                  <c:v>734.2887791033</c:v>
                </c:pt>
                <c:pt idx="657">
                  <c:v>723.72963739379</c:v>
                </c:pt>
                <c:pt idx="658">
                  <c:v>713.105843964977</c:v>
                </c:pt>
                <c:pt idx="659">
                  <c:v>702.417830562724</c:v>
                </c:pt>
                <c:pt idx="660">
                  <c:v>691.666029767994</c:v>
                </c:pt>
                <c:pt idx="661">
                  <c:v>680.850874950841</c:v>
                </c:pt>
                <c:pt idx="662">
                  <c:v>669.972800224609</c:v>
                </c:pt>
                <c:pt idx="663">
                  <c:v>659.032240400341</c:v>
                </c:pt>
                <c:pt idx="664">
                  <c:v>648.029630941412</c:v>
                </c:pt>
                <c:pt idx="665">
                  <c:v>636.965407918389</c:v>
                </c:pt>
                <c:pt idx="666">
                  <c:v>625.840007964133</c:v>
                </c:pt>
                <c:pt idx="667">
                  <c:v>614.653868229145</c:v>
                </c:pt>
                <c:pt idx="668">
                  <c:v>603.407426337162</c:v>
                </c:pt>
                <c:pt idx="669">
                  <c:v>592.101120341018</c:v>
                </c:pt>
                <c:pt idx="670">
                  <c:v>580.735388678766</c:v>
                </c:pt>
                <c:pt idx="671">
                  <c:v>569.310670130079</c:v>
                </c:pt>
                <c:pt idx="672">
                  <c:v>557.827403772935</c:v>
                </c:pt>
                <c:pt idx="673">
                  <c:v>546.286028940577</c:v>
                </c:pt>
                <c:pt idx="674">
                  <c:v>534.686985178787</c:v>
                </c:pt>
                <c:pt idx="675">
                  <c:v>523.030712203443</c:v>
                </c:pt>
                <c:pt idx="676">
                  <c:v>511.317649858392</c:v>
                </c:pt>
                <c:pt idx="677">
                  <c:v>499.54823807364</c:v>
                </c:pt>
                <c:pt idx="678">
                  <c:v>487.722916823851</c:v>
                </c:pt>
                <c:pt idx="679">
                  <c:v>475.842126087181</c:v>
                </c:pt>
                <c:pt idx="680">
                  <c:v>463.906305804436</c:v>
                </c:pt>
                <c:pt idx="681">
                  <c:v>451.915895838574</c:v>
                </c:pt>
                <c:pt idx="682">
                  <c:v>439.871335934541</c:v>
                </c:pt>
                <c:pt idx="683">
                  <c:v>427.773065679462</c:v>
                </c:pt>
                <c:pt idx="684">
                  <c:v>415.621524463177</c:v>
                </c:pt>
                <c:pt idx="685">
                  <c:v>403.417151439141</c:v>
                </c:pt>
                <c:pt idx="686">
                  <c:v>391.160385485683</c:v>
                </c:pt>
                <c:pt idx="687">
                  <c:v>378.85166516763</c:v>
                </c:pt>
                <c:pt idx="688">
                  <c:v>366.491428698306</c:v>
                </c:pt>
                <c:pt idx="689">
                  <c:v>354.080113901908</c:v>
                </c:pt>
                <c:pt idx="690">
                  <c:v>341.618158176255</c:v>
                </c:pt>
                <c:pt idx="691">
                  <c:v>329.105998455927</c:v>
                </c:pt>
                <c:pt idx="692">
                  <c:v>316.544071175794</c:v>
                </c:pt>
                <c:pt idx="693">
                  <c:v>303.932812234928</c:v>
                </c:pt>
                <c:pt idx="694">
                  <c:v>291.272656960917</c:v>
                </c:pt>
                <c:pt idx="695">
                  <c:v>278.564040074579</c:v>
                </c:pt>
                <c:pt idx="696">
                  <c:v>265.807395655074</c:v>
                </c:pt>
                <c:pt idx="697">
                  <c:v>253.003157105422</c:v>
                </c:pt>
                <c:pt idx="698">
                  <c:v>240.151757118433</c:v>
                </c:pt>
                <c:pt idx="699">
                  <c:v>227.253627643042</c:v>
                </c:pt>
                <c:pt idx="700">
                  <c:v>214.309199851066</c:v>
                </c:pt>
                <c:pt idx="701">
                  <c:v>201.31890410437</c:v>
                </c:pt>
                <c:pt idx="702">
                  <c:v>188.28316992246</c:v>
                </c:pt>
                <c:pt idx="703">
                  <c:v>175.202425950486</c:v>
                </c:pt>
                <c:pt idx="704">
                  <c:v>162.077099927684</c:v>
                </c:pt>
                <c:pt idx="705">
                  <c:v>148.907618656229</c:v>
                </c:pt>
                <c:pt idx="706">
                  <c:v>135.694407970526</c:v>
                </c:pt>
                <c:pt idx="707">
                  <c:v>122.437892706922</c:v>
                </c:pt>
                <c:pt idx="708">
                  <c:v>109.138496673859</c:v>
                </c:pt>
                <c:pt idx="709">
                  <c:v>95.7966426224482</c:v>
                </c:pt>
                <c:pt idx="710">
                  <c:v>82.4127522174877</c:v>
                </c:pt>
                <c:pt idx="711">
                  <c:v>68.9872460089085</c:v>
                </c:pt>
                <c:pt idx="712">
                  <c:v>55.5205434036603</c:v>
                </c:pt>
                <c:pt idx="713">
                  <c:v>42.013062638033</c:v>
                </c:pt>
                <c:pt idx="714">
                  <c:v>28.4652207504168</c:v>
                </c:pt>
                <c:pt idx="715">
                  <c:v>14.8774335545002</c:v>
                </c:pt>
                <c:pt idx="716">
                  <c:v>1.25011561290793</c:v>
                </c:pt>
                <c:pt idx="717">
                  <c:v>-12.4163197887221</c:v>
                </c:pt>
                <c:pt idx="718">
                  <c:v>-12.4300056989435</c:v>
                </c:pt>
                <c:pt idx="719">
                  <c:v>-12.4436916476644</c:v>
                </c:pt>
                <c:pt idx="720">
                  <c:v>-12.4573776348846</c:v>
                </c:pt>
                <c:pt idx="721">
                  <c:v>-12.4710636606036</c:v>
                </c:pt>
                <c:pt idx="722">
                  <c:v>-12.484749724821</c:v>
                </c:pt>
                <c:pt idx="723">
                  <c:v>-12.4984358275363</c:v>
                </c:pt>
                <c:pt idx="724">
                  <c:v>-12.5121219687492</c:v>
                </c:pt>
                <c:pt idx="725">
                  <c:v>-12.5258081484593</c:v>
                </c:pt>
                <c:pt idx="726">
                  <c:v>-12.5394943666661</c:v>
                </c:pt>
                <c:pt idx="727">
                  <c:v>-12.5531806233692</c:v>
                </c:pt>
                <c:pt idx="728">
                  <c:v>-12.5668669185683</c:v>
                </c:pt>
                <c:pt idx="729">
                  <c:v>-12.5805532522629</c:v>
                </c:pt>
                <c:pt idx="730">
                  <c:v>-12.5942396244526</c:v>
                </c:pt>
                <c:pt idx="731">
                  <c:v>-12.607926035137</c:v>
                </c:pt>
                <c:pt idx="732">
                  <c:v>-12.6216124843157</c:v>
                </c:pt>
                <c:pt idx="733">
                  <c:v>-12.6352989719883</c:v>
                </c:pt>
                <c:pt idx="734">
                  <c:v>-12.6489854981543</c:v>
                </c:pt>
                <c:pt idx="735">
                  <c:v>-12.6626720628135</c:v>
                </c:pt>
                <c:pt idx="736">
                  <c:v>-12.6763586659653</c:v>
                </c:pt>
                <c:pt idx="737">
                  <c:v>-12.6900453076093</c:v>
                </c:pt>
                <c:pt idx="738">
                  <c:v>-12.7037319877452</c:v>
                </c:pt>
                <c:pt idx="739">
                  <c:v>-12.7174187063725</c:v>
                </c:pt>
                <c:pt idx="740">
                  <c:v>-12.7311054634908</c:v>
                </c:pt>
                <c:pt idx="741">
                  <c:v>-12.7447922590998</c:v>
                </c:pt>
                <c:pt idx="742">
                  <c:v>-12.7584790931989</c:v>
                </c:pt>
                <c:pt idx="743">
                  <c:v>-12.7721659657879</c:v>
                </c:pt>
                <c:pt idx="744">
                  <c:v>-12.7858528768662</c:v>
                </c:pt>
                <c:pt idx="745">
                  <c:v>-12.7995398264336</c:v>
                </c:pt>
                <c:pt idx="746">
                  <c:v>-12.8132268144895</c:v>
                </c:pt>
                <c:pt idx="747">
                  <c:v>-12.8269138410335</c:v>
                </c:pt>
                <c:pt idx="748">
                  <c:v>-12.8406009060653</c:v>
                </c:pt>
                <c:pt idx="749">
                  <c:v>-12.8542880095845</c:v>
                </c:pt>
                <c:pt idx="750">
                  <c:v>-12.8679751515905</c:v>
                </c:pt>
                <c:pt idx="751">
                  <c:v>-12.8816623320831</c:v>
                </c:pt>
                <c:pt idx="752">
                  <c:v>-12.8953495510619</c:v>
                </c:pt>
                <c:pt idx="753">
                  <c:v>-12.9090368085263</c:v>
                </c:pt>
                <c:pt idx="754">
                  <c:v>-12.922724104476</c:v>
                </c:pt>
                <c:pt idx="755">
                  <c:v>-12.9364114389107</c:v>
                </c:pt>
                <c:pt idx="756">
                  <c:v>-12.9500988118298</c:v>
                </c:pt>
                <c:pt idx="757">
                  <c:v>-12.9637862232329</c:v>
                </c:pt>
                <c:pt idx="758">
                  <c:v>-12.9774736731198</c:v>
                </c:pt>
                <c:pt idx="759">
                  <c:v>-12.9911611614899</c:v>
                </c:pt>
                <c:pt idx="760">
                  <c:v>-13.0048486883428</c:v>
                </c:pt>
                <c:pt idx="761">
                  <c:v>-13.0185362536782</c:v>
                </c:pt>
                <c:pt idx="762">
                  <c:v>-13.0322238574956</c:v>
                </c:pt>
                <c:pt idx="763">
                  <c:v>-13.0459114997946</c:v>
                </c:pt>
                <c:pt idx="764">
                  <c:v>-13.0595991805749</c:v>
                </c:pt>
                <c:pt idx="765">
                  <c:v>-13.0732868998359</c:v>
                </c:pt>
                <c:pt idx="766">
                  <c:v>-13.0869746575773</c:v>
                </c:pt>
                <c:pt idx="767">
                  <c:v>-13.1006624537988</c:v>
                </c:pt>
                <c:pt idx="768">
                  <c:v>-13.1143502884998</c:v>
                </c:pt>
                <c:pt idx="769">
                  <c:v>-13.1280381616799</c:v>
                </c:pt>
                <c:pt idx="770">
                  <c:v>-13.1417260733388</c:v>
                </c:pt>
                <c:pt idx="771">
                  <c:v>-13.1554140234761</c:v>
                </c:pt>
                <c:pt idx="772">
                  <c:v>-13.1691020120913</c:v>
                </c:pt>
                <c:pt idx="773">
                  <c:v>-13.1827900391841</c:v>
                </c:pt>
                <c:pt idx="774">
                  <c:v>-13.1964781047539</c:v>
                </c:pt>
                <c:pt idx="775">
                  <c:v>-13.2101662088005</c:v>
                </c:pt>
                <c:pt idx="776">
                  <c:v>-13.2238543513234</c:v>
                </c:pt>
                <c:pt idx="777">
                  <c:v>-13.2375425323222</c:v>
                </c:pt>
                <c:pt idx="778">
                  <c:v>-13.2512307517964</c:v>
                </c:pt>
                <c:pt idx="779">
                  <c:v>-13.2649190097458</c:v>
                </c:pt>
                <c:pt idx="780">
                  <c:v>-13.2786073061698</c:v>
                </c:pt>
                <c:pt idx="781">
                  <c:v>-13.2922956410681</c:v>
                </c:pt>
                <c:pt idx="782">
                  <c:v>-13.3059840144402</c:v>
                </c:pt>
                <c:pt idx="783">
                  <c:v>-13.3196724262858</c:v>
                </c:pt>
                <c:pt idx="784">
                  <c:v>-13.3333608766044</c:v>
                </c:pt>
                <c:pt idx="785">
                  <c:v>-13.3470493653956</c:v>
                </c:pt>
                <c:pt idx="786">
                  <c:v>-13.3607378926591</c:v>
                </c:pt>
                <c:pt idx="787">
                  <c:v>-13.3744264583943</c:v>
                </c:pt>
                <c:pt idx="788">
                  <c:v>-13.388115062601</c:v>
                </c:pt>
                <c:pt idx="789">
                  <c:v>-13.4018037052786</c:v>
                </c:pt>
                <c:pt idx="790">
                  <c:v>-13.4154923864268</c:v>
                </c:pt>
                <c:pt idx="791">
                  <c:v>-13.4291811060452</c:v>
                </c:pt>
                <c:pt idx="792">
                  <c:v>-13.4428698641334</c:v>
                </c:pt>
                <c:pt idx="793">
                  <c:v>-13.4565586606909</c:v>
                </c:pt>
                <c:pt idx="794">
                  <c:v>-13.4702474957174</c:v>
                </c:pt>
                <c:pt idx="795">
                  <c:v>-13.4839363692124</c:v>
                </c:pt>
                <c:pt idx="796">
                  <c:v>-13.4976252811755</c:v>
                </c:pt>
                <c:pt idx="797">
                  <c:v>-13.5113142316064</c:v>
                </c:pt>
                <c:pt idx="798">
                  <c:v>-13.5250032205046</c:v>
                </c:pt>
                <c:pt idx="799">
                  <c:v>-13.5386922478696</c:v>
                </c:pt>
                <c:pt idx="800">
                  <c:v>-13.5523813137012</c:v>
                </c:pt>
                <c:pt idx="801">
                  <c:v>-13.5660704179989</c:v>
                </c:pt>
                <c:pt idx="802">
                  <c:v>-13.5797595607622</c:v>
                </c:pt>
                <c:pt idx="803">
                  <c:v>-13.5934487419908</c:v>
                </c:pt>
                <c:pt idx="804">
                  <c:v>-13.6071379616842</c:v>
                </c:pt>
                <c:pt idx="805">
                  <c:v>-13.6208272198421</c:v>
                </c:pt>
                <c:pt idx="806">
                  <c:v>-13.6345165164641</c:v>
                </c:pt>
                <c:pt idx="807">
                  <c:v>-13.6482058515496</c:v>
                </c:pt>
                <c:pt idx="808">
                  <c:v>-13.6618952250984</c:v>
                </c:pt>
                <c:pt idx="809">
                  <c:v>-13.6755846371101</c:v>
                </c:pt>
                <c:pt idx="810">
                  <c:v>-13.6892740875841</c:v>
                </c:pt>
                <c:pt idx="811">
                  <c:v>-13.7029635765201</c:v>
                </c:pt>
                <c:pt idx="812">
                  <c:v>-13.7166531039177</c:v>
                </c:pt>
                <c:pt idx="813">
                  <c:v>-13.7303426697765</c:v>
                </c:pt>
                <c:pt idx="814">
                  <c:v>-13.7440322740961</c:v>
                </c:pt>
                <c:pt idx="815">
                  <c:v>-13.757721916876</c:v>
                </c:pt>
                <c:pt idx="816">
                  <c:v>-13.7714115981159</c:v>
                </c:pt>
                <c:pt idx="817">
                  <c:v>-13.7851013178153</c:v>
                </c:pt>
                <c:pt idx="818">
                  <c:v>-13.7987910759738</c:v>
                </c:pt>
                <c:pt idx="819">
                  <c:v>-13.8124808725911</c:v>
                </c:pt>
                <c:pt idx="820">
                  <c:v>-13.8261707076667</c:v>
                </c:pt>
                <c:pt idx="821">
                  <c:v>-13.8398605812002</c:v>
                </c:pt>
                <c:pt idx="822">
                  <c:v>-13.8535504931912</c:v>
                </c:pt>
                <c:pt idx="823">
                  <c:v>-13.8672404436393</c:v>
                </c:pt>
                <c:pt idx="824">
                  <c:v>-13.8809304325441</c:v>
                </c:pt>
                <c:pt idx="825">
                  <c:v>-13.8946204599052</c:v>
                </c:pt>
                <c:pt idx="826">
                  <c:v>-13.9083105257221</c:v>
                </c:pt>
                <c:pt idx="827">
                  <c:v>-13.9220006299945</c:v>
                </c:pt>
                <c:pt idx="828">
                  <c:v>-13.9356907727219</c:v>
                </c:pt>
                <c:pt idx="829">
                  <c:v>-13.949380953904</c:v>
                </c:pt>
                <c:pt idx="830">
                  <c:v>-13.9630711735403</c:v>
                </c:pt>
                <c:pt idx="831">
                  <c:v>-13.9767614316305</c:v>
                </c:pt>
                <c:pt idx="832">
                  <c:v>-13.990451728174</c:v>
                </c:pt>
                <c:pt idx="833">
                  <c:v>-14.0041420631705</c:v>
                </c:pt>
                <c:pt idx="834">
                  <c:v>-14.0178324366197</c:v>
                </c:pt>
                <c:pt idx="835">
                  <c:v>-14.031522848521</c:v>
                </c:pt>
                <c:pt idx="836">
                  <c:v>-14.0452132988741</c:v>
                </c:pt>
                <c:pt idx="837">
                  <c:v>-14.0589037876786</c:v>
                </c:pt>
                <c:pt idx="838">
                  <c:v>-14.0725943149341</c:v>
                </c:pt>
                <c:pt idx="839">
                  <c:v>-14.08628488064</c:v>
                </c:pt>
                <c:pt idx="840">
                  <c:v>-14.0999754847962</c:v>
                </c:pt>
                <c:pt idx="841">
                  <c:v>-14.1136661274021</c:v>
                </c:pt>
                <c:pt idx="842">
                  <c:v>-14.1273568084573</c:v>
                </c:pt>
                <c:pt idx="843">
                  <c:v>-14.1410475279614</c:v>
                </c:pt>
                <c:pt idx="844">
                  <c:v>-14.154738285914</c:v>
                </c:pt>
                <c:pt idx="845">
                  <c:v>-14.1684290823147</c:v>
                </c:pt>
                <c:pt idx="846">
                  <c:v>-14.1821199171631</c:v>
                </c:pt>
                <c:pt idx="847">
                  <c:v>-14.1958107904588</c:v>
                </c:pt>
                <c:pt idx="848">
                  <c:v>-14.2095017022014</c:v>
                </c:pt>
                <c:pt idx="849">
                  <c:v>-14.2231926523905</c:v>
                </c:pt>
                <c:pt idx="850">
                  <c:v>-14.2368836410255</c:v>
                </c:pt>
                <c:pt idx="851">
                  <c:v>-14.2505746681063</c:v>
                </c:pt>
                <c:pt idx="852">
                  <c:v>-14.2642657336323</c:v>
                </c:pt>
                <c:pt idx="853">
                  <c:v>-14.2779568376031</c:v>
                </c:pt>
                <c:pt idx="854">
                  <c:v>-14.2916479800183</c:v>
                </c:pt>
                <c:pt idx="855">
                  <c:v>-14.3053391608776</c:v>
                </c:pt>
                <c:pt idx="856">
                  <c:v>-14.3190303801804</c:v>
                </c:pt>
                <c:pt idx="857">
                  <c:v>-14.3327216379265</c:v>
                </c:pt>
                <c:pt idx="858">
                  <c:v>-14.3464129341153</c:v>
                </c:pt>
                <c:pt idx="859">
                  <c:v>-14.3601042687465</c:v>
                </c:pt>
                <c:pt idx="860">
                  <c:v>-14.3737956418197</c:v>
                </c:pt>
                <c:pt idx="861">
                  <c:v>-14.3874870533344</c:v>
                </c:pt>
                <c:pt idx="862">
                  <c:v>-14.4011785032903</c:v>
                </c:pt>
                <c:pt idx="863">
                  <c:v>-14.414869991687</c:v>
                </c:pt>
                <c:pt idx="864">
                  <c:v>-14.428561518524</c:v>
                </c:pt>
                <c:pt idx="865">
                  <c:v>-14.4422530838009</c:v>
                </c:pt>
                <c:pt idx="866">
                  <c:v>-14.4559446875173</c:v>
                </c:pt>
                <c:pt idx="867">
                  <c:v>-14.4696363296728</c:v>
                </c:pt>
                <c:pt idx="868">
                  <c:v>-14.483328010267</c:v>
                </c:pt>
                <c:pt idx="869">
                  <c:v>-14.4970197292995</c:v>
                </c:pt>
                <c:pt idx="870">
                  <c:v>-14.5107114867699</c:v>
                </c:pt>
                <c:pt idx="871">
                  <c:v>-14.5244032826778</c:v>
                </c:pt>
                <c:pt idx="872">
                  <c:v>-14.5380951170228</c:v>
                </c:pt>
                <c:pt idx="873">
                  <c:v>-14.5517869898044</c:v>
                </c:pt>
                <c:pt idx="874">
                  <c:v>-14.5654789010222</c:v>
                </c:pt>
                <c:pt idx="875">
                  <c:v>-14.5791708506759</c:v>
                </c:pt>
                <c:pt idx="876">
                  <c:v>-14.592862838765</c:v>
                </c:pt>
                <c:pt idx="877">
                  <c:v>-14.6065548652891</c:v>
                </c:pt>
                <c:pt idx="878">
                  <c:v>-14.6202469302479</c:v>
                </c:pt>
                <c:pt idx="879">
                  <c:v>-14.6339390336408</c:v>
                </c:pt>
                <c:pt idx="880">
                  <c:v>-14.6476311754676</c:v>
                </c:pt>
                <c:pt idx="881">
                  <c:v>-14.6613233557277</c:v>
                </c:pt>
                <c:pt idx="882">
                  <c:v>-14.6750155744208</c:v>
                </c:pt>
                <c:pt idx="883">
                  <c:v>-14.6887078315465</c:v>
                </c:pt>
                <c:pt idx="884">
                  <c:v>-14.7024001271043</c:v>
                </c:pt>
                <c:pt idx="885">
                  <c:v>-14.7160924610939</c:v>
                </c:pt>
                <c:pt idx="886">
                  <c:v>-14.7297848335149</c:v>
                </c:pt>
                <c:pt idx="887">
                  <c:v>-14.7434772443668</c:v>
                </c:pt>
                <c:pt idx="888">
                  <c:v>-14.7571696936492</c:v>
                </c:pt>
                <c:pt idx="889">
                  <c:v>-14.7708621813617</c:v>
                </c:pt>
                <c:pt idx="890">
                  <c:v>-14.7845547075039</c:v>
                </c:pt>
                <c:pt idx="891">
                  <c:v>-14.7982472720754</c:v>
                </c:pt>
                <c:pt idx="892">
                  <c:v>-14.8119398750759</c:v>
                </c:pt>
                <c:pt idx="893">
                  <c:v>-14.8256325165048</c:v>
                </c:pt>
                <c:pt idx="894">
                  <c:v>-14.8393251963617</c:v>
                </c:pt>
                <c:pt idx="895">
                  <c:v>-14.8530179146464</c:v>
                </c:pt>
                <c:pt idx="896">
                  <c:v>-14.8667106713583</c:v>
                </c:pt>
                <c:pt idx="897">
                  <c:v>-14.880403466497</c:v>
                </c:pt>
                <c:pt idx="898">
                  <c:v>-14.8940963000622</c:v>
                </c:pt>
                <c:pt idx="899">
                  <c:v>-14.9077891720535</c:v>
                </c:pt>
                <c:pt idx="900">
                  <c:v>-14.9214820824703</c:v>
                </c:pt>
                <c:pt idx="901">
                  <c:v>-14.9351750313124</c:v>
                </c:pt>
                <c:pt idx="902">
                  <c:v>-14.9488680185792</c:v>
                </c:pt>
                <c:pt idx="903">
                  <c:v>-14.9625610442705</c:v>
                </c:pt>
                <c:pt idx="904">
                  <c:v>-14.9762541083857</c:v>
                </c:pt>
                <c:pt idx="905">
                  <c:v>-14.9899472109246</c:v>
                </c:pt>
                <c:pt idx="906">
                  <c:v>-15.0036403518866</c:v>
                </c:pt>
                <c:pt idx="907">
                  <c:v>-15.0173335312713</c:v>
                </c:pt>
                <c:pt idx="908">
                  <c:v>-15.0310267490784</c:v>
                </c:pt>
                <c:pt idx="909">
                  <c:v>-15.0447200053075</c:v>
                </c:pt>
                <c:pt idx="910">
                  <c:v>-15.0584132999581</c:v>
                </c:pt>
                <c:pt idx="911">
                  <c:v>-15.0721066330298</c:v>
                </c:pt>
                <c:pt idx="912">
                  <c:v>-15.0858000045222</c:v>
                </c:pt>
                <c:pt idx="913">
                  <c:v>-15.099493414435</c:v>
                </c:pt>
                <c:pt idx="914">
                  <c:v>-15.1131868627676</c:v>
                </c:pt>
                <c:pt idx="915">
                  <c:v>-15.1268803495198</c:v>
                </c:pt>
                <c:pt idx="916">
                  <c:v>-15.140573874691</c:v>
                </c:pt>
                <c:pt idx="917">
                  <c:v>-15.1542674382809</c:v>
                </c:pt>
                <c:pt idx="918">
                  <c:v>-15.1679610402891</c:v>
                </c:pt>
                <c:pt idx="919">
                  <c:v>-15.1816546807151</c:v>
                </c:pt>
                <c:pt idx="920">
                  <c:v>-15.1953483595586</c:v>
                </c:pt>
                <c:pt idx="921">
                  <c:v>-15.2090420768191</c:v>
                </c:pt>
                <c:pt idx="922">
                  <c:v>-15.2227358324963</c:v>
                </c:pt>
                <c:pt idx="923">
                  <c:v>-15.2364296265897</c:v>
                </c:pt>
                <c:pt idx="924">
                  <c:v>-15.2501234590989</c:v>
                </c:pt>
                <c:pt idx="925">
                  <c:v>-15.2638173300235</c:v>
                </c:pt>
                <c:pt idx="926">
                  <c:v>-15.2775112393631</c:v>
                </c:pt>
                <c:pt idx="927">
                  <c:v>-15.2912051871172</c:v>
                </c:pt>
                <c:pt idx="928">
                  <c:v>-15.3048991732856</c:v>
                </c:pt>
                <c:pt idx="929">
                  <c:v>-15.3185931978678</c:v>
                </c:pt>
                <c:pt idx="930">
                  <c:v>-15.3322872608633</c:v>
                </c:pt>
                <c:pt idx="931">
                  <c:v>-15.3459813622717</c:v>
                </c:pt>
                <c:pt idx="932">
                  <c:v>-15.3596755020927</c:v>
                </c:pt>
                <c:pt idx="933">
                  <c:v>-15.3733696803259</c:v>
                </c:pt>
                <c:pt idx="934">
                  <c:v>-15.3870638969708</c:v>
                </c:pt>
                <c:pt idx="935">
                  <c:v>-15.400758152027</c:v>
                </c:pt>
                <c:pt idx="936">
                  <c:v>-15.4144524454941</c:v>
                </c:pt>
                <c:pt idx="937">
                  <c:v>-15.4281467773717</c:v>
                </c:pt>
                <c:pt idx="938">
                  <c:v>-15.4418411476594</c:v>
                </c:pt>
                <c:pt idx="939">
                  <c:v>-15.4555355563568</c:v>
                </c:pt>
                <c:pt idx="940">
                  <c:v>-15.4692300034634</c:v>
                </c:pt>
                <c:pt idx="941">
                  <c:v>-15.482924488979</c:v>
                </c:pt>
                <c:pt idx="942">
                  <c:v>-15.496619012903</c:v>
                </c:pt>
                <c:pt idx="943">
                  <c:v>-15.510313575235</c:v>
                </c:pt>
                <c:pt idx="944">
                  <c:v>-15.5240081759747</c:v>
                </c:pt>
                <c:pt idx="945">
                  <c:v>-15.5377028151217</c:v>
                </c:pt>
                <c:pt idx="946">
                  <c:v>-15.5513974926754</c:v>
                </c:pt>
                <c:pt idx="947">
                  <c:v>-15.5650922086356</c:v>
                </c:pt>
                <c:pt idx="948">
                  <c:v>-15.5787869630018</c:v>
                </c:pt>
                <c:pt idx="949">
                  <c:v>-15.5924817557736</c:v>
                </c:pt>
                <c:pt idx="950">
                  <c:v>-15.6061765869505</c:v>
                </c:pt>
                <c:pt idx="951">
                  <c:v>-15.6198714565323</c:v>
                </c:pt>
                <c:pt idx="952">
                  <c:v>-15.6335663645184</c:v>
                </c:pt>
                <c:pt idx="953">
                  <c:v>-15.6472613109085</c:v>
                </c:pt>
                <c:pt idx="954">
                  <c:v>-15.6609562957022</c:v>
                </c:pt>
                <c:pt idx="955">
                  <c:v>-15.674651318899</c:v>
                </c:pt>
                <c:pt idx="956">
                  <c:v>-15.6883463804985</c:v>
                </c:pt>
                <c:pt idx="957">
                  <c:v>-15.7020414805004</c:v>
                </c:pt>
                <c:pt idx="958">
                  <c:v>-15.7157366189042</c:v>
                </c:pt>
                <c:pt idx="959">
                  <c:v>-15.7294317957095</c:v>
                </c:pt>
                <c:pt idx="960">
                  <c:v>-15.743127010916</c:v>
                </c:pt>
                <c:pt idx="961">
                  <c:v>-15.7568222645231</c:v>
                </c:pt>
                <c:pt idx="962">
                  <c:v>-15.7705175565305</c:v>
                </c:pt>
                <c:pt idx="963">
                  <c:v>-15.7842128869378</c:v>
                </c:pt>
                <c:pt idx="964">
                  <c:v>-15.7979082557445</c:v>
                </c:pt>
                <c:pt idx="965">
                  <c:v>-15.8116036629504</c:v>
                </c:pt>
                <c:pt idx="966">
                  <c:v>-15.8252991085548</c:v>
                </c:pt>
                <c:pt idx="967">
                  <c:v>-15.8389945925576</c:v>
                </c:pt>
                <c:pt idx="968">
                  <c:v>-15.8526901149581</c:v>
                </c:pt>
                <c:pt idx="969">
                  <c:v>-15.8663856757561</c:v>
                </c:pt>
                <c:pt idx="970">
                  <c:v>-15.8800812749511</c:v>
                </c:pt>
                <c:pt idx="971">
                  <c:v>-15.8937769125428</c:v>
                </c:pt>
                <c:pt idx="972">
                  <c:v>-15.9074725885306</c:v>
                </c:pt>
                <c:pt idx="973">
                  <c:v>-15.9211683029142</c:v>
                </c:pt>
                <c:pt idx="974">
                  <c:v>-15.9348640556932</c:v>
                </c:pt>
                <c:pt idx="975">
                  <c:v>-15.9485598468672</c:v>
                </c:pt>
                <c:pt idx="976">
                  <c:v>-15.9622556764358</c:v>
                </c:pt>
                <c:pt idx="977">
                  <c:v>-15.9759515443985</c:v>
                </c:pt>
                <c:pt idx="978">
                  <c:v>-15.989647450755</c:v>
                </c:pt>
                <c:pt idx="979">
                  <c:v>-16.0033433955048</c:v>
                </c:pt>
                <c:pt idx="980">
                  <c:v>-16.0170393786475</c:v>
                </c:pt>
                <c:pt idx="981">
                  <c:v>-16.0307354001828</c:v>
                </c:pt>
                <c:pt idx="982">
                  <c:v>-16.0444314601102</c:v>
                </c:pt>
                <c:pt idx="983">
                  <c:v>-16.0581275584293</c:v>
                </c:pt>
                <c:pt idx="984">
                  <c:v>-16.0718236951397</c:v>
                </c:pt>
                <c:pt idx="985">
                  <c:v>-16.085519870241</c:v>
                </c:pt>
                <c:pt idx="986">
                  <c:v>-16.0992160837328</c:v>
                </c:pt>
                <c:pt idx="987">
                  <c:v>-16.1129123356146</c:v>
                </c:pt>
                <c:pt idx="988">
                  <c:v>-16.1266086258862</c:v>
                </c:pt>
                <c:pt idx="989">
                  <c:v>-16.1403049545469</c:v>
                </c:pt>
                <c:pt idx="990">
                  <c:v>-16.1540013215966</c:v>
                </c:pt>
                <c:pt idx="991">
                  <c:v>-16.1676977270346</c:v>
                </c:pt>
                <c:pt idx="992">
                  <c:v>-16.1813941708607</c:v>
                </c:pt>
                <c:pt idx="993">
                  <c:v>-16.1950906530745</c:v>
                </c:pt>
                <c:pt idx="994">
                  <c:v>-16.2087871736754</c:v>
                </c:pt>
                <c:pt idx="995">
                  <c:v>-16.2224837326632</c:v>
                </c:pt>
                <c:pt idx="996">
                  <c:v>-16.2361803300373</c:v>
                </c:pt>
                <c:pt idx="997">
                  <c:v>-16.2498769657974</c:v>
                </c:pt>
                <c:pt idx="998">
                  <c:v>-16.2635736399432</c:v>
                </c:pt>
                <c:pt idx="999">
                  <c:v>-16.2772703524741</c:v>
                </c:pt>
                <c:pt idx="1000">
                  <c:v>-16.2909671033897</c:v>
                </c:pt>
              </c:numCache>
            </c:numRef>
          </c:yVal>
          <c:smooth val="1"/>
        </c:ser>
        <c:ser>
          <c:idx val="3"/>
          <c:order val="3"/>
          <c:tx>
            <c:strRef>
              <c:f>Trajecto!$B$109</c:f>
              <c:strCache>
                <c:ptCount val="1"/>
                <c:pt idx="0">
                  <c:v/>
                </c:pt>
              </c:strCache>
            </c:strRef>
          </c:tx>
          <c:spPr>
            <a:solidFill>
              <a:srgbClr val="ff6600"/>
            </a:solidFill>
            <a:ln w="25560">
              <a:solidFill>
                <a:srgbClr val="ff6600"/>
              </a:solidFill>
              <a:round/>
            </a:ln>
          </c:spPr>
          <c:marker>
            <c:symbol val="none"/>
          </c:marker>
          <c:dPt>
            <c:idx val="1"/>
            <c:marker>
              <c:symbol val="none"/>
            </c:marker>
          </c:dPt>
          <c:dLbls>
            <c:dLbl>
              <c:idx val="1"/>
              <c:txPr>
                <a:bodyPr wrap="square"/>
                <a:lstStyle/>
                <a:p>
                  <a:pPr>
                    <a:defRPr b="1" sz="700" spc="-1" strike="noStrike">
                      <a:solidFill>
                        <a:srgbClr val="ff66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Trajecto!$B$140:$B$146</c:f>
              <c:numCache>
                <c:formatCode>General</c:formatCode>
                <c:ptCount val="7"/>
                <c:pt idx="0">
                  <c:v>0</c:v>
                </c:pt>
                <c:pt idx="1">
                  <c:v>0</c:v>
                </c:pt>
                <c:pt idx="2">
                  <c:v>0</c:v>
                </c:pt>
                <c:pt idx="3">
                  <c:v>0</c:v>
                </c:pt>
                <c:pt idx="4">
                  <c:v>0</c:v>
                </c:pt>
                <c:pt idx="5">
                  <c:v>0</c:v>
                </c:pt>
                <c:pt idx="6">
                  <c:v>0</c:v>
                </c:pt>
              </c:numCache>
            </c:numRef>
          </c:xVal>
          <c:yVal>
            <c:numRef>
              <c:f>Trajecto!$C$138:$C$144</c:f>
              <c:numCache>
                <c:formatCode>General</c:formatCode>
                <c:ptCount val="7"/>
                <c:pt idx="0">
                  <c:v>0</c:v>
                </c:pt>
                <c:pt idx="1">
                  <c:v>0</c:v>
                </c:pt>
                <c:pt idx="2">
                  <c:v>0</c:v>
                </c:pt>
                <c:pt idx="3">
                  <c:v>0</c:v>
                </c:pt>
                <c:pt idx="4">
                  <c:v>0</c:v>
                </c:pt>
                <c:pt idx="5">
                  <c:v>0</c:v>
                </c:pt>
                <c:pt idx="6">
                  <c:v>0</c:v>
                </c:pt>
              </c:numCache>
            </c:numRef>
          </c:yVal>
          <c:smooth val="1"/>
        </c:ser>
        <c:ser>
          <c:idx val="4"/>
          <c:order val="4"/>
          <c:tx>
            <c:strRef>
              <c:f>Trajecto!$B$106</c:f>
              <c:strCache>
                <c:ptCount val="1"/>
                <c:pt idx="0">
                  <c:v>Phase ascendante</c:v>
                </c:pt>
              </c:strCache>
            </c:strRef>
          </c:tx>
          <c:spPr>
            <a:solidFill>
              <a:srgbClr val="000080"/>
            </a:solidFill>
            <a:ln w="25560">
              <a:solidFill>
                <a:srgbClr val="00008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Calculs!$J$4:$J$1004</c:f>
              <c:numCache>
                <c:formatCode>General</c:formatCode>
                <c:ptCount val="1001"/>
                <c:pt idx="0">
                  <c:v>0</c:v>
                </c:pt>
                <c:pt idx="1">
                  <c:v>0</c:v>
                </c:pt>
                <c:pt idx="2">
                  <c:v>0.000156319369098837</c:v>
                </c:pt>
                <c:pt idx="3">
                  <c:v>0.000785503265228458</c:v>
                </c:pt>
                <c:pt idx="4">
                  <c:v>0.00220812882059278</c:v>
                </c:pt>
                <c:pt idx="5">
                  <c:v>0.00474506798217722</c:v>
                </c:pt>
                <c:pt idx="6">
                  <c:v>0.00863640384471691</c:v>
                </c:pt>
                <c:pt idx="7">
                  <c:v>0.0139601634588169</c:v>
                </c:pt>
                <c:pt idx="8">
                  <c:v>0.0207132703400663</c:v>
                </c:pt>
                <c:pt idx="9">
                  <c:v>0.028892636816223</c:v>
                </c:pt>
                <c:pt idx="10">
                  <c:v>0.0384951640652156</c:v>
                </c:pt>
                <c:pt idx="11">
                  <c:v>0.0495177421534332</c:v>
                </c:pt>
                <c:pt idx="12">
                  <c:v>0.061957250074301</c:v>
                </c:pt>
                <c:pt idx="13">
                  <c:v>0.0758105557871398</c:v>
                </c:pt>
                <c:pt idx="14">
                  <c:v>0.0910745162563058</c:v>
                </c:pt>
                <c:pt idx="15">
                  <c:v>0.107745977490611</c:v>
                </c:pt>
                <c:pt idx="16">
                  <c:v>0.125821774583017</c:v>
                </c:pt>
                <c:pt idx="17">
                  <c:v>0.145298731750608</c:v>
                </c:pt>
                <c:pt idx="18">
                  <c:v>0.166173662374833</c:v>
                </c:pt>
                <c:pt idx="19">
                  <c:v>0.188443369042015</c:v>
                </c:pt>
                <c:pt idx="20">
                  <c:v>0.212104643584133</c:v>
                </c:pt>
                <c:pt idx="21">
                  <c:v>0.237154267119864</c:v>
                </c:pt>
                <c:pt idx="22">
                  <c:v>0.263589010095892</c:v>
                </c:pt>
                <c:pt idx="23">
                  <c:v>0.291405632328471</c:v>
                </c:pt>
                <c:pt idx="24">
                  <c:v>0.320600883045251</c:v>
                </c:pt>
                <c:pt idx="25">
                  <c:v>0.351171500927361</c:v>
                </c:pt>
                <c:pt idx="26">
                  <c:v>0.383114214151732</c:v>
                </c:pt>
                <c:pt idx="27">
                  <c:v>0.416425740433687</c:v>
                </c:pt>
                <c:pt idx="28">
                  <c:v>0.451102787069768</c:v>
                </c:pt>
                <c:pt idx="29">
                  <c:v>0.48714205098081</c:v>
                </c:pt>
                <c:pt idx="30">
                  <c:v>0.52454021875526</c:v>
                </c:pt>
                <c:pt idx="31">
                  <c:v>0.563293966692735</c:v>
                </c:pt>
                <c:pt idx="32">
                  <c:v>0.603399960847816</c:v>
                </c:pt>
                <c:pt idx="33">
                  <c:v>0.644854857074079</c:v>
                </c:pt>
                <c:pt idx="34">
                  <c:v>0.687655301068359</c:v>
                </c:pt>
                <c:pt idx="35">
                  <c:v>0.731797928415239</c:v>
                </c:pt>
                <c:pt idx="36">
                  <c:v>0.777363281634927</c:v>
                </c:pt>
                <c:pt idx="37">
                  <c:v>0.824434582159027</c:v>
                </c:pt>
                <c:pt idx="38">
                  <c:v>0.873013773679456</c:v>
                </c:pt>
                <c:pt idx="39">
                  <c:v>0.923102674770925</c:v>
                </c:pt>
                <c:pt idx="40">
                  <c:v>0.974702946838359</c:v>
                </c:pt>
                <c:pt idx="41">
                  <c:v>1.02781610127982</c:v>
                </c:pt>
                <c:pt idx="42">
                  <c:v>1.08244350610953</c:v>
                </c:pt>
                <c:pt idx="43">
                  <c:v>1.13858639209483</c:v>
                </c:pt>
                <c:pt idx="44">
                  <c:v>1.19624585845474</c:v>
                </c:pt>
                <c:pt idx="45">
                  <c:v>1.25542287816145</c:v>
                </c:pt>
                <c:pt idx="46">
                  <c:v>1.31611830288181</c:v>
                </c:pt>
                <c:pt idx="47">
                  <c:v>1.37833286759146</c:v>
                </c:pt>
                <c:pt idx="48">
                  <c:v>1.44206719489041</c:v>
                </c:pt>
                <c:pt idx="49">
                  <c:v>1.50732179904601</c:v>
                </c:pt>
                <c:pt idx="50">
                  <c:v>1.57409708978645</c:v>
                </c:pt>
                <c:pt idx="51">
                  <c:v>1.64239382245908</c:v>
                </c:pt>
                <c:pt idx="52">
                  <c:v>1.71221355201921</c:v>
                </c:pt>
                <c:pt idx="53">
                  <c:v>1.78355819490707</c:v>
                </c:pt>
                <c:pt idx="54">
                  <c:v>1.85642958654701</c:v>
                </c:pt>
                <c:pt idx="55">
                  <c:v>1.93082948385691</c:v>
                </c:pt>
                <c:pt idx="56">
                  <c:v>2.00675956762325</c:v>
                </c:pt>
                <c:pt idx="57">
                  <c:v>2.08422144475138</c:v>
                </c:pt>
                <c:pt idx="58">
                  <c:v>2.16321665039985</c:v>
                </c:pt>
                <c:pt idx="59">
                  <c:v>2.24374665000667</c:v>
                </c:pt>
                <c:pt idx="60">
                  <c:v>2.32581284121508</c:v>
                </c:pt>
                <c:pt idx="61">
                  <c:v>2.40941655570528</c:v>
                </c:pt>
                <c:pt idx="62">
                  <c:v>2.49455906093845</c:v>
                </c:pt>
                <c:pt idx="63">
                  <c:v>2.58124156181876</c:v>
                </c:pt>
                <c:pt idx="64">
                  <c:v>2.66946520227836</c:v>
                </c:pt>
                <c:pt idx="65">
                  <c:v>2.75923106679048</c:v>
                </c:pt>
                <c:pt idx="66">
                  <c:v>2.85054018181477</c:v>
                </c:pt>
                <c:pt idx="67">
                  <c:v>2.94339351717912</c:v>
                </c:pt>
                <c:pt idx="68">
                  <c:v>3.03779198740185</c:v>
                </c:pt>
                <c:pt idx="69">
                  <c:v>3.13373645295748</c:v>
                </c:pt>
                <c:pt idx="70">
                  <c:v>3.23122772148971</c:v>
                </c:pt>
                <c:pt idx="71">
                  <c:v>3.33026654897431</c:v>
                </c:pt>
                <c:pt idx="72">
                  <c:v>3.43085364083492</c:v>
                </c:pt>
                <c:pt idx="73">
                  <c:v>3.53298965301432</c:v>
                </c:pt>
                <c:pt idx="74">
                  <c:v>3.6366751930036</c:v>
                </c:pt>
                <c:pt idx="75">
                  <c:v>3.74191082083149</c:v>
                </c:pt>
                <c:pt idx="76">
                  <c:v>3.84869705001598</c:v>
                </c:pt>
                <c:pt idx="77">
                  <c:v>3.95703434848027</c:v>
                </c:pt>
                <c:pt idx="78">
                  <c:v>4.06692313943477</c:v>
                </c:pt>
                <c:pt idx="79">
                  <c:v>4.17836380222698</c:v>
                </c:pt>
                <c:pt idx="80">
                  <c:v>4.2913566731609</c:v>
                </c:pt>
                <c:pt idx="81">
                  <c:v>4.40590204628737</c:v>
                </c:pt>
                <c:pt idx="82">
                  <c:v>4.52200017416689</c:v>
                </c:pt>
                <c:pt idx="83">
                  <c:v>4.63965126860619</c:v>
                </c:pt>
                <c:pt idx="84">
                  <c:v>4.75885550136986</c:v>
                </c:pt>
                <c:pt idx="85">
                  <c:v>4.87961300486815</c:v>
                </c:pt>
                <c:pt idx="86">
                  <c:v>5.00192387282218</c:v>
                </c:pt>
                <c:pt idx="87">
                  <c:v>5.12578816090742</c:v>
                </c:pt>
                <c:pt idx="88">
                  <c:v>5.25120588737671</c:v>
                </c:pt>
                <c:pt idx="89">
                  <c:v>5.37817703366344</c:v>
                </c:pt>
                <c:pt idx="90">
                  <c:v>5.50670154496601</c:v>
                </c:pt>
                <c:pt idx="91">
                  <c:v>5.6367793308143</c:v>
                </c:pt>
                <c:pt idx="92">
                  <c:v>5.76841026561897</c:v>
                </c:pt>
                <c:pt idx="93">
                  <c:v>5.90159418920428</c:v>
                </c:pt>
                <c:pt idx="94">
                  <c:v>6.03633090732527</c:v>
                </c:pt>
                <c:pt idx="95">
                  <c:v>6.17262019216975</c:v>
                </c:pt>
                <c:pt idx="96">
                  <c:v>6.310461782846</c:v>
                </c:pt>
                <c:pt idx="97">
                  <c:v>6.44985538585653</c:v>
                </c:pt>
                <c:pt idx="98">
                  <c:v>6.59080067555864</c:v>
                </c:pt>
                <c:pt idx="99">
                  <c:v>6.73329729461225</c:v>
                </c:pt>
                <c:pt idx="100">
                  <c:v>6.87734485441551</c:v>
                </c:pt>
                <c:pt idx="101">
                  <c:v>7.02294271060805</c:v>
                </c:pt>
                <c:pt idx="102">
                  <c:v>7.17008973742381</c:v>
                </c:pt>
                <c:pt idx="103">
                  <c:v>7.31878455152108</c:v>
                </c:pt>
                <c:pt idx="104">
                  <c:v>7.46902573696642</c:v>
                </c:pt>
                <c:pt idx="105">
                  <c:v>7.62081184566592</c:v>
                </c:pt>
                <c:pt idx="106">
                  <c:v>7.77414139778557</c:v>
                </c:pt>
                <c:pt idx="107">
                  <c:v>7.9290128821613</c:v>
                </c:pt>
                <c:pt idx="108">
                  <c:v>8.08542475669892</c:v>
                </c:pt>
                <c:pt idx="109">
                  <c:v>8.24337544876452</c:v>
                </c:pt>
                <c:pt idx="110">
                  <c:v>8.40286335556552</c:v>
                </c:pt>
                <c:pt idx="111">
                  <c:v>8.56388684452285</c:v>
                </c:pt>
                <c:pt idx="112">
                  <c:v>8.72644425363445</c:v>
                </c:pt>
                <c:pt idx="113">
                  <c:v>8.89053389183063</c:v>
                </c:pt>
                <c:pt idx="114">
                  <c:v>9.05615403932126</c:v>
                </c:pt>
                <c:pt idx="115">
                  <c:v>9.22330294793541</c:v>
                </c:pt>
                <c:pt idx="116">
                  <c:v>9.39197884145347</c:v>
                </c:pt>
                <c:pt idx="117">
                  <c:v>9.56217991593213</c:v>
                </c:pt>
                <c:pt idx="118">
                  <c:v>9.73390434002247</c:v>
                </c:pt>
                <c:pt idx="119">
                  <c:v>9.90715025528132</c:v>
                </c:pt>
                <c:pt idx="120">
                  <c:v>10.0819157764762</c:v>
                </c:pt>
                <c:pt idx="121">
                  <c:v>10.258198991884</c:v>
                </c:pt>
                <c:pt idx="122">
                  <c:v>10.4359979635838</c:v>
                </c:pt>
                <c:pt idx="123">
                  <c:v>10.6153107277435</c:v>
                </c:pt>
                <c:pt idx="124">
                  <c:v>10.7961352949011</c:v>
                </c:pt>
                <c:pt idx="125">
                  <c:v>10.9784696502408</c:v>
                </c:pt>
                <c:pt idx="126">
                  <c:v>11.1623117538629</c:v>
                </c:pt>
                <c:pt idx="127">
                  <c:v>11.3476595410498</c:v>
                </c:pt>
                <c:pt idx="128">
                  <c:v>11.5345109225264</c:v>
                </c:pt>
                <c:pt idx="129">
                  <c:v>11.7228637847152</c:v>
                </c:pt>
                <c:pt idx="130">
                  <c:v>11.9127159899883</c:v>
                </c:pt>
                <c:pt idx="131">
                  <c:v>12.1040653769132</c:v>
                </c:pt>
                <c:pt idx="132">
                  <c:v>12.2969097604956</c:v>
                </c:pt>
                <c:pt idx="133">
                  <c:v>12.4912469324169</c:v>
                </c:pt>
                <c:pt idx="134">
                  <c:v>12.6870746612688</c:v>
                </c:pt>
                <c:pt idx="135">
                  <c:v>12.8843906927826</c:v>
                </c:pt>
                <c:pt idx="136">
                  <c:v>13.0831927500559</c:v>
                </c:pt>
                <c:pt idx="137">
                  <c:v>13.2834785337745</c:v>
                </c:pt>
                <c:pt idx="138">
                  <c:v>13.4852457224317</c:v>
                </c:pt>
                <c:pt idx="139">
                  <c:v>13.6884919725432</c:v>
                </c:pt>
                <c:pt idx="140">
                  <c:v>13.8932149188592</c:v>
                </c:pt>
                <c:pt idx="141">
                  <c:v>14.0994121745728</c:v>
                </c:pt>
                <c:pt idx="142">
                  <c:v>14.3070813315253</c:v>
                </c:pt>
                <c:pt idx="143">
                  <c:v>14.5162199604086</c:v>
                </c:pt>
                <c:pt idx="144">
                  <c:v>14.7268256109642</c:v>
                </c:pt>
                <c:pt idx="145">
                  <c:v>14.9388958121795</c:v>
                </c:pt>
                <c:pt idx="146">
                  <c:v>15.152428072481</c:v>
                </c:pt>
                <c:pt idx="147">
                  <c:v>15.3674198799249</c:v>
                </c:pt>
                <c:pt idx="148">
                  <c:v>15.583868702385</c:v>
                </c:pt>
                <c:pt idx="149">
                  <c:v>15.8017719877378</c:v>
                </c:pt>
                <c:pt idx="150">
                  <c:v>16.021127164045</c:v>
                </c:pt>
                <c:pt idx="151">
                  <c:v>16.2419317203982</c:v>
                </c:pt>
                <c:pt idx="152">
                  <c:v>16.4641832880456</c:v>
                </c:pt>
                <c:pt idx="153">
                  <c:v>16.6878795602628</c:v>
                </c:pt>
                <c:pt idx="154">
                  <c:v>16.9130182119319</c:v>
                </c:pt>
                <c:pt idx="155">
                  <c:v>17.1395968997011</c:v>
                </c:pt>
                <c:pt idx="156">
                  <c:v>17.3676132621437</c:v>
                </c:pt>
                <c:pt idx="157">
                  <c:v>17.5970649199137</c:v>
                </c:pt>
                <c:pt idx="158">
                  <c:v>17.8279494759007</c:v>
                </c:pt>
                <c:pt idx="159">
                  <c:v>18.0602645153814</c:v>
                </c:pt>
                <c:pt idx="160">
                  <c:v>18.2940076061707</c:v>
                </c:pt>
                <c:pt idx="161">
                  <c:v>18.5291762987702</c:v>
                </c:pt>
                <c:pt idx="162">
                  <c:v>18.765768126515</c:v>
                </c:pt>
                <c:pt idx="163">
                  <c:v>19.0037806057188</c:v>
                </c:pt>
                <c:pt idx="164">
                  <c:v>19.2432112358174</c:v>
                </c:pt>
                <c:pt idx="165">
                  <c:v>19.4840574995105</c:v>
                </c:pt>
                <c:pt idx="166">
                  <c:v>19.7263168629019</c:v>
                </c:pt>
                <c:pt idx="167">
                  <c:v>19.9699867756381</c:v>
                </c:pt>
                <c:pt idx="168">
                  <c:v>20.2150646710451</c:v>
                </c:pt>
                <c:pt idx="169">
                  <c:v>20.4615479662643</c:v>
                </c:pt>
                <c:pt idx="170">
                  <c:v>20.7094340623865</c:v>
                </c:pt>
                <c:pt idx="171">
                  <c:v>20.9587203445843</c:v>
                </c:pt>
                <c:pt idx="172">
                  <c:v>21.2094041822436</c:v>
                </c:pt>
                <c:pt idx="173">
                  <c:v>21.4614829290933</c:v>
                </c:pt>
                <c:pt idx="174">
                  <c:v>21.714953923334</c:v>
                </c:pt>
                <c:pt idx="175">
                  <c:v>21.9698144877648</c:v>
                </c:pt>
                <c:pt idx="176">
                  <c:v>22.2260619299098</c:v>
                </c:pt>
                <c:pt idx="177">
                  <c:v>22.4836935421421</c:v>
                </c:pt>
                <c:pt idx="178">
                  <c:v>22.7427066018075</c:v>
                </c:pt>
                <c:pt idx="179">
                  <c:v>23.003098371347</c:v>
                </c:pt>
                <c:pt idx="180">
                  <c:v>23.2648660984172</c:v>
                </c:pt>
                <c:pt idx="181">
                  <c:v>23.5280070160106</c:v>
                </c:pt>
                <c:pt idx="182">
                  <c:v>23.7925183425742</c:v>
                </c:pt>
                <c:pt idx="183">
                  <c:v>24.058397282127</c:v>
                </c:pt>
                <c:pt idx="184">
                  <c:v>24.3256410243766</c:v>
                </c:pt>
                <c:pt idx="185">
                  <c:v>24.5942467448348</c:v>
                </c:pt>
                <c:pt idx="186">
                  <c:v>24.8642116049317</c:v>
                </c:pt>
                <c:pt idx="187">
                  <c:v>25.1355327521292</c:v>
                </c:pt>
                <c:pt idx="188">
                  <c:v>25.4082073200335</c:v>
                </c:pt>
                <c:pt idx="189">
                  <c:v>25.6822324285062</c:v>
                </c:pt>
                <c:pt idx="190">
                  <c:v>25.9576051837748</c:v>
                </c:pt>
                <c:pt idx="191">
                  <c:v>26.2343226785423</c:v>
                </c:pt>
                <c:pt idx="192">
                  <c:v>26.5123819920955</c:v>
                </c:pt>
                <c:pt idx="193">
                  <c:v>26.7917801904128</c:v>
                </c:pt>
                <c:pt idx="194">
                  <c:v>27.0725143262706</c:v>
                </c:pt>
                <c:pt idx="195">
                  <c:v>27.3545814393494</c:v>
                </c:pt>
                <c:pt idx="196">
                  <c:v>27.6379785563386</c:v>
                </c:pt>
                <c:pt idx="197">
                  <c:v>27.9227026910405</c:v>
                </c:pt>
                <c:pt idx="198">
                  <c:v>28.2087508444738</c:v>
                </c:pt>
                <c:pt idx="199">
                  <c:v>28.4961200049757</c:v>
                </c:pt>
                <c:pt idx="200">
                  <c:v>28.7848071483038</c:v>
                </c:pt>
                <c:pt idx="201">
                  <c:v>29.0748092377366</c:v>
                </c:pt>
                <c:pt idx="202">
                  <c:v>29.3661232241738</c:v>
                </c:pt>
                <c:pt idx="203">
                  <c:v>29.6587460462355</c:v>
                </c:pt>
                <c:pt idx="204">
                  <c:v>29.9526746303606</c:v>
                </c:pt>
                <c:pt idx="205">
                  <c:v>30.2479058909045</c:v>
                </c:pt>
                <c:pt idx="206">
                  <c:v>30.5444367302363</c:v>
                </c:pt>
                <c:pt idx="207">
                  <c:v>30.8422640388349</c:v>
                </c:pt>
                <c:pt idx="208">
                  <c:v>31.1413846953849</c:v>
                </c:pt>
                <c:pt idx="209">
                  <c:v>31.4417955668709</c:v>
                </c:pt>
                <c:pt idx="210">
                  <c:v>31.7434935086722</c:v>
                </c:pt>
                <c:pt idx="211">
                  <c:v>32.0464753646563</c:v>
                </c:pt>
                <c:pt idx="212">
                  <c:v>32.3507379672712</c:v>
                </c:pt>
                <c:pt idx="213">
                  <c:v>32.6562781376382</c:v>
                </c:pt>
                <c:pt idx="214">
                  <c:v>32.9630926856432</c:v>
                </c:pt>
                <c:pt idx="215">
                  <c:v>33.2711784100273</c:v>
                </c:pt>
                <c:pt idx="216">
                  <c:v>33.5805320984775</c:v>
                </c:pt>
                <c:pt idx="217">
                  <c:v>33.891150527716</c:v>
                </c:pt>
                <c:pt idx="218">
                  <c:v>34.2030304635895</c:v>
                </c:pt>
                <c:pt idx="219">
                  <c:v>34.5161686611572</c:v>
                </c:pt>
                <c:pt idx="220">
                  <c:v>34.830561864779</c:v>
                </c:pt>
                <c:pt idx="221">
                  <c:v>35.1462068082025</c:v>
                </c:pt>
                <c:pt idx="222">
                  <c:v>35.4631002146495</c:v>
                </c:pt>
                <c:pt idx="223">
                  <c:v>35.7812387969026</c:v>
                </c:pt>
                <c:pt idx="224">
                  <c:v>36.10061925739</c:v>
                </c:pt>
                <c:pt idx="225">
                  <c:v>36.4212382882709</c:v>
                </c:pt>
                <c:pt idx="226">
                  <c:v>36.7430925715195</c:v>
                </c:pt>
                <c:pt idx="227">
                  <c:v>37.0661787790092</c:v>
                </c:pt>
                <c:pt idx="228">
                  <c:v>37.3904935725957</c:v>
                </c:pt>
                <c:pt idx="229">
                  <c:v>37.7160336041997</c:v>
                </c:pt>
                <c:pt idx="230">
                  <c:v>38.0427955158891</c:v>
                </c:pt>
                <c:pt idx="231">
                  <c:v>38.3707759399609</c:v>
                </c:pt>
                <c:pt idx="232">
                  <c:v>38.699971499022</c:v>
                </c:pt>
                <c:pt idx="233">
                  <c:v>39.0303788060704</c:v>
                </c:pt>
                <c:pt idx="234">
                  <c:v>39.3619944645748</c:v>
                </c:pt>
                <c:pt idx="235">
                  <c:v>39.6948150685547</c:v>
                </c:pt>
                <c:pt idx="236">
                  <c:v>40.0288372026592</c:v>
                </c:pt>
                <c:pt idx="237">
                  <c:v>40.3640574422459</c:v>
                </c:pt>
                <c:pt idx="238">
                  <c:v>40.7004723534592</c:v>
                </c:pt>
                <c:pt idx="239">
                  <c:v>41.0380784933077</c:v>
                </c:pt>
                <c:pt idx="240">
                  <c:v>41.3768724097417</c:v>
                </c:pt>
                <c:pt idx="241">
                  <c:v>41.7168506417298</c:v>
                </c:pt>
                <c:pt idx="242">
                  <c:v>42.0580097193352</c:v>
                </c:pt>
                <c:pt idx="243">
                  <c:v>42.4003461637918</c:v>
                </c:pt>
                <c:pt idx="244">
                  <c:v>42.7438564875793</c:v>
                </c:pt>
                <c:pt idx="245">
                  <c:v>43.0885371944981</c:v>
                </c:pt>
                <c:pt idx="246">
                  <c:v>43.4343847797442</c:v>
                </c:pt>
                <c:pt idx="247">
                  <c:v>43.7813957299826</c:v>
                </c:pt>
                <c:pt idx="248">
                  <c:v>44.1295665234217</c:v>
                </c:pt>
                <c:pt idx="249">
                  <c:v>44.4788936298855</c:v>
                </c:pt>
                <c:pt idx="250">
                  <c:v>44.8293735108873</c:v>
                </c:pt>
                <c:pt idx="251">
                  <c:v>45.181002246468</c:v>
                </c:pt>
                <c:pt idx="252">
                  <c:v>45.5337751612822</c:v>
                </c:pt>
                <c:pt idx="253">
                  <c:v>45.8876871970809</c:v>
                </c:pt>
                <c:pt idx="254">
                  <c:v>46.2427332859609</c:v>
                </c:pt>
                <c:pt idx="255">
                  <c:v>46.5989083504641</c:v>
                </c:pt>
                <c:pt idx="256">
                  <c:v>46.9562073036758</c:v>
                </c:pt>
                <c:pt idx="257">
                  <c:v>47.3146250493218</c:v>
                </c:pt>
                <c:pt idx="258">
                  <c:v>47.6741564818659</c:v>
                </c:pt>
                <c:pt idx="259">
                  <c:v>48.0347964866059</c:v>
                </c:pt>
                <c:pt idx="260">
                  <c:v>48.3965399397692</c:v>
                </c:pt>
                <c:pt idx="261">
                  <c:v>48.7593817086083</c:v>
                </c:pt>
                <c:pt idx="262">
                  <c:v>49.1233166514942</c:v>
                </c:pt>
                <c:pt idx="263">
                  <c:v>49.4883396180111</c:v>
                </c:pt>
                <c:pt idx="264">
                  <c:v>49.8544454490491</c:v>
                </c:pt>
                <c:pt idx="265">
                  <c:v>50.2216289768963</c:v>
                </c:pt>
                <c:pt idx="266">
                  <c:v>50.5898850253314</c:v>
                </c:pt>
                <c:pt idx="267">
                  <c:v>50.9592084097141</c:v>
                </c:pt>
                <c:pt idx="268">
                  <c:v>51.3295939370766</c:v>
                </c:pt>
                <c:pt idx="269">
                  <c:v>51.7010364062126</c:v>
                </c:pt>
                <c:pt idx="270">
                  <c:v>52.0735306077675</c:v>
                </c:pt>
                <c:pt idx="271">
                  <c:v>52.4470713243267</c:v>
                </c:pt>
                <c:pt idx="272">
                  <c:v>52.8216533305041</c:v>
                </c:pt>
                <c:pt idx="273">
                  <c:v>53.1972713930293</c:v>
                </c:pt>
                <c:pt idx="274">
                  <c:v>53.5739202708349</c:v>
                </c:pt>
                <c:pt idx="275">
                  <c:v>53.9515947151427</c:v>
                </c:pt>
                <c:pt idx="276">
                  <c:v>54.3302894695496</c:v>
                </c:pt>
                <c:pt idx="277">
                  <c:v>54.7099992701128</c:v>
                </c:pt>
                <c:pt idx="278">
                  <c:v>55.0907188454341</c:v>
                </c:pt>
                <c:pt idx="279">
                  <c:v>55.4724429167446</c:v>
                </c:pt>
                <c:pt idx="280">
                  <c:v>55.8551661979875</c:v>
                </c:pt>
                <c:pt idx="281">
                  <c:v>56.2388833959014</c:v>
                </c:pt>
                <c:pt idx="282">
                  <c:v>56.6235892101024</c:v>
                </c:pt>
                <c:pt idx="283">
                  <c:v>57.009278333166</c:v>
                </c:pt>
                <c:pt idx="284">
                  <c:v>57.395945450708</c:v>
                </c:pt>
                <c:pt idx="285">
                  <c:v>57.7835852414655</c:v>
                </c:pt>
                <c:pt idx="286">
                  <c:v>58.1721923773766</c:v>
                </c:pt>
                <c:pt idx="287">
                  <c:v>58.56176152366</c:v>
                </c:pt>
                <c:pt idx="288">
                  <c:v>58.9522873388941</c:v>
                </c:pt>
                <c:pt idx="289">
                  <c:v>59.343764475095</c:v>
                </c:pt>
                <c:pt idx="290">
                  <c:v>59.7361875777947</c:v>
                </c:pt>
                <c:pt idx="291">
                  <c:v>60.129551286118</c:v>
                </c:pt>
                <c:pt idx="292">
                  <c:v>60.5238502328595</c:v>
                </c:pt>
                <c:pt idx="293">
                  <c:v>60.9190790445596</c:v>
                </c:pt>
                <c:pt idx="294">
                  <c:v>61.3152323415801</c:v>
                </c:pt>
                <c:pt idx="295">
                  <c:v>61.7123047381795</c:v>
                </c:pt>
                <c:pt idx="296">
                  <c:v>62.1102908425873</c:v>
                </c:pt>
                <c:pt idx="297">
                  <c:v>62.5091852570779</c:v>
                </c:pt>
                <c:pt idx="298">
                  <c:v>62.9089783746437</c:v>
                </c:pt>
                <c:pt idx="299">
                  <c:v>63.3096521693557</c:v>
                </c:pt>
                <c:pt idx="300">
                  <c:v>63.7111843939904</c:v>
                </c:pt>
                <c:pt idx="301">
                  <c:v>64.1135527841856</c:v>
                </c:pt>
                <c:pt idx="302">
                  <c:v>64.5167350589476</c:v>
                </c:pt>
                <c:pt idx="303">
                  <c:v>64.9207089211518</c:v>
                </c:pt>
                <c:pt idx="304">
                  <c:v>65.3254520580354</c:v>
                </c:pt>
                <c:pt idx="305">
                  <c:v>65.7309421416846</c:v>
                </c:pt>
                <c:pt idx="306">
                  <c:v>66.1371568295138</c:v>
                </c:pt>
                <c:pt idx="307">
                  <c:v>66.5440737647394</c:v>
                </c:pt>
                <c:pt idx="308">
                  <c:v>66.9516705768453</c:v>
                </c:pt>
                <c:pt idx="309">
                  <c:v>67.3599248820427</c:v>
                </c:pt>
                <c:pt idx="310">
                  <c:v>67.768814283723</c:v>
                </c:pt>
                <c:pt idx="311">
                  <c:v>68.1783163729035</c:v>
                </c:pt>
                <c:pt idx="312">
                  <c:v>68.5884087286669</c:v>
                </c:pt>
                <c:pt idx="313">
                  <c:v>68.9990689185936</c:v>
                </c:pt>
                <c:pt idx="314">
                  <c:v>69.4102744991875</c:v>
                </c:pt>
                <c:pt idx="315">
                  <c:v>69.8220030162953</c:v>
                </c:pt>
                <c:pt idx="316">
                  <c:v>70.2342320055186</c:v>
                </c:pt>
                <c:pt idx="317">
                  <c:v>70.6469389926197</c:v>
                </c:pt>
                <c:pt idx="318">
                  <c:v>71.0601014939201</c:v>
                </c:pt>
                <c:pt idx="319">
                  <c:v>71.4736970166934</c:v>
                </c:pt>
                <c:pt idx="320">
                  <c:v>71.88770305955</c:v>
                </c:pt>
                <c:pt idx="321">
                  <c:v>72.3020988046077</c:v>
                </c:pt>
                <c:pt idx="322">
                  <c:v>72.7168668113243</c:v>
                </c:pt>
                <c:pt idx="323">
                  <c:v>73.131991326109</c:v>
                </c:pt>
                <c:pt idx="324">
                  <c:v>73.5474565901714</c:v>
                </c:pt>
                <c:pt idx="325">
                  <c:v>73.9632468397029</c:v>
                </c:pt>
                <c:pt idx="326">
                  <c:v>74.3793463060535</c:v>
                </c:pt>
                <c:pt idx="327">
                  <c:v>74.795739215907</c:v>
                </c:pt>
                <c:pt idx="328">
                  <c:v>75.2124097914521</c:v>
                </c:pt>
                <c:pt idx="329">
                  <c:v>75.6293422505497</c:v>
                </c:pt>
                <c:pt idx="330">
                  <c:v>76.046520806898</c:v>
                </c:pt>
                <c:pt idx="331">
                  <c:v>76.4639296701933</c:v>
                </c:pt>
                <c:pt idx="332">
                  <c:v>76.8815530462881</c:v>
                </c:pt>
                <c:pt idx="333">
                  <c:v>77.2993751373461</c:v>
                </c:pt>
                <c:pt idx="334">
                  <c:v>77.7173801419927</c:v>
                </c:pt>
                <c:pt idx="335">
                  <c:v>78.1355522554638</c:v>
                </c:pt>
                <c:pt idx="336">
                  <c:v>78.5538756697503</c:v>
                </c:pt>
                <c:pt idx="337">
                  <c:v>78.9723345737395</c:v>
                </c:pt>
                <c:pt idx="338">
                  <c:v>79.3909131533533</c:v>
                </c:pt>
                <c:pt idx="339">
                  <c:v>79.8095955916832</c:v>
                </c:pt>
                <c:pt idx="340">
                  <c:v>80.2283660691217</c:v>
                </c:pt>
                <c:pt idx="341">
                  <c:v>80.6472087634906</c:v>
                </c:pt>
                <c:pt idx="342">
                  <c:v>81.0661078501662</c:v>
                </c:pt>
                <c:pt idx="343">
                  <c:v>81.4850475022007</c:v>
                </c:pt>
                <c:pt idx="344">
                  <c:v>81.904011890441</c:v>
                </c:pt>
                <c:pt idx="345">
                  <c:v>82.3229851836434</c:v>
                </c:pt>
                <c:pt idx="346">
                  <c:v>82.7419515485856</c:v>
                </c:pt>
                <c:pt idx="347">
                  <c:v>83.1608951501751</c:v>
                </c:pt>
                <c:pt idx="348">
                  <c:v>83.5798003366229</c:v>
                </c:pt>
                <c:pt idx="349">
                  <c:v>83.9986518247323</c:v>
                </c:pt>
                <c:pt idx="350">
                  <c:v>84.4174345149504</c:v>
                </c:pt>
                <c:pt idx="351">
                  <c:v>84.8361333062923</c:v>
                </c:pt>
                <c:pt idx="352">
                  <c:v>85.2547330964213</c:v>
                </c:pt>
                <c:pt idx="353">
                  <c:v>85.6732187817273</c:v>
                </c:pt>
                <c:pt idx="354">
                  <c:v>86.0915752574016</c:v>
                </c:pt>
                <c:pt idx="355">
                  <c:v>86.509787417509</c:v>
                </c:pt>
                <c:pt idx="356">
                  <c:v>86.9278401550562</c:v>
                </c:pt>
                <c:pt idx="357">
                  <c:v>87.3457183620582</c:v>
                </c:pt>
                <c:pt idx="358">
                  <c:v>87.7634069296007</c:v>
                </c:pt>
                <c:pt idx="359">
                  <c:v>88.1808907479001</c:v>
                </c:pt>
                <c:pt idx="360">
                  <c:v>88.5981585803684</c:v>
                </c:pt>
                <c:pt idx="361">
                  <c:v>89.0152069397431</c:v>
                </c:pt>
                <c:pt idx="362">
                  <c:v>89.4320362140274</c:v>
                </c:pt>
                <c:pt idx="363">
                  <c:v>89.8486467903366</c:v>
                </c:pt>
                <c:pt idx="364">
                  <c:v>90.265039054901</c:v>
                </c:pt>
                <c:pt idx="365">
                  <c:v>90.6812133930691</c:v>
                </c:pt>
                <c:pt idx="366">
                  <c:v>91.0971701893099</c:v>
                </c:pt>
                <c:pt idx="367">
                  <c:v>91.5129098272163</c:v>
                </c:pt>
                <c:pt idx="368">
                  <c:v>91.9284326895074</c:v>
                </c:pt>
                <c:pt idx="369">
                  <c:v>92.3437391580315</c:v>
                </c:pt>
                <c:pt idx="370">
                  <c:v>92.7588296137691</c:v>
                </c:pt>
                <c:pt idx="371">
                  <c:v>93.1737044368353</c:v>
                </c:pt>
                <c:pt idx="372">
                  <c:v>93.5883640064828</c:v>
                </c:pt>
                <c:pt idx="373">
                  <c:v>94.0028087011047</c:v>
                </c:pt>
                <c:pt idx="374">
                  <c:v>94.417038898237</c:v>
                </c:pt>
                <c:pt idx="375">
                  <c:v>94.8310549745614</c:v>
                </c:pt>
                <c:pt idx="376">
                  <c:v>95.2448573059084</c:v>
                </c:pt>
                <c:pt idx="377">
                  <c:v>95.6584462672595</c:v>
                </c:pt>
                <c:pt idx="378">
                  <c:v>96.07182223275</c:v>
                </c:pt>
                <c:pt idx="379">
                  <c:v>96.4849855756721</c:v>
                </c:pt>
                <c:pt idx="380">
                  <c:v>96.897936668477</c:v>
                </c:pt>
                <c:pt idx="381">
                  <c:v>97.310675882778</c:v>
                </c:pt>
                <c:pt idx="382">
                  <c:v>97.723203589353</c:v>
                </c:pt>
                <c:pt idx="383">
                  <c:v>98.1355201581469</c:v>
                </c:pt>
                <c:pt idx="384">
                  <c:v>98.547625958275</c:v>
                </c:pt>
                <c:pt idx="385">
                  <c:v>98.9595213580245</c:v>
                </c:pt>
                <c:pt idx="386">
                  <c:v>99.3712067248582</c:v>
                </c:pt>
                <c:pt idx="387">
                  <c:v>99.7826824254164</c:v>
                </c:pt>
                <c:pt idx="388">
                  <c:v>100.19394882552</c:v>
                </c:pt>
                <c:pt idx="389">
                  <c:v>100.605006290172</c:v>
                </c:pt>
                <c:pt idx="390">
                  <c:v>101.015855183562</c:v>
                </c:pt>
                <c:pt idx="391">
                  <c:v>101.426495869067</c:v>
                </c:pt>
                <c:pt idx="392">
                  <c:v>101.836928709255</c:v>
                </c:pt>
                <c:pt idx="393">
                  <c:v>102.247154065887</c:v>
                </c:pt>
                <c:pt idx="394">
                  <c:v>102.657172299918</c:v>
                </c:pt>
                <c:pt idx="395">
                  <c:v>103.066983771505</c:v>
                </c:pt>
                <c:pt idx="396">
                  <c:v>103.476588840002</c:v>
                </c:pt>
                <c:pt idx="397">
                  <c:v>103.885987863969</c:v>
                </c:pt>
                <c:pt idx="398">
                  <c:v>104.295181201169</c:v>
                </c:pt>
                <c:pt idx="399">
                  <c:v>104.704169208576</c:v>
                </c:pt>
                <c:pt idx="400">
                  <c:v>105.112952242373</c:v>
                </c:pt>
                <c:pt idx="401">
                  <c:v>109.189536566171</c:v>
                </c:pt>
                <c:pt idx="402">
                  <c:v>113.245853101376</c:v>
                </c:pt>
                <c:pt idx="403">
                  <c:v>117.282250569408</c:v>
                </c:pt>
                <c:pt idx="404">
                  <c:v>121.299070122047</c:v>
                </c:pt>
                <c:pt idx="405">
                  <c:v>125.29664557267</c:v>
                </c:pt>
                <c:pt idx="406">
                  <c:v>129.275303618732</c:v>
                </c:pt>
                <c:pt idx="407">
                  <c:v>133.235364055894</c:v>
                </c:pt>
                <c:pt idx="408">
                  <c:v>137.177139984163</c:v>
                </c:pt>
                <c:pt idx="409">
                  <c:v>141.100938006399</c:v>
                </c:pt>
                <c:pt idx="410">
                  <c:v>145.007058419544</c:v>
                </c:pt>
                <c:pt idx="411">
                  <c:v>148.895795398867</c:v>
                </c:pt>
                <c:pt idx="412">
                  <c:v>152.767437175545</c:v>
                </c:pt>
                <c:pt idx="413">
                  <c:v>156.622266207872</c:v>
                </c:pt>
                <c:pt idx="414">
                  <c:v>160.46055934635</c:v>
                </c:pt>
                <c:pt idx="415">
                  <c:v>164.282587992939</c:v>
                </c:pt>
                <c:pt idx="416">
                  <c:v>168.088618254705</c:v>
                </c:pt>
                <c:pt idx="417">
                  <c:v>171.878911092104</c:v>
                </c:pt>
                <c:pt idx="418">
                  <c:v>175.653722462121</c:v>
                </c:pt>
                <c:pt idx="419">
                  <c:v>179.413303456472</c:v>
                </c:pt>
                <c:pt idx="420">
                  <c:v>183.157900435088</c:v>
                </c:pt>
                <c:pt idx="421">
                  <c:v>186.887755155045</c:v>
                </c:pt>
                <c:pt idx="422">
                  <c:v>190.603104895153</c:v>
                </c:pt>
                <c:pt idx="423">
                  <c:v>194.304182576352</c:v>
                </c:pt>
                <c:pt idx="424">
                  <c:v>197.991216878094</c:v>
                </c:pt>
                <c:pt idx="425">
                  <c:v>201.664432350869</c:v>
                </c:pt>
                <c:pt idx="426">
                  <c:v>205.324049525016</c:v>
                </c:pt>
                <c:pt idx="427">
                  <c:v>208.970285015973</c:v>
                </c:pt>
                <c:pt idx="428">
                  <c:v>212.603351626097</c:v>
                </c:pt>
                <c:pt idx="429">
                  <c:v>216.223458443179</c:v>
                </c:pt>
                <c:pt idx="430">
                  <c:v>219.830810935791</c:v>
                </c:pt>
                <c:pt idx="431">
                  <c:v>223.425611045573</c:v>
                </c:pt>
                <c:pt idx="432">
                  <c:v>227.008057276572</c:v>
                </c:pt>
                <c:pt idx="433">
                  <c:v>230.578344781754</c:v>
                </c:pt>
                <c:pt idx="434">
                  <c:v>234.13666544677</c:v>
                </c:pt>
                <c:pt idx="435">
                  <c:v>237.683207971099</c:v>
                </c:pt>
                <c:pt idx="436">
                  <c:v>241.218157946641</c:v>
                </c:pt>
                <c:pt idx="437">
                  <c:v>244.741697933858</c:v>
                </c:pt>
                <c:pt idx="438">
                  <c:v>248.254007535553</c:v>
                </c:pt>
                <c:pt idx="439">
                  <c:v>251.755263468359</c:v>
                </c:pt>
                <c:pt idx="440">
                  <c:v>255.245639632019</c:v>
                </c:pt>
                <c:pt idx="441">
                  <c:v>258.725307176537</c:v>
                </c:pt>
                <c:pt idx="442">
                  <c:v>262.194434567261</c:v>
                </c:pt>
                <c:pt idx="443">
                  <c:v>265.653187647972</c:v>
                </c:pt>
                <c:pt idx="444">
                  <c:v>269.101729702044</c:v>
                </c:pt>
                <c:pt idx="445">
                  <c:v>272.540221511729</c:v>
                </c:pt>
                <c:pt idx="446">
                  <c:v>275.968821415637</c:v>
                </c:pt>
                <c:pt idx="447">
                  <c:v>279.387685364454</c:v>
                </c:pt>
                <c:pt idx="448">
                  <c:v>282.796966974962</c:v>
                </c:pt>
                <c:pt idx="449">
                  <c:v>286.196817582405</c:v>
                </c:pt>
                <c:pt idx="450">
                  <c:v>289.587386291249</c:v>
                </c:pt>
                <c:pt idx="451">
                  <c:v>292.968820024388</c:v>
                </c:pt>
                <c:pt idx="452">
                  <c:v>296.341263570832</c:v>
                </c:pt>
                <c:pt idx="453">
                  <c:v>299.704859631918</c:v>
                </c:pt>
                <c:pt idx="454">
                  <c:v>303.059748866093</c:v>
                </c:pt>
                <c:pt idx="455">
                  <c:v>306.406069932288</c:v>
                </c:pt>
                <c:pt idx="456">
                  <c:v>309.743959531938</c:v>
                </c:pt>
                <c:pt idx="457">
                  <c:v>313.073552449666</c:v>
                </c:pt>
                <c:pt idx="458">
                  <c:v>316.39498159266</c:v>
                </c:pt>
                <c:pt idx="459">
                  <c:v>319.70837802879</c:v>
                </c:pt>
                <c:pt idx="460">
                  <c:v>323.01387102347</c:v>
                </c:pt>
                <c:pt idx="461">
                  <c:v>326.311588075299</c:v>
                </c:pt>
                <c:pt idx="462">
                  <c:v>329.60165495051</c:v>
                </c:pt>
                <c:pt idx="463">
                  <c:v>332.884195716238</c:v>
                </c:pt>
                <c:pt idx="464">
                  <c:v>336.159332772625</c:v>
                </c:pt>
                <c:pt idx="465">
                  <c:v>339.427186883797</c:v>
                </c:pt>
                <c:pt idx="466">
                  <c:v>342.6878772077</c:v>
                </c:pt>
                <c:pt idx="467">
                  <c:v>345.941521324839</c:v>
                </c:pt>
                <c:pt idx="468">
                  <c:v>349.188235265906</c:v>
                </c:pt>
                <c:pt idx="469">
                  <c:v>352.428133538322</c:v>
                </c:pt>
                <c:pt idx="470">
                  <c:v>355.661329151697</c:v>
                </c:pt>
                <c:pt idx="471">
                  <c:v>358.887933642211</c:v>
                </c:pt>
                <c:pt idx="472">
                  <c:v>362.108057095926</c:v>
                </c:pt>
                <c:pt idx="473">
                  <c:v>365.321808171021</c:v>
                </c:pt>
                <c:pt idx="474">
                  <c:v>368.529294118962</c:v>
                </c:pt>
                <c:pt idx="475">
                  <c:v>371.730620804596</c:v>
                </c:pt>
                <c:pt idx="476">
                  <c:v>374.925892725164</c:v>
                </c:pt>
                <c:pt idx="477">
                  <c:v>378.115213028236</c:v>
                </c:pt>
                <c:pt idx="478">
                  <c:v>381.298683528544</c:v>
                </c:pt>
                <c:pt idx="479">
                  <c:v>384.476404723717</c:v>
                </c:pt>
                <c:pt idx="480">
                  <c:v>387.648475808893</c:v>
                </c:pt>
                <c:pt idx="481">
                  <c:v>390.814994690192</c:v>
                </c:pt>
                <c:pt idx="482">
                  <c:v>393.976057997042</c:v>
                </c:pt>
                <c:pt idx="483">
                  <c:v>397.13176109332</c:v>
                </c:pt>
                <c:pt idx="484">
                  <c:v>400.282198087296</c:v>
                </c:pt>
                <c:pt idx="485">
                  <c:v>403.427461840346</c:v>
                </c:pt>
                <c:pt idx="486">
                  <c:v>406.567643974405</c:v>
                </c:pt>
                <c:pt idx="487">
                  <c:v>409.702834878126</c:v>
                </c:pt>
                <c:pt idx="488">
                  <c:v>412.83312371171</c:v>
                </c:pt>
                <c:pt idx="489">
                  <c:v>415.958598410363</c:v>
                </c:pt>
                <c:pt idx="490">
                  <c:v>419.079345686341</c:v>
                </c:pt>
                <c:pt idx="491">
                  <c:v>422.195451029528</c:v>
                </c:pt>
                <c:pt idx="492">
                  <c:v>425.306998706513</c:v>
                </c:pt>
                <c:pt idx="493">
                  <c:v>428.414071758091</c:v>
                </c:pt>
                <c:pt idx="494">
                  <c:v>431.516751995151</c:v>
                </c:pt>
                <c:pt idx="495">
                  <c:v>434.615119992878</c:v>
                </c:pt>
                <c:pt idx="496">
                  <c:v>437.709255083209</c:v>
                </c:pt>
                <c:pt idx="497">
                  <c:v>440.799235345483</c:v>
                </c:pt>
                <c:pt idx="498">
                  <c:v>443.885137595211</c:v>
                </c:pt>
                <c:pt idx="499">
                  <c:v>446.967037370891</c:v>
                </c:pt>
                <c:pt idx="500">
                  <c:v>450.045008918815</c:v>
                </c:pt>
                <c:pt idx="501">
                  <c:v>453.119125175768</c:v>
                </c:pt>
                <c:pt idx="502">
                  <c:v>456.189457749572</c:v>
                </c:pt>
                <c:pt idx="503">
                  <c:v>459.256076897386</c:v>
                </c:pt>
                <c:pt idx="504">
                  <c:v>462.319051501706</c:v>
                </c:pt>
                <c:pt idx="505">
                  <c:v>465.378449043988</c:v>
                </c:pt>
                <c:pt idx="506">
                  <c:v>468.434335575844</c:v>
                </c:pt>
                <c:pt idx="507">
                  <c:v>471.486775687752</c:v>
                </c:pt>
                <c:pt idx="508">
                  <c:v>474.535832475247</c:v>
                </c:pt>
                <c:pt idx="509">
                  <c:v>477.581567502558</c:v>
                </c:pt>
                <c:pt idx="510">
                  <c:v>480.624040763679</c:v>
                </c:pt>
                <c:pt idx="511">
                  <c:v>483.66331064089</c:v>
                </c:pt>
                <c:pt idx="512">
                  <c:v>486.699433860746</c:v>
                </c:pt>
                <c:pt idx="513">
                  <c:v>489.732465447606</c:v>
                </c:pt>
                <c:pt idx="514">
                  <c:v>492.762458674786</c:v>
                </c:pt>
                <c:pt idx="515">
                  <c:v>495.789465013467</c:v>
                </c:pt>
                <c:pt idx="516">
                  <c:v>498.813534079531</c:v>
                </c:pt>
                <c:pt idx="517">
                  <c:v>501.834713578533</c:v>
                </c:pt>
                <c:pt idx="518">
                  <c:v>504.853049249096</c:v>
                </c:pt>
                <c:pt idx="519">
                  <c:v>507.868584805021</c:v>
                </c:pt>
                <c:pt idx="520">
                  <c:v>510.881361876531</c:v>
                </c:pt>
                <c:pt idx="521">
                  <c:v>513.891419951056</c:v>
                </c:pt>
                <c:pt idx="522">
                  <c:v>516.898796314073</c:v>
                </c:pt>
                <c:pt idx="523">
                  <c:v>519.903525990569</c:v>
                </c:pt>
                <c:pt idx="524">
                  <c:v>522.905641687718</c:v>
                </c:pt>
                <c:pt idx="525">
                  <c:v>525.905173739452</c:v>
                </c:pt>
                <c:pt idx="526">
                  <c:v>528.902150053623</c:v>
                </c:pt>
                <c:pt idx="527">
                  <c:v>531.89659606248</c:v>
                </c:pt>
                <c:pt idx="528">
                  <c:v>534.888534677207</c:v>
                </c:pt>
                <c:pt idx="529">
                  <c:v>537.877986247264</c:v>
                </c:pt>
                <c:pt idx="530">
                  <c:v>540.864968525238</c:v>
                </c:pt>
                <c:pt idx="531">
                  <c:v>543.849496637889</c:v>
                </c:pt>
                <c:pt idx="532">
                  <c:v>546.831583063994</c:v>
                </c:pt>
                <c:pt idx="533">
                  <c:v>549.811237619521</c:v>
                </c:pt>
                <c:pt idx="534">
                  <c:v>552.788467450563</c:v>
                </c:pt>
                <c:pt idx="535">
                  <c:v>555.763277034339</c:v>
                </c:pt>
                <c:pt idx="536">
                  <c:v>558.735668188448</c:v>
                </c:pt>
                <c:pt idx="537">
                  <c:v>561.705640088436</c:v>
                </c:pt>
                <c:pt idx="538">
                  <c:v>564.67318929357</c:v>
                </c:pt>
                <c:pt idx="539">
                  <c:v>567.638309780623</c:v>
                </c:pt>
                <c:pt idx="540">
                  <c:v>570.600992985303</c:v>
                </c:pt>
                <c:pt idx="541">
                  <c:v>573.561227850884</c:v>
                </c:pt>
                <c:pt idx="542">
                  <c:v>576.519000883471</c:v>
                </c:pt>
                <c:pt idx="543">
                  <c:v>579.474296213282</c:v>
                </c:pt>
                <c:pt idx="544">
                  <c:v>582.427095661226</c:v>
                </c:pt>
                <c:pt idx="545">
                  <c:v>585.377378810078</c:v>
                </c:pt>
                <c:pt idx="546">
                  <c:v>588.325123079486</c:v>
                </c:pt>
                <c:pt idx="547">
                  <c:v>591.270303804053</c:v>
                </c:pt>
                <c:pt idx="548">
                  <c:v>594.212894313797</c:v>
                </c:pt>
                <c:pt idx="549">
                  <c:v>597.152866016255</c:v>
                </c:pt>
                <c:pt idx="550">
                  <c:v>600.090188479598</c:v>
                </c:pt>
                <c:pt idx="551">
                  <c:v>603.024829516156</c:v>
                </c:pt>
                <c:pt idx="552">
                  <c:v>605.956755265792</c:v>
                </c:pt>
                <c:pt idx="553">
                  <c:v>608.885930278657</c:v>
                </c:pt>
                <c:pt idx="554">
                  <c:v>611.812317596897</c:v>
                </c:pt>
                <c:pt idx="555">
                  <c:v>614.735878834947</c:v>
                </c:pt>
                <c:pt idx="556">
                  <c:v>617.656574258122</c:v>
                </c:pt>
                <c:pt idx="557">
                  <c:v>620.574362859236</c:v>
                </c:pt>
                <c:pt idx="558">
                  <c:v>623.489202433087</c:v>
                </c:pt>
                <c:pt idx="559">
                  <c:v>626.401049648619</c:v>
                </c:pt>
                <c:pt idx="560">
                  <c:v>629.309860118686</c:v>
                </c:pt>
                <c:pt idx="561">
                  <c:v>632.215588467336</c:v>
                </c:pt>
                <c:pt idx="562">
                  <c:v>635.118188394564</c:v>
                </c:pt>
                <c:pt idx="563">
                  <c:v>638.017612738545</c:v>
                </c:pt>
                <c:pt idx="564">
                  <c:v>640.913813535346</c:v>
                </c:pt>
                <c:pt idx="565">
                  <c:v>643.806742076141</c:v>
                </c:pt>
                <c:pt idx="566">
                  <c:v>646.696348961992</c:v>
                </c:pt>
                <c:pt idx="567">
                  <c:v>649.582584156243</c:v>
                </c:pt>
                <c:pt idx="568">
                  <c:v>652.465397034596</c:v>
                </c:pt>
                <c:pt idx="569">
                  <c:v>655.34473643295</c:v>
                </c:pt>
                <c:pt idx="570">
                  <c:v>658.220550693074</c:v>
                </c:pt>
                <c:pt idx="571">
                  <c:v>661.092787706212</c:v>
                </c:pt>
                <c:pt idx="572">
                  <c:v>663.961394954689</c:v>
                </c:pt>
                <c:pt idx="573">
                  <c:v>666.826319551619</c:v>
                </c:pt>
                <c:pt idx="574">
                  <c:v>669.687508278794</c:v>
                </c:pt>
                <c:pt idx="575">
                  <c:v>672.544907622839</c:v>
                </c:pt>
                <c:pt idx="576">
                  <c:v>675.398463809719</c:v>
                </c:pt>
                <c:pt idx="577">
                  <c:v>678.248122837676</c:v>
                </c:pt>
                <c:pt idx="578">
                  <c:v>681.093830508683</c:v>
                </c:pt>
                <c:pt idx="579">
                  <c:v>683.935532458475</c:v>
                </c:pt>
                <c:pt idx="580">
                  <c:v>686.77317418525</c:v>
                </c:pt>
                <c:pt idx="581">
                  <c:v>689.606701077085</c:v>
                </c:pt>
                <c:pt idx="582">
                  <c:v>692.436058438165</c:v>
                </c:pt>
                <c:pt idx="583">
                  <c:v>695.261191513852</c:v>
                </c:pt>
                <c:pt idx="584">
                  <c:v>698.082045514685</c:v>
                </c:pt>
                <c:pt idx="585">
                  <c:v>700.898565639349</c:v>
                </c:pt>
                <c:pt idx="586">
                  <c:v>703.710697096674</c:v>
                </c:pt>
                <c:pt idx="587">
                  <c:v>706.518385126714</c:v>
                </c:pt>
                <c:pt idx="588">
                  <c:v>709.321575020952</c:v>
                </c:pt>
                <c:pt idx="589">
                  <c:v>712.120212141676</c:v>
                </c:pt>
                <c:pt idx="590">
                  <c:v>714.914241940577</c:v>
                </c:pt>
                <c:pt idx="591">
                  <c:v>717.703609976592</c:v>
                </c:pt>
                <c:pt idx="592">
                  <c:v>720.488261933043</c:v>
                </c:pt>
                <c:pt idx="593">
                  <c:v>723.268143634111</c:v>
                </c:pt>
                <c:pt idx="594">
                  <c:v>726.043201060658</c:v>
                </c:pt>
                <c:pt idx="595">
                  <c:v>728.813380365451</c:v>
                </c:pt>
                <c:pt idx="596">
                  <c:v>731.578627887803</c:v>
                </c:pt>
                <c:pt idx="597">
                  <c:v>734.338890167667</c:v>
                </c:pt>
                <c:pt idx="598">
                  <c:v>737.094113959198</c:v>
                </c:pt>
                <c:pt idx="599">
                  <c:v>739.844246243821</c:v>
                </c:pt>
                <c:pt idx="600">
                  <c:v>742.589234242815</c:v>
                </c:pt>
                <c:pt idx="601">
                  <c:v>745.329025429446</c:v>
                </c:pt>
                <c:pt idx="602">
                  <c:v>748.063567540656</c:v>
                </c:pt>
                <c:pt idx="603">
                  <c:v>750.79280858834</c:v>
                </c:pt>
                <c:pt idx="604">
                  <c:v>753.51669687022</c:v>
                </c:pt>
                <c:pt idx="605">
                  <c:v>756.235180980335</c:v>
                </c:pt>
                <c:pt idx="606">
                  <c:v>758.948209819163</c:v>
                </c:pt>
                <c:pt idx="607">
                  <c:v>761.655732603389</c:v>
                </c:pt>
                <c:pt idx="608">
                  <c:v>764.357698875333</c:v>
                </c:pt>
                <c:pt idx="609">
                  <c:v>767.054058512056</c:v>
                </c:pt>
                <c:pt idx="610">
                  <c:v>769.744761734141</c:v>
                </c:pt>
                <c:pt idx="611">
                  <c:v>772.429759114181</c:v>
                </c:pt>
                <c:pt idx="612">
                  <c:v>775.109001584968</c:v>
                </c:pt>
                <c:pt idx="613">
                  <c:v>777.782440447404</c:v>
                </c:pt>
                <c:pt idx="614">
                  <c:v>780.450027378135</c:v>
                </c:pt>
                <c:pt idx="615">
                  <c:v>783.111714436925</c:v>
                </c:pt>
                <c:pt idx="616">
                  <c:v>785.767454073774</c:v>
                </c:pt>
                <c:pt idx="617">
                  <c:v>788.417199135786</c:v>
                </c:pt>
                <c:pt idx="618">
                  <c:v>791.060902873803</c:v>
                </c:pt>
                <c:pt idx="619">
                  <c:v>793.6985189488</c:v>
                </c:pt>
                <c:pt idx="620">
                  <c:v>796.330001438061</c:v>
                </c:pt>
                <c:pt idx="621">
                  <c:v>798.955304841129</c:v>
                </c:pt>
                <c:pt idx="622">
                  <c:v>801.57438408555</c:v>
                </c:pt>
                <c:pt idx="623">
                  <c:v>804.187194532403</c:v>
                </c:pt>
                <c:pt idx="624">
                  <c:v>806.793691981637</c:v>
                </c:pt>
                <c:pt idx="625">
                  <c:v>809.393832677198</c:v>
                </c:pt>
                <c:pt idx="626">
                  <c:v>811.987573311978</c:v>
                </c:pt>
                <c:pt idx="627">
                  <c:v>814.574871032569</c:v>
                </c:pt>
                <c:pt idx="628">
                  <c:v>817.155683443834</c:v>
                </c:pt>
                <c:pt idx="629">
                  <c:v>819.729968613306</c:v>
                </c:pt>
                <c:pt idx="630">
                  <c:v>822.297685075408</c:v>
                </c:pt>
                <c:pt idx="631">
                  <c:v>824.858791835498</c:v>
                </c:pt>
                <c:pt idx="632">
                  <c:v>827.41324837376</c:v>
                </c:pt>
                <c:pt idx="633">
                  <c:v>829.961014648918</c:v>
                </c:pt>
                <c:pt idx="634">
                  <c:v>832.502051101801</c:v>
                </c:pt>
                <c:pt idx="635">
                  <c:v>835.03631865874</c:v>
                </c:pt>
                <c:pt idx="636">
                  <c:v>837.563778734828</c:v>
                </c:pt>
                <c:pt idx="637">
                  <c:v>840.084393237008</c:v>
                </c:pt>
                <c:pt idx="638">
                  <c:v>842.598124567034</c:v>
                </c:pt>
                <c:pt idx="639">
                  <c:v>845.104935624273</c:v>
                </c:pt>
                <c:pt idx="640">
                  <c:v>847.604789808368</c:v>
                </c:pt>
                <c:pt idx="641">
                  <c:v>850.097651021769</c:v>
                </c:pt>
                <c:pt idx="642">
                  <c:v>852.583483672114</c:v>
                </c:pt>
                <c:pt idx="643">
                  <c:v>855.062252674482</c:v>
                </c:pt>
                <c:pt idx="644">
                  <c:v>857.533923453518</c:v>
                </c:pt>
                <c:pt idx="645">
                  <c:v>859.998461945415</c:v>
                </c:pt>
                <c:pt idx="646">
                  <c:v>862.455834599779</c:v>
                </c:pt>
                <c:pt idx="647">
                  <c:v>864.906008381366</c:v>
                </c:pt>
                <c:pt idx="648">
                  <c:v>867.348950771689</c:v>
                </c:pt>
                <c:pt idx="649">
                  <c:v>869.784629770507</c:v>
                </c:pt>
                <c:pt idx="650">
                  <c:v>872.213013897196</c:v>
                </c:pt>
                <c:pt idx="651">
                  <c:v>874.634072191998</c:v>
                </c:pt>
                <c:pt idx="652">
                  <c:v>877.047774217157</c:v>
                </c:pt>
                <c:pt idx="653">
                  <c:v>879.454090057934</c:v>
                </c:pt>
                <c:pt idx="654">
                  <c:v>881.852990323517</c:v>
                </c:pt>
                <c:pt idx="655">
                  <c:v>884.244446147818</c:v>
                </c:pt>
                <c:pt idx="656">
                  <c:v>886.628429190155</c:v>
                </c:pt>
                <c:pt idx="657">
                  <c:v>889.004911635832</c:v>
                </c:pt>
                <c:pt idx="658">
                  <c:v>891.373866196613</c:v>
                </c:pt>
                <c:pt idx="659">
                  <c:v>893.735266111088</c:v>
                </c:pt>
                <c:pt idx="660">
                  <c:v>896.08908514494</c:v>
                </c:pt>
                <c:pt idx="661">
                  <c:v>898.435297591103</c:v>
                </c:pt>
                <c:pt idx="662">
                  <c:v>900.773878269836</c:v>
                </c:pt>
                <c:pt idx="663">
                  <c:v>903.104802528678</c:v>
                </c:pt>
                <c:pt idx="664">
                  <c:v>905.428046242325</c:v>
                </c:pt>
                <c:pt idx="665">
                  <c:v>907.743585812397</c:v>
                </c:pt>
                <c:pt idx="666">
                  <c:v>910.051398167123</c:v>
                </c:pt>
                <c:pt idx="667">
                  <c:v>912.351460760928</c:v>
                </c:pt>
                <c:pt idx="668">
                  <c:v>914.643751573924</c:v>
                </c:pt>
                <c:pt idx="669">
                  <c:v>916.928249111326</c:v>
                </c:pt>
                <c:pt idx="670">
                  <c:v>919.204932402762</c:v>
                </c:pt>
                <c:pt idx="671">
                  <c:v>921.473781001511</c:v>
                </c:pt>
                <c:pt idx="672">
                  <c:v>923.73477498365</c:v>
                </c:pt>
                <c:pt idx="673">
                  <c:v>925.987894947114</c:v>
                </c:pt>
                <c:pt idx="674">
                  <c:v>928.233122010677</c:v>
                </c:pt>
                <c:pt idx="675">
                  <c:v>930.470437812855</c:v>
                </c:pt>
                <c:pt idx="676">
                  <c:v>932.69982451072</c:v>
                </c:pt>
                <c:pt idx="677">
                  <c:v>934.921264778647</c:v>
                </c:pt>
                <c:pt idx="678">
                  <c:v>937.134741806972</c:v>
                </c:pt>
                <c:pt idx="679">
                  <c:v>939.340239300586</c:v>
                </c:pt>
                <c:pt idx="680">
                  <c:v>941.537741477441</c:v>
                </c:pt>
                <c:pt idx="681">
                  <c:v>943.727233066997</c:v>
                </c:pt>
                <c:pt idx="682">
                  <c:v>945.908699308588</c:v>
                </c:pt>
                <c:pt idx="683">
                  <c:v>948.082125949719</c:v>
                </c:pt>
                <c:pt idx="684">
                  <c:v>950.247499244294</c:v>
                </c:pt>
                <c:pt idx="685">
                  <c:v>952.404805950778</c:v>
                </c:pt>
                <c:pt idx="686">
                  <c:v>954.55403333029</c:v>
                </c:pt>
                <c:pt idx="687">
                  <c:v>956.695169144629</c:v>
                </c:pt>
                <c:pt idx="688">
                  <c:v>958.828201654242</c:v>
                </c:pt>
                <c:pt idx="689">
                  <c:v>960.953119616122</c:v>
                </c:pt>
                <c:pt idx="690">
                  <c:v>963.069912281647</c:v>
                </c:pt>
                <c:pt idx="691">
                  <c:v>965.178569394359</c:v>
                </c:pt>
                <c:pt idx="692">
                  <c:v>967.279081187686</c:v>
                </c:pt>
                <c:pt idx="693">
                  <c:v>969.371438382601</c:v>
                </c:pt>
                <c:pt idx="694">
                  <c:v>971.455632185228</c:v>
                </c:pt>
                <c:pt idx="695">
                  <c:v>973.53165428439</c:v>
                </c:pt>
                <c:pt idx="696">
                  <c:v>975.599496849105</c:v>
                </c:pt>
                <c:pt idx="697">
                  <c:v>977.659152526031</c:v>
                </c:pt>
                <c:pt idx="698">
                  <c:v>979.710614436849</c:v>
                </c:pt>
                <c:pt idx="699">
                  <c:v>981.75387617561</c:v>
                </c:pt>
                <c:pt idx="700">
                  <c:v>983.788931806022</c:v>
                </c:pt>
                <c:pt idx="701">
                  <c:v>985.815775858691</c:v>
                </c:pt>
                <c:pt idx="702">
                  <c:v>987.834403328318</c:v>
                </c:pt>
                <c:pt idx="703">
                  <c:v>989.844809670847</c:v>
                </c:pt>
                <c:pt idx="704">
                  <c:v>991.846990800569</c:v>
                </c:pt>
                <c:pt idx="705">
                  <c:v>993.840943087182</c:v>
                </c:pt>
                <c:pt idx="706">
                  <c:v>995.826663352813</c:v>
                </c:pt>
                <c:pt idx="707">
                  <c:v>997.804148868993</c:v>
                </c:pt>
                <c:pt idx="708">
                  <c:v>999.773397353592</c:v>
                </c:pt>
                <c:pt idx="709">
                  <c:v>1001.73440696772</c:v>
                </c:pt>
                <c:pt idx="710">
                  <c:v>1003.6871763126</c:v>
                </c:pt>
                <c:pt idx="711">
                  <c:v>1005.63170442635</c:v>
                </c:pt>
                <c:pt idx="712">
                  <c:v>1007.56799078083</c:v>
                </c:pt>
                <c:pt idx="713">
                  <c:v>1009.49603527836</c:v>
                </c:pt>
                <c:pt idx="714">
                  <c:v>1011.41583824843</c:v>
                </c:pt>
                <c:pt idx="715">
                  <c:v>1013.32740044444</c:v>
                </c:pt>
                <c:pt idx="716">
                  <c:v>1015.2307230403</c:v>
                </c:pt>
                <c:pt idx="717">
                  <c:v>1017.12580762709</c:v>
                </c:pt>
                <c:pt idx="718">
                  <c:v>1017.12580762709</c:v>
                </c:pt>
                <c:pt idx="719">
                  <c:v>1017.12580762709</c:v>
                </c:pt>
                <c:pt idx="720">
                  <c:v>1017.12580762709</c:v>
                </c:pt>
                <c:pt idx="721">
                  <c:v>1017.12580762709</c:v>
                </c:pt>
                <c:pt idx="722">
                  <c:v>1017.12580762709</c:v>
                </c:pt>
                <c:pt idx="723">
                  <c:v>1017.12580762709</c:v>
                </c:pt>
                <c:pt idx="724">
                  <c:v>1017.12580762709</c:v>
                </c:pt>
                <c:pt idx="725">
                  <c:v>1017.12580762709</c:v>
                </c:pt>
                <c:pt idx="726">
                  <c:v>1017.12580762709</c:v>
                </c:pt>
                <c:pt idx="727">
                  <c:v>1017.12580762709</c:v>
                </c:pt>
                <c:pt idx="728">
                  <c:v>1017.12580762709</c:v>
                </c:pt>
                <c:pt idx="729">
                  <c:v>1017.12580762709</c:v>
                </c:pt>
                <c:pt idx="730">
                  <c:v>1017.12580762709</c:v>
                </c:pt>
                <c:pt idx="731">
                  <c:v>1017.12580762709</c:v>
                </c:pt>
                <c:pt idx="732">
                  <c:v>1017.12580762709</c:v>
                </c:pt>
                <c:pt idx="733">
                  <c:v>1017.12580762709</c:v>
                </c:pt>
                <c:pt idx="734">
                  <c:v>1017.12580762709</c:v>
                </c:pt>
                <c:pt idx="735">
                  <c:v>1017.12580762709</c:v>
                </c:pt>
                <c:pt idx="736">
                  <c:v>1017.12580762709</c:v>
                </c:pt>
                <c:pt idx="737">
                  <c:v>1017.12580762709</c:v>
                </c:pt>
                <c:pt idx="738">
                  <c:v>1017.12580762709</c:v>
                </c:pt>
                <c:pt idx="739">
                  <c:v>1017.12580762709</c:v>
                </c:pt>
                <c:pt idx="740">
                  <c:v>1017.12580762709</c:v>
                </c:pt>
                <c:pt idx="741">
                  <c:v>1017.12580762709</c:v>
                </c:pt>
                <c:pt idx="742">
                  <c:v>1017.12580762709</c:v>
                </c:pt>
                <c:pt idx="743">
                  <c:v>1017.12580762709</c:v>
                </c:pt>
                <c:pt idx="744">
                  <c:v>1017.12580762709</c:v>
                </c:pt>
                <c:pt idx="745">
                  <c:v>1017.12580762709</c:v>
                </c:pt>
                <c:pt idx="746">
                  <c:v>1017.12580762709</c:v>
                </c:pt>
                <c:pt idx="747">
                  <c:v>1017.12580762709</c:v>
                </c:pt>
                <c:pt idx="748">
                  <c:v>1017.12580762709</c:v>
                </c:pt>
                <c:pt idx="749">
                  <c:v>1017.12580762709</c:v>
                </c:pt>
                <c:pt idx="750">
                  <c:v>1017.12580762709</c:v>
                </c:pt>
                <c:pt idx="751">
                  <c:v>1017.12580762709</c:v>
                </c:pt>
                <c:pt idx="752">
                  <c:v>1017.12580762709</c:v>
                </c:pt>
                <c:pt idx="753">
                  <c:v>1017.12580762709</c:v>
                </c:pt>
                <c:pt idx="754">
                  <c:v>1017.12580762709</c:v>
                </c:pt>
                <c:pt idx="755">
                  <c:v>1017.12580762709</c:v>
                </c:pt>
                <c:pt idx="756">
                  <c:v>1017.12580762709</c:v>
                </c:pt>
                <c:pt idx="757">
                  <c:v>1017.12580762709</c:v>
                </c:pt>
                <c:pt idx="758">
                  <c:v>1017.12580762709</c:v>
                </c:pt>
                <c:pt idx="759">
                  <c:v>1017.12580762709</c:v>
                </c:pt>
                <c:pt idx="760">
                  <c:v>1017.12580762709</c:v>
                </c:pt>
                <c:pt idx="761">
                  <c:v>1017.12580762709</c:v>
                </c:pt>
                <c:pt idx="762">
                  <c:v>1017.12580762709</c:v>
                </c:pt>
                <c:pt idx="763">
                  <c:v>1017.12580762709</c:v>
                </c:pt>
                <c:pt idx="764">
                  <c:v>1017.12580762709</c:v>
                </c:pt>
                <c:pt idx="765">
                  <c:v>1017.12580762709</c:v>
                </c:pt>
                <c:pt idx="766">
                  <c:v>1017.12580762709</c:v>
                </c:pt>
                <c:pt idx="767">
                  <c:v>1017.12580762709</c:v>
                </c:pt>
                <c:pt idx="768">
                  <c:v>1017.12580762709</c:v>
                </c:pt>
                <c:pt idx="769">
                  <c:v>1017.12580762709</c:v>
                </c:pt>
                <c:pt idx="770">
                  <c:v>1017.12580762709</c:v>
                </c:pt>
                <c:pt idx="771">
                  <c:v>1017.12580762709</c:v>
                </c:pt>
                <c:pt idx="772">
                  <c:v>1017.12580762709</c:v>
                </c:pt>
                <c:pt idx="773">
                  <c:v>1017.12580762709</c:v>
                </c:pt>
                <c:pt idx="774">
                  <c:v>1017.12580762709</c:v>
                </c:pt>
                <c:pt idx="775">
                  <c:v>1017.12580762709</c:v>
                </c:pt>
                <c:pt idx="776">
                  <c:v>1017.12580762709</c:v>
                </c:pt>
                <c:pt idx="777">
                  <c:v>1017.12580762709</c:v>
                </c:pt>
                <c:pt idx="778">
                  <c:v>1017.12580762709</c:v>
                </c:pt>
                <c:pt idx="779">
                  <c:v>1017.12580762709</c:v>
                </c:pt>
                <c:pt idx="780">
                  <c:v>1017.12580762709</c:v>
                </c:pt>
                <c:pt idx="781">
                  <c:v>1017.12580762709</c:v>
                </c:pt>
                <c:pt idx="782">
                  <c:v>1017.12580762709</c:v>
                </c:pt>
                <c:pt idx="783">
                  <c:v>1017.12580762709</c:v>
                </c:pt>
                <c:pt idx="784">
                  <c:v>1017.12580762709</c:v>
                </c:pt>
                <c:pt idx="785">
                  <c:v>1017.12580762709</c:v>
                </c:pt>
                <c:pt idx="786">
                  <c:v>1017.12580762709</c:v>
                </c:pt>
                <c:pt idx="787">
                  <c:v>1017.12580762709</c:v>
                </c:pt>
                <c:pt idx="788">
                  <c:v>1017.12580762709</c:v>
                </c:pt>
                <c:pt idx="789">
                  <c:v>1017.12580762709</c:v>
                </c:pt>
                <c:pt idx="790">
                  <c:v>1017.12580762709</c:v>
                </c:pt>
                <c:pt idx="791">
                  <c:v>1017.12580762709</c:v>
                </c:pt>
                <c:pt idx="792">
                  <c:v>1017.12580762709</c:v>
                </c:pt>
                <c:pt idx="793">
                  <c:v>1017.12580762709</c:v>
                </c:pt>
                <c:pt idx="794">
                  <c:v>1017.12580762709</c:v>
                </c:pt>
                <c:pt idx="795">
                  <c:v>1017.12580762709</c:v>
                </c:pt>
                <c:pt idx="796">
                  <c:v>1017.12580762709</c:v>
                </c:pt>
                <c:pt idx="797">
                  <c:v>1017.12580762709</c:v>
                </c:pt>
                <c:pt idx="798">
                  <c:v>1017.12580762709</c:v>
                </c:pt>
                <c:pt idx="799">
                  <c:v>1017.12580762709</c:v>
                </c:pt>
                <c:pt idx="800">
                  <c:v>1017.12580762709</c:v>
                </c:pt>
                <c:pt idx="801">
                  <c:v>1017.12580762709</c:v>
                </c:pt>
                <c:pt idx="802">
                  <c:v>1017.12580762709</c:v>
                </c:pt>
                <c:pt idx="803">
                  <c:v>1017.12580762709</c:v>
                </c:pt>
                <c:pt idx="804">
                  <c:v>1017.12580762709</c:v>
                </c:pt>
                <c:pt idx="805">
                  <c:v>1017.12580762709</c:v>
                </c:pt>
                <c:pt idx="806">
                  <c:v>1017.12580762709</c:v>
                </c:pt>
                <c:pt idx="807">
                  <c:v>1017.12580762709</c:v>
                </c:pt>
                <c:pt idx="808">
                  <c:v>1017.12580762709</c:v>
                </c:pt>
                <c:pt idx="809">
                  <c:v>1017.12580762709</c:v>
                </c:pt>
                <c:pt idx="810">
                  <c:v>1017.12580762709</c:v>
                </c:pt>
                <c:pt idx="811">
                  <c:v>1017.12580762709</c:v>
                </c:pt>
                <c:pt idx="812">
                  <c:v>1017.12580762709</c:v>
                </c:pt>
                <c:pt idx="813">
                  <c:v>1017.12580762709</c:v>
                </c:pt>
                <c:pt idx="814">
                  <c:v>1017.12580762709</c:v>
                </c:pt>
                <c:pt idx="815">
                  <c:v>1017.12580762709</c:v>
                </c:pt>
                <c:pt idx="816">
                  <c:v>1017.12580762709</c:v>
                </c:pt>
                <c:pt idx="817">
                  <c:v>1017.12580762709</c:v>
                </c:pt>
                <c:pt idx="818">
                  <c:v>1017.12580762709</c:v>
                </c:pt>
                <c:pt idx="819">
                  <c:v>1017.12580762709</c:v>
                </c:pt>
                <c:pt idx="820">
                  <c:v>1017.12580762709</c:v>
                </c:pt>
                <c:pt idx="821">
                  <c:v>1017.12580762709</c:v>
                </c:pt>
                <c:pt idx="822">
                  <c:v>1017.12580762709</c:v>
                </c:pt>
                <c:pt idx="823">
                  <c:v>1017.12580762709</c:v>
                </c:pt>
                <c:pt idx="824">
                  <c:v>1017.12580762709</c:v>
                </c:pt>
                <c:pt idx="825">
                  <c:v>1017.12580762709</c:v>
                </c:pt>
                <c:pt idx="826">
                  <c:v>1017.12580762709</c:v>
                </c:pt>
                <c:pt idx="827">
                  <c:v>1017.12580762709</c:v>
                </c:pt>
                <c:pt idx="828">
                  <c:v>1017.12580762709</c:v>
                </c:pt>
                <c:pt idx="829">
                  <c:v>1017.12580762709</c:v>
                </c:pt>
                <c:pt idx="830">
                  <c:v>1017.12580762709</c:v>
                </c:pt>
                <c:pt idx="831">
                  <c:v>1017.12580762709</c:v>
                </c:pt>
                <c:pt idx="832">
                  <c:v>1017.12580762709</c:v>
                </c:pt>
                <c:pt idx="833">
                  <c:v>1017.12580762709</c:v>
                </c:pt>
                <c:pt idx="834">
                  <c:v>1017.12580762709</c:v>
                </c:pt>
                <c:pt idx="835">
                  <c:v>1017.12580762709</c:v>
                </c:pt>
                <c:pt idx="836">
                  <c:v>1017.12580762709</c:v>
                </c:pt>
                <c:pt idx="837">
                  <c:v>1017.12580762709</c:v>
                </c:pt>
                <c:pt idx="838">
                  <c:v>1017.12580762709</c:v>
                </c:pt>
                <c:pt idx="839">
                  <c:v>1017.12580762709</c:v>
                </c:pt>
                <c:pt idx="840">
                  <c:v>1017.12580762709</c:v>
                </c:pt>
                <c:pt idx="841">
                  <c:v>1017.12580762709</c:v>
                </c:pt>
                <c:pt idx="842">
                  <c:v>1017.12580762709</c:v>
                </c:pt>
                <c:pt idx="843">
                  <c:v>1017.12580762709</c:v>
                </c:pt>
                <c:pt idx="844">
                  <c:v>1017.12580762709</c:v>
                </c:pt>
                <c:pt idx="845">
                  <c:v>1017.12580762709</c:v>
                </c:pt>
                <c:pt idx="846">
                  <c:v>1017.12580762709</c:v>
                </c:pt>
                <c:pt idx="847">
                  <c:v>1017.12580762709</c:v>
                </c:pt>
                <c:pt idx="848">
                  <c:v>1017.12580762709</c:v>
                </c:pt>
                <c:pt idx="849">
                  <c:v>1017.12580762709</c:v>
                </c:pt>
                <c:pt idx="850">
                  <c:v>1017.12580762709</c:v>
                </c:pt>
                <c:pt idx="851">
                  <c:v>1017.12580762709</c:v>
                </c:pt>
                <c:pt idx="852">
                  <c:v>1017.12580762709</c:v>
                </c:pt>
                <c:pt idx="853">
                  <c:v>1017.12580762709</c:v>
                </c:pt>
                <c:pt idx="854">
                  <c:v>1017.12580762709</c:v>
                </c:pt>
                <c:pt idx="855">
                  <c:v>1017.12580762709</c:v>
                </c:pt>
                <c:pt idx="856">
                  <c:v>1017.12580762709</c:v>
                </c:pt>
                <c:pt idx="857">
                  <c:v>1017.12580762709</c:v>
                </c:pt>
                <c:pt idx="858">
                  <c:v>1017.12580762709</c:v>
                </c:pt>
                <c:pt idx="859">
                  <c:v>1017.12580762709</c:v>
                </c:pt>
                <c:pt idx="860">
                  <c:v>1017.12580762709</c:v>
                </c:pt>
                <c:pt idx="861">
                  <c:v>1017.12580762709</c:v>
                </c:pt>
                <c:pt idx="862">
                  <c:v>1017.12580762709</c:v>
                </c:pt>
                <c:pt idx="863">
                  <c:v>1017.12580762709</c:v>
                </c:pt>
                <c:pt idx="864">
                  <c:v>1017.12580762709</c:v>
                </c:pt>
                <c:pt idx="865">
                  <c:v>1017.12580762709</c:v>
                </c:pt>
                <c:pt idx="866">
                  <c:v>1017.12580762709</c:v>
                </c:pt>
                <c:pt idx="867">
                  <c:v>1017.12580762709</c:v>
                </c:pt>
                <c:pt idx="868">
                  <c:v>1017.12580762709</c:v>
                </c:pt>
                <c:pt idx="869">
                  <c:v>1017.12580762709</c:v>
                </c:pt>
                <c:pt idx="870">
                  <c:v>1017.12580762709</c:v>
                </c:pt>
                <c:pt idx="871">
                  <c:v>1017.12580762709</c:v>
                </c:pt>
                <c:pt idx="872">
                  <c:v>1017.12580762709</c:v>
                </c:pt>
                <c:pt idx="873">
                  <c:v>1017.12580762709</c:v>
                </c:pt>
                <c:pt idx="874">
                  <c:v>1017.12580762709</c:v>
                </c:pt>
                <c:pt idx="875">
                  <c:v>1017.12580762709</c:v>
                </c:pt>
                <c:pt idx="876">
                  <c:v>1017.12580762709</c:v>
                </c:pt>
                <c:pt idx="877">
                  <c:v>1017.12580762709</c:v>
                </c:pt>
                <c:pt idx="878">
                  <c:v>1017.12580762709</c:v>
                </c:pt>
                <c:pt idx="879">
                  <c:v>1017.12580762709</c:v>
                </c:pt>
                <c:pt idx="880">
                  <c:v>1017.12580762709</c:v>
                </c:pt>
                <c:pt idx="881">
                  <c:v>1017.12580762709</c:v>
                </c:pt>
                <c:pt idx="882">
                  <c:v>1017.12580762709</c:v>
                </c:pt>
                <c:pt idx="883">
                  <c:v>1017.12580762709</c:v>
                </c:pt>
                <c:pt idx="884">
                  <c:v>1017.12580762709</c:v>
                </c:pt>
                <c:pt idx="885">
                  <c:v>1017.12580762709</c:v>
                </c:pt>
                <c:pt idx="886">
                  <c:v>1017.12580762709</c:v>
                </c:pt>
                <c:pt idx="887">
                  <c:v>1017.12580762709</c:v>
                </c:pt>
                <c:pt idx="888">
                  <c:v>1017.12580762709</c:v>
                </c:pt>
                <c:pt idx="889">
                  <c:v>1017.12580762709</c:v>
                </c:pt>
                <c:pt idx="890">
                  <c:v>1017.12580762709</c:v>
                </c:pt>
                <c:pt idx="891">
                  <c:v>1017.12580762709</c:v>
                </c:pt>
                <c:pt idx="892">
                  <c:v>1017.12580762709</c:v>
                </c:pt>
                <c:pt idx="893">
                  <c:v>1017.12580762709</c:v>
                </c:pt>
                <c:pt idx="894">
                  <c:v>1017.12580762709</c:v>
                </c:pt>
                <c:pt idx="895">
                  <c:v>1017.12580762709</c:v>
                </c:pt>
                <c:pt idx="896">
                  <c:v>1017.12580762709</c:v>
                </c:pt>
                <c:pt idx="897">
                  <c:v>1017.12580762709</c:v>
                </c:pt>
                <c:pt idx="898">
                  <c:v>1017.12580762709</c:v>
                </c:pt>
                <c:pt idx="899">
                  <c:v>1017.12580762709</c:v>
                </c:pt>
                <c:pt idx="900">
                  <c:v>1017.12580762709</c:v>
                </c:pt>
                <c:pt idx="901">
                  <c:v>1017.12580762709</c:v>
                </c:pt>
                <c:pt idx="902">
                  <c:v>1017.12580762709</c:v>
                </c:pt>
                <c:pt idx="903">
                  <c:v>1017.12580762709</c:v>
                </c:pt>
                <c:pt idx="904">
                  <c:v>1017.12580762709</c:v>
                </c:pt>
                <c:pt idx="905">
                  <c:v>1017.12580762709</c:v>
                </c:pt>
                <c:pt idx="906">
                  <c:v>1017.12580762709</c:v>
                </c:pt>
                <c:pt idx="907">
                  <c:v>1017.12580762709</c:v>
                </c:pt>
                <c:pt idx="908">
                  <c:v>1017.12580762709</c:v>
                </c:pt>
                <c:pt idx="909">
                  <c:v>1017.12580762709</c:v>
                </c:pt>
                <c:pt idx="910">
                  <c:v>1017.12580762709</c:v>
                </c:pt>
                <c:pt idx="911">
                  <c:v>1017.12580762709</c:v>
                </c:pt>
                <c:pt idx="912">
                  <c:v>1017.12580762709</c:v>
                </c:pt>
                <c:pt idx="913">
                  <c:v>1017.12580762709</c:v>
                </c:pt>
                <c:pt idx="914">
                  <c:v>1017.12580762709</c:v>
                </c:pt>
                <c:pt idx="915">
                  <c:v>1017.12580762709</c:v>
                </c:pt>
                <c:pt idx="916">
                  <c:v>1017.12580762709</c:v>
                </c:pt>
                <c:pt idx="917">
                  <c:v>1017.12580762709</c:v>
                </c:pt>
                <c:pt idx="918">
                  <c:v>1017.12580762709</c:v>
                </c:pt>
                <c:pt idx="919">
                  <c:v>1017.12580762709</c:v>
                </c:pt>
                <c:pt idx="920">
                  <c:v>1017.12580762709</c:v>
                </c:pt>
                <c:pt idx="921">
                  <c:v>1017.12580762709</c:v>
                </c:pt>
                <c:pt idx="922">
                  <c:v>1017.12580762709</c:v>
                </c:pt>
                <c:pt idx="923">
                  <c:v>1017.12580762709</c:v>
                </c:pt>
                <c:pt idx="924">
                  <c:v>1017.12580762709</c:v>
                </c:pt>
                <c:pt idx="925">
                  <c:v>1017.12580762709</c:v>
                </c:pt>
                <c:pt idx="926">
                  <c:v>1017.12580762709</c:v>
                </c:pt>
                <c:pt idx="927">
                  <c:v>1017.12580762709</c:v>
                </c:pt>
                <c:pt idx="928">
                  <c:v>1017.12580762709</c:v>
                </c:pt>
                <c:pt idx="929">
                  <c:v>1017.12580762709</c:v>
                </c:pt>
                <c:pt idx="930">
                  <c:v>1017.12580762709</c:v>
                </c:pt>
                <c:pt idx="931">
                  <c:v>1017.12580762709</c:v>
                </c:pt>
                <c:pt idx="932">
                  <c:v>1017.12580762709</c:v>
                </c:pt>
                <c:pt idx="933">
                  <c:v>1017.12580762709</c:v>
                </c:pt>
                <c:pt idx="934">
                  <c:v>1017.12580762709</c:v>
                </c:pt>
                <c:pt idx="935">
                  <c:v>1017.12580762709</c:v>
                </c:pt>
                <c:pt idx="936">
                  <c:v>1017.12580762709</c:v>
                </c:pt>
                <c:pt idx="937">
                  <c:v>1017.12580762709</c:v>
                </c:pt>
                <c:pt idx="938">
                  <c:v>1017.12580762709</c:v>
                </c:pt>
                <c:pt idx="939">
                  <c:v>1017.12580762709</c:v>
                </c:pt>
                <c:pt idx="940">
                  <c:v>1017.12580762709</c:v>
                </c:pt>
                <c:pt idx="941">
                  <c:v>1017.12580762709</c:v>
                </c:pt>
                <c:pt idx="942">
                  <c:v>1017.12580762709</c:v>
                </c:pt>
                <c:pt idx="943">
                  <c:v>1017.12580762709</c:v>
                </c:pt>
                <c:pt idx="944">
                  <c:v>1017.12580762709</c:v>
                </c:pt>
                <c:pt idx="945">
                  <c:v>1017.12580762709</c:v>
                </c:pt>
                <c:pt idx="946">
                  <c:v>1017.12580762709</c:v>
                </c:pt>
                <c:pt idx="947">
                  <c:v>1017.12580762709</c:v>
                </c:pt>
                <c:pt idx="948">
                  <c:v>1017.12580762709</c:v>
                </c:pt>
                <c:pt idx="949">
                  <c:v>1017.12580762709</c:v>
                </c:pt>
                <c:pt idx="950">
                  <c:v>1017.12580762709</c:v>
                </c:pt>
                <c:pt idx="951">
                  <c:v>1017.12580762709</c:v>
                </c:pt>
                <c:pt idx="952">
                  <c:v>1017.12580762709</c:v>
                </c:pt>
                <c:pt idx="953">
                  <c:v>1017.12580762709</c:v>
                </c:pt>
                <c:pt idx="954">
                  <c:v>1017.12580762709</c:v>
                </c:pt>
                <c:pt idx="955">
                  <c:v>1017.12580762709</c:v>
                </c:pt>
                <c:pt idx="956">
                  <c:v>1017.12580762709</c:v>
                </c:pt>
                <c:pt idx="957">
                  <c:v>1017.12580762709</c:v>
                </c:pt>
                <c:pt idx="958">
                  <c:v>1017.12580762709</c:v>
                </c:pt>
                <c:pt idx="959">
                  <c:v>1017.12580762709</c:v>
                </c:pt>
                <c:pt idx="960">
                  <c:v>1017.12580762709</c:v>
                </c:pt>
                <c:pt idx="961">
                  <c:v>1017.12580762709</c:v>
                </c:pt>
                <c:pt idx="962">
                  <c:v>1017.12580762709</c:v>
                </c:pt>
                <c:pt idx="963">
                  <c:v>1017.12580762709</c:v>
                </c:pt>
                <c:pt idx="964">
                  <c:v>1017.12580762709</c:v>
                </c:pt>
                <c:pt idx="965">
                  <c:v>1017.12580762709</c:v>
                </c:pt>
                <c:pt idx="966">
                  <c:v>1017.12580762709</c:v>
                </c:pt>
                <c:pt idx="967">
                  <c:v>1017.12580762709</c:v>
                </c:pt>
                <c:pt idx="968">
                  <c:v>1017.12580762709</c:v>
                </c:pt>
                <c:pt idx="969">
                  <c:v>1017.12580762709</c:v>
                </c:pt>
                <c:pt idx="970">
                  <c:v>1017.12580762709</c:v>
                </c:pt>
                <c:pt idx="971">
                  <c:v>1017.12580762709</c:v>
                </c:pt>
                <c:pt idx="972">
                  <c:v>1017.12580762709</c:v>
                </c:pt>
                <c:pt idx="973">
                  <c:v>1017.12580762709</c:v>
                </c:pt>
                <c:pt idx="974">
                  <c:v>1017.12580762709</c:v>
                </c:pt>
                <c:pt idx="975">
                  <c:v>1017.12580762709</c:v>
                </c:pt>
                <c:pt idx="976">
                  <c:v>1017.12580762709</c:v>
                </c:pt>
                <c:pt idx="977">
                  <c:v>1017.12580762709</c:v>
                </c:pt>
                <c:pt idx="978">
                  <c:v>1017.12580762709</c:v>
                </c:pt>
                <c:pt idx="979">
                  <c:v>1017.12580762709</c:v>
                </c:pt>
                <c:pt idx="980">
                  <c:v>1017.12580762709</c:v>
                </c:pt>
                <c:pt idx="981">
                  <c:v>1017.12580762709</c:v>
                </c:pt>
                <c:pt idx="982">
                  <c:v>1017.12580762709</c:v>
                </c:pt>
                <c:pt idx="983">
                  <c:v>1017.12580762709</c:v>
                </c:pt>
                <c:pt idx="984">
                  <c:v>1017.12580762709</c:v>
                </c:pt>
                <c:pt idx="985">
                  <c:v>1017.12580762709</c:v>
                </c:pt>
                <c:pt idx="986">
                  <c:v>1017.12580762709</c:v>
                </c:pt>
                <c:pt idx="987">
                  <c:v>1017.12580762709</c:v>
                </c:pt>
                <c:pt idx="988">
                  <c:v>1017.12580762709</c:v>
                </c:pt>
                <c:pt idx="989">
                  <c:v>1017.12580762709</c:v>
                </c:pt>
                <c:pt idx="990">
                  <c:v>1017.12580762709</c:v>
                </c:pt>
                <c:pt idx="991">
                  <c:v>1017.12580762709</c:v>
                </c:pt>
                <c:pt idx="992">
                  <c:v>1017.12580762709</c:v>
                </c:pt>
                <c:pt idx="993">
                  <c:v>1017.12580762709</c:v>
                </c:pt>
                <c:pt idx="994">
                  <c:v>1017.12580762709</c:v>
                </c:pt>
                <c:pt idx="995">
                  <c:v>1017.12580762709</c:v>
                </c:pt>
                <c:pt idx="996">
                  <c:v>1017.12580762709</c:v>
                </c:pt>
                <c:pt idx="997">
                  <c:v>1017.12580762709</c:v>
                </c:pt>
                <c:pt idx="998">
                  <c:v>1017.12580762709</c:v>
                </c:pt>
                <c:pt idx="999">
                  <c:v>1017.12580762709</c:v>
                </c:pt>
                <c:pt idx="1000">
                  <c:v>1017.12580762709</c:v>
                </c:pt>
              </c:numCache>
            </c:numRef>
          </c:xVal>
          <c:yVal>
            <c:numRef>
              <c:f>Calculs!$AE$4:$AE$1004</c:f>
              <c:numCache>
                <c:formatCode>General</c:formatCode>
                <c:ptCount val="1001"/>
                <c:pt idx="0">
                  <c:v>0</c:v>
                </c:pt>
                <c:pt idx="1">
                  <c:v>0</c:v>
                </c:pt>
                <c:pt idx="2">
                  <c:v>0.000886599299514683</c:v>
                </c:pt>
                <c:pt idx="3">
                  <c:v>0.00445512822990102</c:v>
                </c:pt>
                <c:pt idx="4">
                  <c:v>0.0125237609457696</c:v>
                </c:pt>
                <c:pt idx="5">
                  <c:v>0.0269123436636311</c:v>
                </c:pt>
                <c:pt idx="6">
                  <c:v>0.0489825233463651</c:v>
                </c:pt>
                <c:pt idx="7">
                  <c:v>0.0791768355144557</c:v>
                </c:pt>
                <c:pt idx="8">
                  <c:v>0.117477831691603</c:v>
                </c:pt>
                <c:pt idx="9">
                  <c:v>0.163867999950866</c:v>
                </c:pt>
                <c:pt idx="10">
                  <c:v>0.218329765130187</c:v>
                </c:pt>
                <c:pt idx="11">
                  <c:v>0.28084548904954</c:v>
                </c:pt>
                <c:pt idx="12">
                  <c:v>0.351397470729712</c:v>
                </c:pt>
                <c:pt idx="13">
                  <c:v>0.429967946612676</c:v>
                </c:pt>
                <c:pt idx="14">
                  <c:v>0.516539090783578</c:v>
                </c:pt>
                <c:pt idx="15">
                  <c:v>0.61109301519429</c:v>
                </c:pt>
                <c:pt idx="16">
                  <c:v>0.713611769888542</c:v>
                </c:pt>
                <c:pt idx="17">
                  <c:v>0.824077343228604</c:v>
                </c:pt>
                <c:pt idx="18">
                  <c:v>0.942471662123513</c:v>
                </c:pt>
                <c:pt idx="19">
                  <c:v>1.06877659225883</c:v>
                </c:pt>
                <c:pt idx="20">
                  <c:v>1.20297393832791</c:v>
                </c:pt>
                <c:pt idx="21">
                  <c:v>1.34504544426469</c:v>
                </c:pt>
                <c:pt idx="22">
                  <c:v>1.4949727934779</c:v>
                </c:pt>
                <c:pt idx="23">
                  <c:v>1.65273760908688</c:v>
                </c:pt>
                <c:pt idx="24">
                  <c:v>1.81832145415871</c:v>
                </c:pt>
                <c:pt idx="25">
                  <c:v>1.99170583194687</c:v>
                </c:pt>
                <c:pt idx="26">
                  <c:v>2.17287218613136</c:v>
                </c:pt>
                <c:pt idx="27">
                  <c:v>2.36180190106013</c:v>
                </c:pt>
                <c:pt idx="28">
                  <c:v>2.55847630199202</c:v>
                </c:pt>
                <c:pt idx="29">
                  <c:v>2.76287665534105</c:v>
                </c:pt>
                <c:pt idx="30">
                  <c:v>2.97498416892209</c:v>
                </c:pt>
                <c:pt idx="31">
                  <c:v>3.19477999219785</c:v>
                </c:pt>
                <c:pt idx="32">
                  <c:v>3.42224521652733</c:v>
                </c:pt>
                <c:pt idx="33">
                  <c:v>3.65736087541546</c:v>
                </c:pt>
                <c:pt idx="34">
                  <c:v>3.90010794476418</c:v>
                </c:pt>
                <c:pt idx="35">
                  <c:v>4.15046734312471</c:v>
                </c:pt>
                <c:pt idx="36">
                  <c:v>4.40840513511947</c:v>
                </c:pt>
                <c:pt idx="37">
                  <c:v>4.67388685351736</c:v>
                </c:pt>
                <c:pt idx="38">
                  <c:v>4.94689230160397</c:v>
                </c:pt>
                <c:pt idx="39">
                  <c:v>5.22740124334607</c:v>
                </c:pt>
                <c:pt idx="40">
                  <c:v>5.51539340956389</c:v>
                </c:pt>
                <c:pt idx="41">
                  <c:v>5.8108484971669</c:v>
                </c:pt>
                <c:pt idx="42">
                  <c:v>6.11374616846535</c:v>
                </c:pt>
                <c:pt idx="43">
                  <c:v>6.42406605055037</c:v>
                </c:pt>
                <c:pt idx="44">
                  <c:v>6.7417877347362</c:v>
                </c:pt>
                <c:pt idx="45">
                  <c:v>7.06689077605901</c:v>
                </c:pt>
                <c:pt idx="46">
                  <c:v>7.39935469282721</c:v>
                </c:pt>
                <c:pt idx="47">
                  <c:v>7.73915896621884</c:v>
                </c:pt>
                <c:pt idx="48">
                  <c:v>8.08628303992209</c:v>
                </c:pt>
                <c:pt idx="49">
                  <c:v>8.44070631981545</c:v>
                </c:pt>
                <c:pt idx="50">
                  <c:v>8.80240817368416</c:v>
                </c:pt>
                <c:pt idx="51">
                  <c:v>9.17137034682917</c:v>
                </c:pt>
                <c:pt idx="52">
                  <c:v>9.54757938061544</c:v>
                </c:pt>
                <c:pt idx="53">
                  <c:v>9.93102420059173</c:v>
                </c:pt>
                <c:pt idx="54">
                  <c:v>10.321693701672</c:v>
                </c:pt>
                <c:pt idx="55">
                  <c:v>10.7195767478822</c:v>
                </c:pt>
                <c:pt idx="56">
                  <c:v>11.1246621721265</c:v>
                </c:pt>
                <c:pt idx="57">
                  <c:v>11.5369387759725</c:v>
                </c:pt>
                <c:pt idx="58">
                  <c:v>11.9563953294543</c:v>
                </c:pt>
                <c:pt idx="59">
                  <c:v>12.3830205708915</c:v>
                </c:pt>
                <c:pt idx="60">
                  <c:v>12.816803206723</c:v>
                </c:pt>
                <c:pt idx="61">
                  <c:v>13.2577319113566</c:v>
                </c:pt>
                <c:pt idx="62">
                  <c:v>13.7057953270311</c:v>
                </c:pt>
                <c:pt idx="63">
                  <c:v>14.1609820636909</c:v>
                </c:pt>
                <c:pt idx="64">
                  <c:v>14.623280698874</c:v>
                </c:pt>
                <c:pt idx="65">
                  <c:v>15.0926797776097</c:v>
                </c:pt>
                <c:pt idx="66">
                  <c:v>15.569167812328</c:v>
                </c:pt>
                <c:pt idx="67">
                  <c:v>16.0527332827793</c:v>
                </c:pt>
                <c:pt idx="68">
                  <c:v>16.5433646359626</c:v>
                </c:pt>
                <c:pt idx="69">
                  <c:v>17.0410502860639</c:v>
                </c:pt>
                <c:pt idx="70">
                  <c:v>17.545778614403</c:v>
                </c:pt>
                <c:pt idx="71">
                  <c:v>18.0575379693877</c:v>
                </c:pt>
                <c:pt idx="72">
                  <c:v>18.576316666477</c:v>
                </c:pt>
                <c:pt idx="73">
                  <c:v>19.1021029881506</c:v>
                </c:pt>
                <c:pt idx="74">
                  <c:v>19.6348851838865</c:v>
                </c:pt>
                <c:pt idx="75">
                  <c:v>20.1746514701443</c:v>
                </c:pt>
                <c:pt idx="76">
                  <c:v>20.7213900303556</c:v>
                </c:pt>
                <c:pt idx="77">
                  <c:v>21.2750890149206</c:v>
                </c:pt>
                <c:pt idx="78">
                  <c:v>21.8357365412097</c:v>
                </c:pt>
                <c:pt idx="79">
                  <c:v>22.4033206935719</c:v>
                </c:pt>
                <c:pt idx="80">
                  <c:v>22.9778295233478</c:v>
                </c:pt>
                <c:pt idx="81">
                  <c:v>23.5592510488876</c:v>
                </c:pt>
                <c:pt idx="82">
                  <c:v>24.1475732555747</c:v>
                </c:pt>
                <c:pt idx="83">
                  <c:v>24.7427840958536</c:v>
                </c:pt>
                <c:pt idx="84">
                  <c:v>25.3448714892622</c:v>
                </c:pt>
                <c:pt idx="85">
                  <c:v>25.9538233224689</c:v>
                </c:pt>
                <c:pt idx="86">
                  <c:v>26.5696274493133</c:v>
                </c:pt>
                <c:pt idx="87">
                  <c:v>27.1922716908518</c:v>
                </c:pt>
                <c:pt idx="88">
                  <c:v>27.821743835406</c:v>
                </c:pt>
                <c:pt idx="89">
                  <c:v>28.4580316386156</c:v>
                </c:pt>
                <c:pt idx="90">
                  <c:v>29.1011228234948</c:v>
                </c:pt>
                <c:pt idx="91">
                  <c:v>29.7510050804919</c:v>
                </c:pt>
                <c:pt idx="92">
                  <c:v>30.4076660675523</c:v>
                </c:pt>
                <c:pt idx="93">
                  <c:v>31.0710934101852</c:v>
                </c:pt>
                <c:pt idx="94">
                  <c:v>31.7412747015326</c:v>
                </c:pt>
                <c:pt idx="95">
                  <c:v>32.418197502442</c:v>
                </c:pt>
                <c:pt idx="96">
                  <c:v>33.1018493415417</c:v>
                </c:pt>
                <c:pt idx="97">
                  <c:v>33.7922177153192</c:v>
                </c:pt>
                <c:pt idx="98">
                  <c:v>34.4892900882017</c:v>
                </c:pt>
                <c:pt idx="99">
                  <c:v>35.19305389264</c:v>
                </c:pt>
                <c:pt idx="100">
                  <c:v>35.9034965291947</c:v>
                </c:pt>
                <c:pt idx="101">
                  <c:v>36.6206042580729</c:v>
                </c:pt>
                <c:pt idx="102">
                  <c:v>37.3443610895686</c:v>
                </c:pt>
                <c:pt idx="103">
                  <c:v>38.0747498912897</c:v>
                </c:pt>
                <c:pt idx="104">
                  <c:v>38.8117534965204</c:v>
                </c:pt>
                <c:pt idx="105">
                  <c:v>39.5553547043826</c:v>
                </c:pt>
                <c:pt idx="106">
                  <c:v>40.3055362799993</c:v>
                </c:pt>
                <c:pt idx="107">
                  <c:v>41.0622809546605</c:v>
                </c:pt>
                <c:pt idx="108">
                  <c:v>41.825571425991</c:v>
                </c:pt>
                <c:pt idx="109">
                  <c:v>42.5953903581207</c:v>
                </c:pt>
                <c:pt idx="110">
                  <c:v>43.3717203818559</c:v>
                </c:pt>
                <c:pt idx="111">
                  <c:v>44.1545440948537</c:v>
                </c:pt>
                <c:pt idx="112">
                  <c:v>44.9438440617979</c:v>
                </c:pt>
                <c:pt idx="113">
                  <c:v>45.7396028145756</c:v>
                </c:pt>
                <c:pt idx="114">
                  <c:v>46.5418028524577</c:v>
                </c:pt>
                <c:pt idx="115">
                  <c:v>47.3504266422788</c:v>
                </c:pt>
                <c:pt idx="116">
                  <c:v>48.1654566186204</c:v>
                </c:pt>
                <c:pt idx="117">
                  <c:v>48.9868751839951</c:v>
                </c:pt>
                <c:pt idx="118">
                  <c:v>49.8146647090317</c:v>
                </c:pt>
                <c:pt idx="119">
                  <c:v>50.6488075326633</c:v>
                </c:pt>
                <c:pt idx="120">
                  <c:v>51.4892859623152</c:v>
                </c:pt>
                <c:pt idx="121">
                  <c:v>52.3360822740953</c:v>
                </c:pt>
                <c:pt idx="122">
                  <c:v>53.1891787129853</c:v>
                </c:pt>
                <c:pt idx="123">
                  <c:v>54.0485574930335</c:v>
                </c:pt>
                <c:pt idx="124">
                  <c:v>54.9142007975487</c:v>
                </c:pt>
                <c:pt idx="125">
                  <c:v>55.7860907792954</c:v>
                </c:pt>
                <c:pt idx="126">
                  <c:v>56.6642095606902</c:v>
                </c:pt>
                <c:pt idx="127">
                  <c:v>57.5485392339992</c:v>
                </c:pt>
                <c:pt idx="128">
                  <c:v>58.4390618615367</c:v>
                </c:pt>
                <c:pt idx="129">
                  <c:v>59.3357594758647</c:v>
                </c:pt>
                <c:pt idx="130">
                  <c:v>60.2386140799942</c:v>
                </c:pt>
                <c:pt idx="131">
                  <c:v>61.1476076475863</c:v>
                </c:pt>
                <c:pt idx="132">
                  <c:v>62.0627221231552</c:v>
                </c:pt>
                <c:pt idx="133">
                  <c:v>62.9839394222718</c:v>
                </c:pt>
                <c:pt idx="134">
                  <c:v>63.9112414317686</c:v>
                </c:pt>
                <c:pt idx="135">
                  <c:v>64.8446100099444</c:v>
                </c:pt>
                <c:pt idx="136">
                  <c:v>65.7840269867716</c:v>
                </c:pt>
                <c:pt idx="137">
                  <c:v>66.7294741641023</c:v>
                </c:pt>
                <c:pt idx="138">
                  <c:v>67.6809333158771</c:v>
                </c:pt>
                <c:pt idx="139">
                  <c:v>68.6383861883332</c:v>
                </c:pt>
                <c:pt idx="140">
                  <c:v>69.601814500214</c:v>
                </c:pt>
                <c:pt idx="141">
                  <c:v>70.5711999429793</c:v>
                </c:pt>
                <c:pt idx="142">
                  <c:v>71.5465241810161</c:v>
                </c:pt>
                <c:pt idx="143">
                  <c:v>72.5277688518498</c:v>
                </c:pt>
                <c:pt idx="144">
                  <c:v>73.5149155663568</c:v>
                </c:pt>
                <c:pt idx="145">
                  <c:v>74.5079459089767</c:v>
                </c:pt>
                <c:pt idx="146">
                  <c:v>75.506841437926</c:v>
                </c:pt>
                <c:pt idx="147">
                  <c:v>76.5115836854117</c:v>
                </c:pt>
                <c:pt idx="148">
                  <c:v>77.5221541578458</c:v>
                </c:pt>
                <c:pt idx="149">
                  <c:v>78.5385343360602</c:v>
                </c:pt>
                <c:pt idx="150">
                  <c:v>79.5607056755223</c:v>
                </c:pt>
                <c:pt idx="151">
                  <c:v>80.5886499822593</c:v>
                </c:pt>
                <c:pt idx="152">
                  <c:v>81.6223497890387</c:v>
                </c:pt>
                <c:pt idx="153">
                  <c:v>82.6617879801364</c:v>
                </c:pt>
                <c:pt idx="154">
                  <c:v>83.7069474158421</c:v>
                </c:pt>
                <c:pt idx="155">
                  <c:v>84.7578109326538</c:v>
                </c:pt>
                <c:pt idx="156">
                  <c:v>85.8143613434748</c:v>
                </c:pt>
                <c:pt idx="157">
                  <c:v>86.876581437809</c:v>
                </c:pt>
                <c:pt idx="158">
                  <c:v>87.9444539819586</c:v>
                </c:pt>
                <c:pt idx="159">
                  <c:v>89.0179617192205</c:v>
                </c:pt>
                <c:pt idx="160">
                  <c:v>90.0970873700843</c:v>
                </c:pt>
                <c:pt idx="161">
                  <c:v>91.1818136324295</c:v>
                </c:pt>
                <c:pt idx="162">
                  <c:v>92.2721231817242</c:v>
                </c:pt>
                <c:pt idx="163">
                  <c:v>93.3679986712229</c:v>
                </c:pt>
                <c:pt idx="164">
                  <c:v>94.4694227321655</c:v>
                </c:pt>
                <c:pt idx="165">
                  <c:v>95.5763779739763</c:v>
                </c:pt>
                <c:pt idx="166">
                  <c:v>96.6888469844628</c:v>
                </c:pt>
                <c:pt idx="167">
                  <c:v>97.8068123300154</c:v>
                </c:pt>
                <c:pt idx="168">
                  <c:v>98.9302565558071</c:v>
                </c:pt>
                <c:pt idx="169">
                  <c:v>100.059162185993</c:v>
                </c:pt>
                <c:pt idx="170">
                  <c:v>101.19351172391</c:v>
                </c:pt>
                <c:pt idx="171">
                  <c:v>102.333287652279</c:v>
                </c:pt>
                <c:pt idx="172">
                  <c:v>103.478472433402</c:v>
                </c:pt>
                <c:pt idx="173">
                  <c:v>104.629048509364</c:v>
                </c:pt>
                <c:pt idx="174">
                  <c:v>105.784998302236</c:v>
                </c:pt>
                <c:pt idx="175">
                  <c:v>106.946304214273</c:v>
                </c:pt>
                <c:pt idx="176">
                  <c:v>108.112948628113</c:v>
                </c:pt>
                <c:pt idx="177">
                  <c:v>109.284913906984</c:v>
                </c:pt>
                <c:pt idx="178">
                  <c:v>110.4621823949</c:v>
                </c:pt>
                <c:pt idx="179">
                  <c:v>111.644736416862</c:v>
                </c:pt>
                <c:pt idx="180">
                  <c:v>112.832558279062</c:v>
                </c:pt>
                <c:pt idx="181">
                  <c:v>114.025630269084</c:v>
                </c:pt>
                <c:pt idx="182">
                  <c:v>115.223934656101</c:v>
                </c:pt>
                <c:pt idx="183">
                  <c:v>116.427453691083</c:v>
                </c:pt>
                <c:pt idx="184">
                  <c:v>117.636169606991</c:v>
                </c:pt>
                <c:pt idx="185">
                  <c:v>118.850064618984</c:v>
                </c:pt>
                <c:pt idx="186">
                  <c:v>120.069120924616</c:v>
                </c:pt>
                <c:pt idx="187">
                  <c:v>121.29332070404</c:v>
                </c:pt>
                <c:pt idx="188">
                  <c:v>122.522646120209</c:v>
                </c:pt>
                <c:pt idx="189">
                  <c:v>123.757079319074</c:v>
                </c:pt>
                <c:pt idx="190">
                  <c:v>124.996602429788</c:v>
                </c:pt>
                <c:pt idx="191">
                  <c:v>126.241197564907</c:v>
                </c:pt>
                <c:pt idx="192">
                  <c:v>127.490846820588</c:v>
                </c:pt>
                <c:pt idx="193">
                  <c:v>128.745532276794</c:v>
                </c:pt>
                <c:pt idx="194">
                  <c:v>130.00523599749</c:v>
                </c:pt>
                <c:pt idx="195">
                  <c:v>131.269940030847</c:v>
                </c:pt>
                <c:pt idx="196">
                  <c:v>132.53962640944</c:v>
                </c:pt>
                <c:pt idx="197">
                  <c:v>133.814277150449</c:v>
                </c:pt>
                <c:pt idx="198">
                  <c:v>135.093874255861</c:v>
                </c:pt>
                <c:pt idx="199">
                  <c:v>136.378399712667</c:v>
                </c:pt>
                <c:pt idx="200">
                  <c:v>137.667835493061</c:v>
                </c:pt>
                <c:pt idx="201">
                  <c:v>138.962163554646</c:v>
                </c:pt>
                <c:pt idx="202">
                  <c:v>140.261365840624</c:v>
                </c:pt>
                <c:pt idx="203">
                  <c:v>141.565424280003</c:v>
                </c:pt>
                <c:pt idx="204">
                  <c:v>142.87432078779</c:v>
                </c:pt>
                <c:pt idx="205">
                  <c:v>144.188037265196</c:v>
                </c:pt>
                <c:pt idx="206">
                  <c:v>145.506555599828</c:v>
                </c:pt>
                <c:pt idx="207">
                  <c:v>146.829857665891</c:v>
                </c:pt>
                <c:pt idx="208">
                  <c:v>148.157925324385</c:v>
                </c:pt>
                <c:pt idx="209">
                  <c:v>149.490740423305</c:v>
                </c:pt>
                <c:pt idx="210">
                  <c:v>150.828284797831</c:v>
                </c:pt>
                <c:pt idx="211">
                  <c:v>152.170540270537</c:v>
                </c:pt>
                <c:pt idx="212">
                  <c:v>153.517488651576</c:v>
                </c:pt>
                <c:pt idx="213">
                  <c:v>154.869111738885</c:v>
                </c:pt>
                <c:pt idx="214">
                  <c:v>156.225391318377</c:v>
                </c:pt>
                <c:pt idx="215">
                  <c:v>157.586309164138</c:v>
                </c:pt>
                <c:pt idx="216">
                  <c:v>158.951847038622</c:v>
                </c:pt>
                <c:pt idx="217">
                  <c:v>160.32198669285</c:v>
                </c:pt>
                <c:pt idx="218">
                  <c:v>161.696709866598</c:v>
                </c:pt>
                <c:pt idx="219">
                  <c:v>163.075998288599</c:v>
                </c:pt>
                <c:pt idx="220">
                  <c:v>164.459833676732</c:v>
                </c:pt>
                <c:pt idx="221">
                  <c:v>165.848197738218</c:v>
                </c:pt>
                <c:pt idx="222">
                  <c:v>167.241072169814</c:v>
                </c:pt>
                <c:pt idx="223">
                  <c:v>168.638438658005</c:v>
                </c:pt>
                <c:pt idx="224">
                  <c:v>170.040278879197</c:v>
                </c:pt>
                <c:pt idx="225">
                  <c:v>171.446574499911</c:v>
                </c:pt>
                <c:pt idx="226">
                  <c:v>172.857307176971</c:v>
                </c:pt>
                <c:pt idx="227">
                  <c:v>174.272458557701</c:v>
                </c:pt>
                <c:pt idx="228">
                  <c:v>175.692010280111</c:v>
                </c:pt>
                <c:pt idx="229">
                  <c:v>177.115943973092</c:v>
                </c:pt>
                <c:pt idx="230">
                  <c:v>178.544241256601</c:v>
                </c:pt>
                <c:pt idx="231">
                  <c:v>179.976883741859</c:v>
                </c:pt>
                <c:pt idx="232">
                  <c:v>181.41385303153</c:v>
                </c:pt>
                <c:pt idx="233">
                  <c:v>182.85513071992</c:v>
                </c:pt>
                <c:pt idx="234">
                  <c:v>184.300698393158</c:v>
                </c:pt>
                <c:pt idx="235">
                  <c:v>185.750537629389</c:v>
                </c:pt>
                <c:pt idx="236">
                  <c:v>187.204629998958</c:v>
                </c:pt>
                <c:pt idx="237">
                  <c:v>188.662957064599</c:v>
                </c:pt>
                <c:pt idx="238">
                  <c:v>190.125500381621</c:v>
                </c:pt>
                <c:pt idx="239">
                  <c:v>191.592241498094</c:v>
                </c:pt>
                <c:pt idx="240">
                  <c:v>193.063161955036</c:v>
                </c:pt>
                <c:pt idx="241">
                  <c:v>194.538243286595</c:v>
                </c:pt>
                <c:pt idx="242">
                  <c:v>196.017467020237</c:v>
                </c:pt>
                <c:pt idx="243">
                  <c:v>197.500814676927</c:v>
                </c:pt>
                <c:pt idx="244">
                  <c:v>198.988267771316</c:v>
                </c:pt>
                <c:pt idx="245">
                  <c:v>200.479807811919</c:v>
                </c:pt>
                <c:pt idx="246">
                  <c:v>201.975416301304</c:v>
                </c:pt>
                <c:pt idx="247">
                  <c:v>203.475074736266</c:v>
                </c:pt>
                <c:pt idx="248">
                  <c:v>204.978764608017</c:v>
                </c:pt>
                <c:pt idx="249">
                  <c:v>206.486467402359</c:v>
                </c:pt>
                <c:pt idx="250">
                  <c:v>207.998164599869</c:v>
                </c:pt>
                <c:pt idx="251">
                  <c:v>209.513836066762</c:v>
                </c:pt>
                <c:pt idx="252">
                  <c:v>211.033458445619</c:v>
                </c:pt>
                <c:pt idx="253">
                  <c:v>212.557006765485</c:v>
                </c:pt>
                <c:pt idx="254">
                  <c:v>214.084456052128</c:v>
                </c:pt>
                <c:pt idx="255">
                  <c:v>215.615781328299</c:v>
                </c:pt>
                <c:pt idx="256">
                  <c:v>217.150957613994</c:v>
                </c:pt>
                <c:pt idx="257">
                  <c:v>218.68995992671</c:v>
                </c:pt>
                <c:pt idx="258">
                  <c:v>220.232763281703</c:v>
                </c:pt>
                <c:pt idx="259">
                  <c:v>221.779342692243</c:v>
                </c:pt>
                <c:pt idx="260">
                  <c:v>223.32967316987</c:v>
                </c:pt>
                <c:pt idx="261">
                  <c:v>224.883729724647</c:v>
                </c:pt>
                <c:pt idx="262">
                  <c:v>226.441487365412</c:v>
                </c:pt>
                <c:pt idx="263">
                  <c:v>228.002921100029</c:v>
                </c:pt>
                <c:pt idx="264">
                  <c:v>229.568005935641</c:v>
                </c:pt>
                <c:pt idx="265">
                  <c:v>231.136716878913</c:v>
                </c:pt>
                <c:pt idx="266">
                  <c:v>232.709028936287</c:v>
                </c:pt>
                <c:pt idx="267">
                  <c:v>234.284917114222</c:v>
                </c:pt>
                <c:pt idx="268">
                  <c:v>235.864356419442</c:v>
                </c:pt>
                <c:pt idx="269">
                  <c:v>237.447321859181</c:v>
                </c:pt>
                <c:pt idx="270">
                  <c:v>239.033788441425</c:v>
                </c:pt>
                <c:pt idx="271">
                  <c:v>240.623731175152</c:v>
                </c:pt>
                <c:pt idx="272">
                  <c:v>242.217125070574</c:v>
                </c:pt>
                <c:pt idx="273">
                  <c:v>243.813945139375</c:v>
                </c:pt>
                <c:pt idx="274">
                  <c:v>245.414166394952</c:v>
                </c:pt>
                <c:pt idx="275">
                  <c:v>247.017763852646</c:v>
                </c:pt>
                <c:pt idx="276">
                  <c:v>248.624712529983</c:v>
                </c:pt>
                <c:pt idx="277">
                  <c:v>250.234987446904</c:v>
                </c:pt>
                <c:pt idx="278">
                  <c:v>251.848563626</c:v>
                </c:pt>
                <c:pt idx="279">
                  <c:v>253.465416092741</c:v>
                </c:pt>
                <c:pt idx="280">
                  <c:v>255.085519875712</c:v>
                </c:pt>
                <c:pt idx="281">
                  <c:v>256.708850006834</c:v>
                </c:pt>
                <c:pt idx="282">
                  <c:v>258.335381521598</c:v>
                </c:pt>
                <c:pt idx="283">
                  <c:v>259.965089459288</c:v>
                </c:pt>
                <c:pt idx="284">
                  <c:v>261.597948863208</c:v>
                </c:pt>
                <c:pt idx="285">
                  <c:v>263.233934780904</c:v>
                </c:pt>
                <c:pt idx="286">
                  <c:v>264.873022264387</c:v>
                </c:pt>
                <c:pt idx="287">
                  <c:v>266.515186370356</c:v>
                </c:pt>
                <c:pt idx="288">
                  <c:v>268.160402160416</c:v>
                </c:pt>
                <c:pt idx="289">
                  <c:v>269.808644701295</c:v>
                </c:pt>
                <c:pt idx="290">
                  <c:v>271.459889065065</c:v>
                </c:pt>
                <c:pt idx="291">
                  <c:v>273.114110329355</c:v>
                </c:pt>
                <c:pt idx="292">
                  <c:v>274.771283577567</c:v>
                </c:pt>
                <c:pt idx="293">
                  <c:v>276.431383899089</c:v>
                </c:pt>
                <c:pt idx="294">
                  <c:v>278.094386389504</c:v>
                </c:pt>
                <c:pt idx="295">
                  <c:v>279.760266150806</c:v>
                </c:pt>
                <c:pt idx="296">
                  <c:v>281.428998291605</c:v>
                </c:pt>
                <c:pt idx="297">
                  <c:v>283.100557927335</c:v>
                </c:pt>
                <c:pt idx="298">
                  <c:v>284.774902571347</c:v>
                </c:pt>
                <c:pt idx="299">
                  <c:v>286.451954530458</c:v>
                </c:pt>
                <c:pt idx="300">
                  <c:v>288.13161853087</c:v>
                </c:pt>
                <c:pt idx="301">
                  <c:v>289.813799340406</c:v>
                </c:pt>
                <c:pt idx="302">
                  <c:v>291.498401770284</c:v>
                </c:pt>
                <c:pt idx="303">
                  <c:v>293.185330676862</c:v>
                </c:pt>
                <c:pt idx="304">
                  <c:v>294.874490963368</c:v>
                </c:pt>
                <c:pt idx="305">
                  <c:v>296.565787581617</c:v>
                </c:pt>
                <c:pt idx="306">
                  <c:v>298.259125533696</c:v>
                </c:pt>
                <c:pt idx="307">
                  <c:v>299.954409873646</c:v>
                </c:pt>
                <c:pt idx="308">
                  <c:v>301.651545709113</c:v>
                </c:pt>
                <c:pt idx="309">
                  <c:v>303.350438202983</c:v>
                </c:pt>
                <c:pt idx="310">
                  <c:v>305.050992575007</c:v>
                </c:pt>
                <c:pt idx="311">
                  <c:v>306.75311410339</c:v>
                </c:pt>
                <c:pt idx="312">
                  <c:v>308.456708126379</c:v>
                </c:pt>
                <c:pt idx="313">
                  <c:v>310.161680043819</c:v>
                </c:pt>
                <c:pt idx="314">
                  <c:v>311.867935318694</c:v>
                </c:pt>
                <c:pt idx="315">
                  <c:v>313.575379478655</c:v>
                </c:pt>
                <c:pt idx="316">
                  <c:v>315.283918117518</c:v>
                </c:pt>
                <c:pt idx="317">
                  <c:v>316.99345689675</c:v>
                </c:pt>
                <c:pt idx="318">
                  <c:v>318.703901546938</c:v>
                </c:pt>
                <c:pt idx="319">
                  <c:v>320.415157869228</c:v>
                </c:pt>
                <c:pt idx="320">
                  <c:v>322.127131736761</c:v>
                </c:pt>
                <c:pt idx="321">
                  <c:v>323.839736089868</c:v>
                </c:pt>
                <c:pt idx="322">
                  <c:v>325.552897926152</c:v>
                </c:pt>
                <c:pt idx="323">
                  <c:v>327.266551296349</c:v>
                </c:pt>
                <c:pt idx="324">
                  <c:v>328.980630304944</c:v>
                </c:pt>
                <c:pt idx="325">
                  <c:v>330.695069110826</c:v>
                </c:pt>
                <c:pt idx="326">
                  <c:v>332.409801927942</c:v>
                </c:pt>
                <c:pt idx="327">
                  <c:v>334.124763025925</c:v>
                </c:pt>
                <c:pt idx="328">
                  <c:v>335.839886730737</c:v>
                </c:pt>
                <c:pt idx="329">
                  <c:v>337.555107425276</c:v>
                </c:pt>
                <c:pt idx="330">
                  <c:v>339.270359549995</c:v>
                </c:pt>
                <c:pt idx="331">
                  <c:v>340.985577603502</c:v>
                </c:pt>
                <c:pt idx="332">
                  <c:v>342.700696143148</c:v>
                </c:pt>
                <c:pt idx="333">
                  <c:v>344.415649785616</c:v>
                </c:pt>
                <c:pt idx="334">
                  <c:v>346.130373207487</c:v>
                </c:pt>
                <c:pt idx="335">
                  <c:v>347.844801145811</c:v>
                </c:pt>
                <c:pt idx="336">
                  <c:v>349.55886839866</c:v>
                </c:pt>
                <c:pt idx="337">
                  <c:v>351.272509825671</c:v>
                </c:pt>
                <c:pt idx="338">
                  <c:v>352.985660348588</c:v>
                </c:pt>
                <c:pt idx="339">
                  <c:v>354.698254951783</c:v>
                </c:pt>
                <c:pt idx="340">
                  <c:v>356.410228682782</c:v>
                </c:pt>
                <c:pt idx="341">
                  <c:v>358.121516652768</c:v>
                </c:pt>
                <c:pt idx="342">
                  <c:v>359.832054037085</c:v>
                </c:pt>
                <c:pt idx="343">
                  <c:v>361.541776075727</c:v>
                </c:pt>
                <c:pt idx="344">
                  <c:v>363.250618073825</c:v>
                </c:pt>
                <c:pt idx="345">
                  <c:v>364.958515402112</c:v>
                </c:pt>
                <c:pt idx="346">
                  <c:v>366.665403497398</c:v>
                </c:pt>
                <c:pt idx="347">
                  <c:v>368.371217863017</c:v>
                </c:pt>
                <c:pt idx="348">
                  <c:v>370.075894822603</c:v>
                </c:pt>
                <c:pt idx="349">
                  <c:v>371.779372273042</c:v>
                </c:pt>
                <c:pt idx="350">
                  <c:v>373.481588929917</c:v>
                </c:pt>
                <c:pt idx="351">
                  <c:v>375.182483573755</c:v>
                </c:pt>
                <c:pt idx="352">
                  <c:v>376.881995050387</c:v>
                </c:pt>
                <c:pt idx="353">
                  <c:v>378.580062271306</c:v>
                </c:pt>
                <c:pt idx="354">
                  <c:v>380.276624214016</c:v>
                </c:pt>
                <c:pt idx="355">
                  <c:v>381.971619922372</c:v>
                </c:pt>
                <c:pt idx="356">
                  <c:v>383.664988506916</c:v>
                </c:pt>
                <c:pt idx="357">
                  <c:v>385.3566691452</c:v>
                </c:pt>
                <c:pt idx="358">
                  <c:v>387.046601082107</c:v>
                </c:pt>
                <c:pt idx="359">
                  <c:v>388.734723630157</c:v>
                </c:pt>
                <c:pt idx="360">
                  <c:v>390.420991830062</c:v>
                </c:pt>
                <c:pt idx="361">
                  <c:v>392.105392092282</c:v>
                </c:pt>
                <c:pt idx="362">
                  <c:v>393.787926500163</c:v>
                </c:pt>
                <c:pt idx="363">
                  <c:v>395.468597131911</c:v>
                </c:pt>
                <c:pt idx="364">
                  <c:v>397.147406060611</c:v>
                </c:pt>
                <c:pt idx="365">
                  <c:v>398.824355354241</c:v>
                </c:pt>
                <c:pt idx="366">
                  <c:v>400.499447075689</c:v>
                </c:pt>
                <c:pt idx="367">
                  <c:v>402.17268328277</c:v>
                </c:pt>
                <c:pt idx="368">
                  <c:v>403.84406602824</c:v>
                </c:pt>
                <c:pt idx="369">
                  <c:v>405.513597359812</c:v>
                </c:pt>
                <c:pt idx="370">
                  <c:v>407.181279320173</c:v>
                </c:pt>
                <c:pt idx="371">
                  <c:v>408.847113947</c:v>
                </c:pt>
                <c:pt idx="372">
                  <c:v>410.511103272972</c:v>
                </c:pt>
                <c:pt idx="373">
                  <c:v>412.173249325792</c:v>
                </c:pt>
                <c:pt idx="374">
                  <c:v>413.833554128195</c:v>
                </c:pt>
                <c:pt idx="375">
                  <c:v>415.492019697971</c:v>
                </c:pt>
                <c:pt idx="376">
                  <c:v>417.148648047974</c:v>
                </c:pt>
                <c:pt idx="377">
                  <c:v>418.803441186141</c:v>
                </c:pt>
                <c:pt idx="378">
                  <c:v>420.456401115506</c:v>
                </c:pt>
                <c:pt idx="379">
                  <c:v>422.107529834216</c:v>
                </c:pt>
                <c:pt idx="380">
                  <c:v>423.756829335546</c:v>
                </c:pt>
                <c:pt idx="381">
                  <c:v>425.404301607912</c:v>
                </c:pt>
                <c:pt idx="382">
                  <c:v>427.04994863489</c:v>
                </c:pt>
                <c:pt idx="383">
                  <c:v>428.693772395227</c:v>
                </c:pt>
                <c:pt idx="384">
                  <c:v>430.335774862858</c:v>
                </c:pt>
                <c:pt idx="385">
                  <c:v>431.975958006923</c:v>
                </c:pt>
                <c:pt idx="386">
                  <c:v>433.614323791775</c:v>
                </c:pt>
                <c:pt idx="387">
                  <c:v>435.250874177002</c:v>
                </c:pt>
                <c:pt idx="388">
                  <c:v>436.885611117438</c:v>
                </c:pt>
                <c:pt idx="389">
                  <c:v>438.51853656318</c:v>
                </c:pt>
                <c:pt idx="390">
                  <c:v>440.149652459597</c:v>
                </c:pt>
                <c:pt idx="391">
                  <c:v>441.778960747352</c:v>
                </c:pt>
                <c:pt idx="392">
                  <c:v>443.406463362412</c:v>
                </c:pt>
                <c:pt idx="393">
                  <c:v>445.032162236063</c:v>
                </c:pt>
                <c:pt idx="394">
                  <c:v>446.656059294923</c:v>
                </c:pt>
                <c:pt idx="395">
                  <c:v>448.278156460961</c:v>
                </c:pt>
                <c:pt idx="396">
                  <c:v>449.898455651507</c:v>
                </c:pt>
                <c:pt idx="397">
                  <c:v>451.516958779265</c:v>
                </c:pt>
                <c:pt idx="398">
                  <c:v>453.133667752332</c:v>
                </c:pt>
                <c:pt idx="399">
                  <c:v>454.748584474209</c:v>
                </c:pt>
                <c:pt idx="400">
                  <c:v>456.361710843814</c:v>
                </c:pt>
                <c:pt idx="401">
                  <c:v>472.394651925885</c:v>
                </c:pt>
                <c:pt idx="402">
                  <c:v>488.249779599886</c:v>
                </c:pt>
                <c:pt idx="403">
                  <c:v>503.928947125683</c:v>
                </c:pt>
                <c:pt idx="404">
                  <c:v>519.433963826796</c:v>
                </c:pt>
                <c:pt idx="405">
                  <c:v>534.766596395646</c:v>
                </c:pt>
                <c:pt idx="406">
                  <c:v>549.928570149135</c:v>
                </c:pt>
                <c:pt idx="407">
                  <c:v>564.921570236802</c:v>
                </c:pt>
                <c:pt idx="408">
                  <c:v>579.747242803692</c:v>
                </c:pt>
                <c:pt idx="409">
                  <c:v>594.407196109961</c:v>
                </c:pt>
                <c:pt idx="410">
                  <c:v>608.903001609113</c:v>
                </c:pt>
                <c:pt idx="411">
                  <c:v>623.236194986719</c:v>
                </c:pt>
                <c:pt idx="412">
                  <c:v>637.408277161302</c:v>
                </c:pt>
                <c:pt idx="413">
                  <c:v>651.420715249054</c:v>
                </c:pt>
                <c:pt idx="414">
                  <c:v>665.27494349392</c:v>
                </c:pt>
                <c:pt idx="415">
                  <c:v>678.972364164529</c:v>
                </c:pt>
                <c:pt idx="416">
                  <c:v>692.514348419381</c:v>
                </c:pt>
                <c:pt idx="417">
                  <c:v>705.902237141607</c:v>
                </c:pt>
                <c:pt idx="418">
                  <c:v>719.13734174458</c:v>
                </c:pt>
                <c:pt idx="419">
                  <c:v>732.220944949586</c:v>
                </c:pt>
                <c:pt idx="420">
                  <c:v>745.154301536688</c:v>
                </c:pt>
                <c:pt idx="421">
                  <c:v>757.938639069888</c:v>
                </c:pt>
                <c:pt idx="422">
                  <c:v>770.575158597618</c:v>
                </c:pt>
                <c:pt idx="423">
                  <c:v>783.065035329567</c:v>
                </c:pt>
                <c:pt idx="424">
                  <c:v>795.409419290757</c:v>
                </c:pt>
                <c:pt idx="425">
                  <c:v>807.609435953807</c:v>
                </c:pt>
                <c:pt idx="426">
                  <c:v>819.666186850216</c:v>
                </c:pt>
                <c:pt idx="427">
                  <c:v>831.580750161487</c:v>
                </c:pt>
                <c:pt idx="428">
                  <c:v>843.354181290892</c:v>
                </c:pt>
                <c:pt idx="429">
                  <c:v>854.987513416598</c:v>
                </c:pt>
                <c:pt idx="430">
                  <c:v>866.481758026892</c:v>
                </c:pt>
                <c:pt idx="431">
                  <c:v>877.837905438159</c:v>
                </c:pt>
                <c:pt idx="432">
                  <c:v>889.056925296292</c:v>
                </c:pt>
                <c:pt idx="433">
                  <c:v>900.139767062129</c:v>
                </c:pt>
                <c:pt idx="434">
                  <c:v>911.08736048153</c:v>
                </c:pt>
                <c:pt idx="435">
                  <c:v>921.900616040654</c:v>
                </c:pt>
                <c:pt idx="436">
                  <c:v>932.580425406976</c:v>
                </c:pt>
                <c:pt idx="437">
                  <c:v>943.127661856576</c:v>
                </c:pt>
                <c:pt idx="438">
                  <c:v>953.543180688191</c:v>
                </c:pt>
                <c:pt idx="439">
                  <c:v>963.827819624497</c:v>
                </c:pt>
                <c:pt idx="440">
                  <c:v>973.982399201103</c:v>
                </c:pt>
                <c:pt idx="441">
                  <c:v>984.007723143668</c:v>
                </c:pt>
                <c:pt idx="442">
                  <c:v>993.904578733576</c:v>
                </c:pt>
                <c:pt idx="443">
                  <c:v>1003.67373716257</c:v>
                </c:pt>
                <c:pt idx="444">
                  <c:v>1013.3159538767</c:v>
                </c:pt>
                <c:pt idx="445">
                  <c:v>1022.83196891007</c:v>
                </c:pt>
                <c:pt idx="446">
                  <c:v>1032.22250720851</c:v>
                </c:pt>
                <c:pt idx="447">
                  <c:v>1041.48827894377</c:v>
                </c:pt>
                <c:pt idx="448">
                  <c:v>1050.62997981842</c:v>
                </c:pt>
                <c:pt idx="449">
                  <c:v>1059.64829136178</c:v>
                </c:pt>
                <c:pt idx="450">
                  <c:v>1068.54388121718</c:v>
                </c:pt>
                <c:pt idx="451">
                  <c:v>1077.31740342096</c:v>
                </c:pt>
                <c:pt idx="452">
                  <c:v>1085.96949867323</c:v>
                </c:pt>
                <c:pt idx="453">
                  <c:v>1094.50079460097</c:v>
                </c:pt>
                <c:pt idx="454">
                  <c:v>1102.91190601349</c:v>
                </c:pt>
                <c:pt idx="455">
                  <c:v>1111.2034351506</c:v>
                </c:pt>
                <c:pt idx="456">
                  <c:v>1119.37597192372</c:v>
                </c:pt>
                <c:pt idx="457">
                  <c:v>1127.43009415016</c:v>
                </c:pt>
                <c:pt idx="458">
                  <c:v>1135.36636778077</c:v>
                </c:pt>
                <c:pt idx="459">
                  <c:v>1143.18534712119</c:v>
                </c:pt>
                <c:pt idx="460">
                  <c:v>1150.88757504695</c:v>
                </c:pt>
                <c:pt idx="461">
                  <c:v>1158.47358321248</c:v>
                </c:pt>
                <c:pt idx="462">
                  <c:v>1165.94389225442</c:v>
                </c:pt>
                <c:pt idx="463">
                  <c:v>1173.29901198928</c:v>
                </c:pt>
                <c:pt idx="464">
                  <c:v>1180.53944160563</c:v>
                </c:pt>
                <c:pt idx="465">
                  <c:v>1187.66566985108</c:v>
                </c:pt>
                <c:pt idx="466">
                  <c:v>1194.67817521414</c:v>
                </c:pt>
                <c:pt idx="467">
                  <c:v>1201.57742610115</c:v>
                </c:pt>
                <c:pt idx="468">
                  <c:v>1208.36388100848</c:v>
                </c:pt>
                <c:pt idx="469">
                  <c:v>1215.03798869005</c:v>
                </c:pt>
                <c:pt idx="470">
                  <c:v>1221.60018832045</c:v>
                </c:pt>
                <c:pt idx="471">
                  <c:v>1228.05090965369</c:v>
                </c:pt>
                <c:pt idx="472">
                  <c:v>1234.39057317785</c:v>
                </c:pt>
                <c:pt idx="473">
                  <c:v>1240.61959026558</c:v>
                </c:pt>
                <c:pt idx="474">
                  <c:v>1246.73836332082</c:v>
                </c:pt>
                <c:pt idx="475">
                  <c:v>1252.74728592165</c:v>
                </c:pt>
                <c:pt idx="476">
                  <c:v>1258.64674295962</c:v>
                </c:pt>
                <c:pt idx="477">
                  <c:v>1264.43711077547</c:v>
                </c:pt>
                <c:pt idx="478">
                  <c:v>1270.11875729153</c:v>
                </c:pt>
                <c:pt idx="479">
                  <c:v>1275.69204214088</c:v>
                </c:pt>
                <c:pt idx="480">
                  <c:v>1281.15731679333</c:v>
                </c:pt>
                <c:pt idx="481">
                  <c:v>1286.51492467846</c:v>
                </c:pt>
                <c:pt idx="482">
                  <c:v>1291.76520130575</c:v>
                </c:pt>
                <c:pt idx="483">
                  <c:v>1296.90847438199</c:v>
                </c:pt>
                <c:pt idx="484">
                  <c:v>1301.94506392602</c:v>
                </c:pt>
                <c:pt idx="485">
                  <c:v>1306.87528238102</c:v>
                </c:pt>
                <c:pt idx="486">
                  <c:v>1311.69943472441</c:v>
                </c:pt>
                <c:pt idx="487">
                  <c:v>1316.4178185755</c:v>
                </c:pt>
                <c:pt idx="488">
                  <c:v>1321.03072430105</c:v>
                </c:pt>
                <c:pt idx="489">
                  <c:v>1325.53843511886</c:v>
                </c:pt>
                <c:pt idx="490">
                  <c:v>1329.9412271995</c:v>
                </c:pt>
                <c:pt idx="491">
                  <c:v>1334.23936976642</c:v>
                </c:pt>
                <c:pt idx="492">
                  <c:v>1338.43312519442</c:v>
                </c:pt>
                <c:pt idx="493">
                  <c:v>1342.52274910688</c:v>
                </c:pt>
                <c:pt idx="494">
                  <c:v>1346.50849047162</c:v>
                </c:pt>
                <c:pt idx="495">
                  <c:v>1350.39059169583</c:v>
                </c:pt>
                <c:pt idx="496">
                  <c:v>1354.16928872009</c:v>
                </c:pt>
                <c:pt idx="497">
                  <c:v>1357.84481111169</c:v>
                </c:pt>
                <c:pt idx="498">
                  <c:v>1361.41738215752</c:v>
                </c:pt>
                <c:pt idx="499">
                  <c:v>1364.88721895664</c:v>
                </c:pt>
                <c:pt idx="500">
                  <c:v>1368.25453251286</c:v>
                </c:pt>
                <c:pt idx="501">
                  <c:v>1371.51952782747</c:v>
                </c:pt>
                <c:pt idx="502">
                  <c:v>1374.68240399244</c:v>
                </c:pt>
                <c:pt idx="503">
                  <c:v>1377.74335428434</c:v>
                </c:pt>
                <c:pt idx="504">
                  <c:v>1380.70256625926</c:v>
                </c:pt>
                <c:pt idx="505">
                  <c:v>1383.56022184903</c:v>
                </c:pt>
                <c:pt idx="506">
                  <c:v>1386.31649745907</c:v>
                </c:pt>
                <c:pt idx="507">
                  <c:v>1388.97156406826</c:v>
                </c:pt>
                <c:pt idx="508">
                  <c:v>1391.52558733108</c:v>
                </c:pt>
                <c:pt idx="509">
                  <c:v>1393.97872768251</c:v>
                </c:pt>
                <c:pt idx="510">
                  <c:v>1396.33114044608</c:v>
                </c:pt>
                <c:pt idx="511">
                  <c:v>1398.5829759454</c:v>
                </c:pt>
                <c:pt idx="512">
                  <c:v>1400.73437961973</c:v>
                </c:pt>
                <c:pt idx="513">
                  <c:v>1402.78549214398</c:v>
                </c:pt>
                <c:pt idx="514">
                  <c:v>1404.73644955357</c:v>
                </c:pt>
                <c:pt idx="515">
                  <c:v>1406.58738337473</c:v>
                </c:pt>
                <c:pt idx="516">
                  <c:v>1408.33842076058</c:v>
                </c:pt>
                <c:pt idx="517">
                  <c:v>1409.9896846336</c:v>
                </c:pt>
                <c:pt idx="518">
                  <c:v>1411.54129383475</c:v>
                </c:pt>
                <c:pt idx="519">
                  <c:v>1412.99336327994</c:v>
                </c:pt>
                <c:pt idx="520">
                  <c:v>1414.34600412394</c:v>
                </c:pt>
              </c:numCache>
            </c:numRef>
          </c:yVal>
          <c:smooth val="1"/>
        </c:ser>
        <c:ser>
          <c:idx val="5"/>
          <c:order val="5"/>
          <c:tx>
            <c:strRef>
              <c:f>Trajecto!$B$106</c:f>
              <c:strCache>
                <c:ptCount val="1"/>
                <c:pt idx="0">
                  <c:v>Phase ascendante</c:v>
                </c:pt>
              </c:strCache>
            </c:strRef>
          </c:tx>
          <c:spPr>
            <a:solidFill>
              <a:srgbClr val="99ccff"/>
            </a:solidFill>
            <a:ln w="28440">
              <a:noFill/>
            </a:ln>
          </c:spPr>
          <c:marker>
            <c:symbol val="none"/>
          </c:marker>
          <c:dLbls>
            <c:txPr>
              <a:bodyPr wrap="square"/>
              <a:lstStyle/>
              <a:p>
                <a:pPr>
                  <a:defRPr b="1" sz="700" spc="-1" strike="noStrike">
                    <a:solidFill>
                      <a:srgbClr val="000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Trajecto!$D$155</c:f>
              <c:numCache>
                <c:formatCode>General</c:formatCode>
                <c:ptCount val="1"/>
                <c:pt idx="0">
                  <c:v>127.720340469133</c:v>
                </c:pt>
              </c:numCache>
            </c:numRef>
          </c:xVal>
          <c:yVal>
            <c:numRef>
              <c:f>Trajecto!$C$155</c:f>
              <c:numCache>
                <c:formatCode>General</c:formatCode>
                <c:ptCount val="1"/>
                <c:pt idx="0">
                  <c:v>707.173002061972</c:v>
                </c:pt>
              </c:numCache>
            </c:numRef>
          </c:yVal>
          <c:smooth val="1"/>
        </c:ser>
        <c:ser>
          <c:idx val="6"/>
          <c:order val="6"/>
          <c:tx>
            <c:strRef>
              <c:f>Trajecto!$B$107</c:f>
              <c:strCache>
                <c:ptCount val="1"/>
                <c:pt idx="0">
                  <c:v>Descente balistique</c:v>
                </c:pt>
              </c:strCache>
            </c:strRef>
          </c:tx>
          <c:spPr>
            <a:solidFill>
              <a:srgbClr val="99ccff"/>
            </a:solidFill>
            <a:ln w="28440">
              <a:noFill/>
            </a:ln>
          </c:spPr>
          <c:marker>
            <c:symbol val="none"/>
          </c:marker>
          <c:dLbls>
            <c:txPr>
              <a:bodyPr wrap="square"/>
              <a:lstStyle/>
              <a:p>
                <a:pPr>
                  <a:defRPr b="1" sz="700" spc="-1" strike="noStrike">
                    <a:solidFill>
                      <a:srgbClr val="808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Trajecto!$D$156</c:f>
              <c:numCache>
                <c:formatCode>General</c:formatCode>
                <c:ptCount val="1"/>
                <c:pt idx="0">
                  <c:v>861.354284291233</c:v>
                </c:pt>
              </c:numCache>
            </c:numRef>
          </c:xVal>
          <c:yVal>
            <c:numRef>
              <c:f>Trajecto!$C$156</c:f>
              <c:numCache>
                <c:formatCode>General</c:formatCode>
                <c:ptCount val="1"/>
                <c:pt idx="0">
                  <c:v>711.463614970238</c:v>
                </c:pt>
              </c:numCache>
            </c:numRef>
          </c:yVal>
          <c:smooth val="1"/>
        </c:ser>
        <c:ser>
          <c:idx val="7"/>
          <c:order val="7"/>
          <c:tx>
            <c:strRef>
              <c:f>Trajecto!$D$158</c:f>
              <c:strCache>
                <c:ptCount val="1"/>
                <c:pt idx="0">
                  <c:v>Arc de triomphe</c:v>
                </c:pt>
              </c:strCache>
            </c:strRef>
          </c:tx>
          <c:spPr>
            <a:solidFill>
              <a:srgbClr val="c0c0c0"/>
            </a:solidFill>
            <a:ln w="28440">
              <a:solidFill>
                <a:srgbClr val="c0c0c0"/>
              </a:solidFill>
              <a:round/>
            </a:ln>
          </c:spPr>
          <c:marker>
            <c:symbol val="none"/>
          </c:marker>
          <c:dPt>
            <c:idx val="8"/>
            <c:marker>
              <c:symbol val="none"/>
            </c:marker>
          </c:dPt>
          <c:dLbls>
            <c:dLbl>
              <c:idx val="8"/>
              <c:txPr>
                <a:bodyPr wrap="square"/>
                <a:lstStyle/>
                <a:p>
                  <a:pPr>
                    <a:defRPr b="0" sz="700" spc="-1" strike="noStrike">
                      <a:solidFill>
                        <a:srgbClr val="c0c0c0"/>
                      </a:solidFill>
                      <a:latin typeface="Arial"/>
                      <a:ea typeface="Arial"/>
                    </a:defRPr>
                  </a:pPr>
                </a:p>
              </c:txPr>
              <c:showLegendKey val="0"/>
              <c:showVal val="0"/>
              <c:showCatName val="0"/>
              <c:showSerName val="0"/>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Trajecto!$D$159:$D$174</c:f>
              <c:numCache>
                <c:formatCode>General</c:formatCode>
                <c:ptCount val="16"/>
                <c:pt idx="0">
                  <c:v>549.811237619521</c:v>
                </c:pt>
                <c:pt idx="1">
                  <c:v>572.811237619521</c:v>
                </c:pt>
                <c:pt idx="2">
                  <c:v>572.811237619521</c:v>
                </c:pt>
                <c:pt idx="3">
                  <c:v>549.811237619521</c:v>
                </c:pt>
                <c:pt idx="4">
                  <c:v>572.811237619521</c:v>
                </c:pt>
                <c:pt idx="5">
                  <c:v>572.811237619521</c:v>
                </c:pt>
                <c:pt idx="6">
                  <c:v>557.811237619521</c:v>
                </c:pt>
                <c:pt idx="7">
                  <c:v>557.811237619521</c:v>
                </c:pt>
                <c:pt idx="8">
                  <c:v>572.811237619521</c:v>
                </c:pt>
                <c:pt idx="9">
                  <c:v>557.811237619521</c:v>
                </c:pt>
                <c:pt idx="10">
                  <c:v>557.411237619521</c:v>
                </c:pt>
                <c:pt idx="11">
                  <c:v>556.611237619521</c:v>
                </c:pt>
                <c:pt idx="12">
                  <c:v>555.811237619521</c:v>
                </c:pt>
                <c:pt idx="13">
                  <c:v>554.811237619521</c:v>
                </c:pt>
                <c:pt idx="14">
                  <c:v>553.611237619521</c:v>
                </c:pt>
                <c:pt idx="15">
                  <c:v>549.811237619521</c:v>
                </c:pt>
              </c:numCache>
            </c:numRef>
          </c:xVal>
          <c:yVal>
            <c:numRef>
              <c:f>Trajecto!$B$161:$B$176</c:f>
              <c:numCache>
                <c:formatCode>General</c:formatCode>
                <c:ptCount val="16"/>
              </c:numCache>
            </c:numRef>
          </c:yVal>
          <c:smooth val="1"/>
        </c:ser>
        <c:ser>
          <c:idx val="8"/>
          <c:order val="8"/>
          <c:tx>
            <c:strRef>
              <c:f>Trajecto!$F$158</c:f>
              <c:strCache>
                <c:ptCount val="1"/>
                <c:pt idx="0">
                  <c:v>Arc de triomphe</c:v>
                </c:pt>
              </c:strCache>
            </c:strRef>
          </c:tx>
          <c:spPr>
            <a:solidFill>
              <a:srgbClr val="c0c0c0"/>
            </a:solidFill>
            <a:ln w="28440">
              <a:solidFill>
                <a:srgbClr val="c0c0c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Trajecto!$F$159:$F$174</c:f>
              <c:numCache>
                <c:formatCode>General</c:formatCode>
                <c:ptCount val="16"/>
                <c:pt idx="0">
                  <c:v>549.811237619521</c:v>
                </c:pt>
                <c:pt idx="1">
                  <c:v>526.811237619521</c:v>
                </c:pt>
                <c:pt idx="2">
                  <c:v>526.811237619521</c:v>
                </c:pt>
                <c:pt idx="3">
                  <c:v>549.811237619521</c:v>
                </c:pt>
                <c:pt idx="4">
                  <c:v>526.811237619521</c:v>
                </c:pt>
                <c:pt idx="5">
                  <c:v>526.811237619521</c:v>
                </c:pt>
                <c:pt idx="6">
                  <c:v>541.811237619521</c:v>
                </c:pt>
                <c:pt idx="7">
                  <c:v>541.811237619521</c:v>
                </c:pt>
                <c:pt idx="8">
                  <c:v>526.811237619521</c:v>
                </c:pt>
                <c:pt idx="9">
                  <c:v>541.811237619521</c:v>
                </c:pt>
                <c:pt idx="10">
                  <c:v>542.211237619521</c:v>
                </c:pt>
                <c:pt idx="11">
                  <c:v>543.011237619521</c:v>
                </c:pt>
                <c:pt idx="12">
                  <c:v>543.811237619521</c:v>
                </c:pt>
                <c:pt idx="13">
                  <c:v>544.811237619521</c:v>
                </c:pt>
                <c:pt idx="14">
                  <c:v>546.011237619521</c:v>
                </c:pt>
                <c:pt idx="15">
                  <c:v>549.811237619521</c:v>
                </c:pt>
              </c:numCache>
            </c:numRef>
          </c:xVal>
          <c:yVal>
            <c:numRef>
              <c:f>Trajecto!$B$161:$B$176</c:f>
              <c:numCache>
                <c:formatCode>General</c:formatCode>
                <c:ptCount val="16"/>
              </c:numCache>
            </c:numRef>
          </c:yVal>
          <c:smooth val="1"/>
        </c:ser>
        <c:ser>
          <c:idx val="9"/>
          <c:order val="9"/>
          <c:tx>
            <c:strRef>
              <c:f>Trajecto!$D$176</c:f>
              <c:strCache>
                <c:ptCount val="1"/>
                <c:pt idx="0">
                  <c:v>Tour Eiffel</c:v>
                </c:pt>
              </c:strCache>
            </c:strRef>
          </c:tx>
          <c:spPr>
            <a:solidFill>
              <a:srgbClr val="c0c0c0"/>
            </a:solidFill>
            <a:ln w="28440">
              <a:solidFill>
                <a:srgbClr val="c0c0c0"/>
              </a:solidFill>
              <a:round/>
            </a:ln>
          </c:spPr>
          <c:marker>
            <c:symbol val="none"/>
          </c:marker>
          <c:dPt>
            <c:idx val="6"/>
            <c:marker>
              <c:symbol val="none"/>
            </c:marker>
          </c:dPt>
          <c:dLbls>
            <c:dLbl>
              <c:idx val="6"/>
              <c:txPr>
                <a:bodyPr wrap="square"/>
                <a:lstStyle/>
                <a:p>
                  <a:pPr>
                    <a:defRPr b="0" sz="700" spc="-1" strike="noStrike">
                      <a:solidFill>
                        <a:srgbClr val="c0c0c0"/>
                      </a:solidFill>
                      <a:latin typeface="Arial"/>
                      <a:ea typeface="Arial"/>
                    </a:defRPr>
                  </a:pPr>
                </a:p>
              </c:txPr>
              <c:showLegendKey val="0"/>
              <c:showVal val="0"/>
              <c:showCatName val="0"/>
              <c:showSerName val="0"/>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Trajecto!$D$177:$D$193</c:f>
              <c:numCache>
                <c:formatCode>General</c:formatCode>
                <c:ptCount val="17"/>
                <c:pt idx="0">
                  <c:v>549.811237619521</c:v>
                </c:pt>
                <c:pt idx="1">
                  <c:v>549.811237619521</c:v>
                </c:pt>
                <c:pt idx="2">
                  <c:v>559.811237619521</c:v>
                </c:pt>
                <c:pt idx="3">
                  <c:v>549.811237619521</c:v>
                </c:pt>
                <c:pt idx="4">
                  <c:v>559.811237619521</c:v>
                </c:pt>
                <c:pt idx="5">
                  <c:v>562.811237619521</c:v>
                </c:pt>
                <c:pt idx="6">
                  <c:v>566.811237619521</c:v>
                </c:pt>
                <c:pt idx="7">
                  <c:v>569.811237619521</c:v>
                </c:pt>
                <c:pt idx="8">
                  <c:v>574.811237619521</c:v>
                </c:pt>
                <c:pt idx="9">
                  <c:v>579.811237619521</c:v>
                </c:pt>
                <c:pt idx="10">
                  <c:v>585.811237619521</c:v>
                </c:pt>
                <c:pt idx="11">
                  <c:v>597.811237619521</c:v>
                </c:pt>
                <c:pt idx="12">
                  <c:v>611.811237619521</c:v>
                </c:pt>
                <c:pt idx="13">
                  <c:v>586.811237619521</c:v>
                </c:pt>
                <c:pt idx="14">
                  <c:v>579.811237619521</c:v>
                </c:pt>
                <c:pt idx="15">
                  <c:v>564.811237619521</c:v>
                </c:pt>
                <c:pt idx="16">
                  <c:v>549.811237619521</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1"/>
        </c:ser>
        <c:ser>
          <c:idx val="10"/>
          <c:order val="10"/>
          <c:tx>
            <c:strRef>
              <c:f>Trajecto!$F$176</c:f>
              <c:strCache>
                <c:ptCount val="1"/>
                <c:pt idx="0">
                  <c:v>Tour Eiffel</c:v>
                </c:pt>
              </c:strCache>
            </c:strRef>
          </c:tx>
          <c:spPr>
            <a:solidFill>
              <a:srgbClr val="c0c0c0"/>
            </a:solidFill>
            <a:ln w="28440">
              <a:solidFill>
                <a:srgbClr val="c0c0c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Trajecto!$F$177:$F$193</c:f>
              <c:numCache>
                <c:formatCode>General</c:formatCode>
                <c:ptCount val="17"/>
                <c:pt idx="0">
                  <c:v>549.811237619521</c:v>
                </c:pt>
                <c:pt idx="1">
                  <c:v>549.811237619521</c:v>
                </c:pt>
                <c:pt idx="2">
                  <c:v>539.811237619521</c:v>
                </c:pt>
                <c:pt idx="3">
                  <c:v>549.811237619521</c:v>
                </c:pt>
                <c:pt idx="4">
                  <c:v>539.811237619521</c:v>
                </c:pt>
                <c:pt idx="5">
                  <c:v>536.811237619521</c:v>
                </c:pt>
                <c:pt idx="6">
                  <c:v>532.811237619521</c:v>
                </c:pt>
                <c:pt idx="7">
                  <c:v>529.811237619521</c:v>
                </c:pt>
                <c:pt idx="8">
                  <c:v>524.811237619521</c:v>
                </c:pt>
                <c:pt idx="9">
                  <c:v>519.811237619521</c:v>
                </c:pt>
                <c:pt idx="10">
                  <c:v>513.811237619521</c:v>
                </c:pt>
                <c:pt idx="11">
                  <c:v>501.811237619521</c:v>
                </c:pt>
                <c:pt idx="12">
                  <c:v>487.811237619521</c:v>
                </c:pt>
                <c:pt idx="13">
                  <c:v>512.811237619521</c:v>
                </c:pt>
                <c:pt idx="14">
                  <c:v>519.811237619521</c:v>
                </c:pt>
                <c:pt idx="15">
                  <c:v>534.811237619521</c:v>
                </c:pt>
                <c:pt idx="16">
                  <c:v>549.811237619521</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1"/>
        </c:ser>
        <c:ser>
          <c:idx val="11"/>
          <c:order val="11"/>
          <c:tx>
            <c:strRef>
              <c:f>Trajecto!$D$176</c:f>
              <c:strCache>
                <c:ptCount val="1"/>
                <c:pt idx="0">
                  <c:v>Tour Eiffel</c:v>
                </c:pt>
              </c:strCache>
            </c:strRef>
          </c:tx>
          <c:spPr>
            <a:solidFill>
              <a:srgbClr val="c0c0c0"/>
            </a:solidFill>
            <a:ln w="28440">
              <a:solidFill>
                <a:srgbClr val="c0c0c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Trajecto!$D$194:$D$197</c:f>
              <c:numCache>
                <c:formatCode>General</c:formatCode>
                <c:ptCount val="4"/>
                <c:pt idx="0">
                  <c:v>549.811237619521</c:v>
                </c:pt>
                <c:pt idx="1">
                  <c:v>566.811237619521</c:v>
                </c:pt>
                <c:pt idx="2">
                  <c:v>560.811237619521</c:v>
                </c:pt>
                <c:pt idx="3">
                  <c:v>549.811237619521</c:v>
                </c:pt>
              </c:numCache>
            </c:numRef>
          </c:xVal>
          <c:yVal>
            <c:numRef>
              <c:f>Trajecto!$B$196:$B$199</c:f>
              <c:numCache>
                <c:formatCode>General</c:formatCode>
                <c:ptCount val="4"/>
                <c:pt idx="0">
                  <c:v>67</c:v>
                </c:pt>
                <c:pt idx="1">
                  <c:v>67</c:v>
                </c:pt>
                <c:pt idx="2">
                  <c:v>100</c:v>
                </c:pt>
                <c:pt idx="3">
                  <c:v>100</c:v>
                </c:pt>
              </c:numCache>
            </c:numRef>
          </c:yVal>
          <c:smooth val="1"/>
        </c:ser>
        <c:ser>
          <c:idx val="12"/>
          <c:order val="12"/>
          <c:tx>
            <c:strRef>
              <c:f>Trajecto!$F$176</c:f>
              <c:strCache>
                <c:ptCount val="1"/>
                <c:pt idx="0">
                  <c:v>Tour Eiffel</c:v>
                </c:pt>
              </c:strCache>
            </c:strRef>
          </c:tx>
          <c:spPr>
            <a:solidFill>
              <a:srgbClr val="c0c0c0"/>
            </a:solidFill>
            <a:ln w="28440">
              <a:solidFill>
                <a:srgbClr val="c0c0c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Trajecto!$F$194:$F$197</c:f>
              <c:numCache>
                <c:formatCode>General</c:formatCode>
                <c:ptCount val="4"/>
                <c:pt idx="0">
                  <c:v>549.811237619521</c:v>
                </c:pt>
                <c:pt idx="1">
                  <c:v>532.811237619521</c:v>
                </c:pt>
                <c:pt idx="2">
                  <c:v>538.811237619521</c:v>
                </c:pt>
                <c:pt idx="3">
                  <c:v>549.811237619521</c:v>
                </c:pt>
              </c:numCache>
            </c:numRef>
          </c:xVal>
          <c:yVal>
            <c:numRef>
              <c:f>Trajecto!$B$196:$B$199</c:f>
              <c:numCache>
                <c:formatCode>General</c:formatCode>
                <c:ptCount val="4"/>
                <c:pt idx="0">
                  <c:v>67</c:v>
                </c:pt>
                <c:pt idx="1">
                  <c:v>67</c:v>
                </c:pt>
                <c:pt idx="2">
                  <c:v>100</c:v>
                </c:pt>
                <c:pt idx="3">
                  <c:v>100</c:v>
                </c:pt>
              </c:numCache>
            </c:numRef>
          </c:yVal>
          <c:smooth val="1"/>
        </c:ser>
        <c:ser>
          <c:idx val="13"/>
          <c:order val="13"/>
          <c:tx>
            <c:strRef>
              <c:f>Trajecto!$B$108</c:f>
              <c:strCache>
                <c:ptCount val="1"/>
                <c:pt idx="0">
                  <c:v>Fusée sous parachute</c:v>
                </c:pt>
              </c:strCache>
            </c:strRef>
          </c:tx>
          <c:spPr>
            <a:solidFill>
              <a:srgbClr val="008000"/>
            </a:solidFill>
            <a:ln w="28440">
              <a:solidFill>
                <a:srgbClr val="008000"/>
              </a:solidFill>
              <a:round/>
            </a:ln>
          </c:spPr>
          <c:marker>
            <c:symbol val="none"/>
          </c:marker>
          <c:dPt>
            <c:idx val="1"/>
            <c:marker>
              <c:symbol val="none"/>
            </c:marker>
          </c:dPt>
          <c:dLbls>
            <c:dLbl>
              <c:idx val="1"/>
              <c:txPr>
                <a:bodyPr wrap="square"/>
                <a:lstStyle/>
                <a:p>
                  <a:pPr>
                    <a:defRPr b="1" sz="700" spc="-1" strike="noStrike">
                      <a:solidFill>
                        <a:srgbClr val="008000"/>
                      </a:solidFill>
                      <a:latin typeface="Arial"/>
                      <a:ea typeface="Arial"/>
                    </a:defRPr>
                  </a:pPr>
                </a:p>
              </c:txPr>
              <c:showLegendKey val="0"/>
              <c:showVal val="0"/>
              <c:showCatName val="0"/>
              <c:showSerName val="0"/>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Trajecto!$B$123:$B$129</c:f>
              <c:numCache>
                <c:formatCode>General</c:formatCode>
                <c:ptCount val="7"/>
                <c:pt idx="0">
                  <c:v>510.881361876531</c:v>
                </c:pt>
                <c:pt idx="1">
                  <c:v>510.881361876531</c:v>
                </c:pt>
                <c:pt idx="2">
                  <c:v>510.881361876531</c:v>
                </c:pt>
                <c:pt idx="3">
                  <c:v>546.24001197963</c:v>
                </c:pt>
                <c:pt idx="4">
                  <c:v>510.881361876531</c:v>
                </c:pt>
                <c:pt idx="5">
                  <c:v>475.522711773432</c:v>
                </c:pt>
                <c:pt idx="6">
                  <c:v>510.881361876531</c:v>
                </c:pt>
              </c:numCache>
            </c:numRef>
          </c:xVal>
          <c:yVal>
            <c:numRef>
              <c:f>Trajecto!$C$121:$C$127</c:f>
              <c:numCache>
                <c:formatCode>General</c:formatCode>
                <c:ptCount val="7"/>
                <c:pt idx="0">
                  <c:v>1414.34600412394</c:v>
                </c:pt>
                <c:pt idx="1">
                  <c:v>707.173002061972</c:v>
                </c:pt>
                <c:pt idx="2">
                  <c:v>0</c:v>
                </c:pt>
                <c:pt idx="3">
                  <c:v>70.7173002061972</c:v>
                </c:pt>
                <c:pt idx="4">
                  <c:v>0</c:v>
                </c:pt>
                <c:pt idx="5">
                  <c:v>70.7173002061972</c:v>
                </c:pt>
                <c:pt idx="6">
                  <c:v>0</c:v>
                </c:pt>
              </c:numCache>
            </c:numRef>
          </c:yVal>
          <c:smooth val="1"/>
        </c:ser>
        <c:axId val="36484726"/>
        <c:axId val="80726725"/>
      </c:scatterChart>
      <c:valAx>
        <c:axId val="36484726"/>
        <c:scaling>
          <c:orientation val="minMax"/>
          <c:min val="0"/>
        </c:scaling>
        <c:delete val="0"/>
        <c:axPos val="b"/>
        <c:majorGridlines>
          <c:spPr>
            <a:ln w="3240">
              <a:solidFill>
                <a:srgbClr val="000000"/>
              </a:solidFill>
              <a:prstDash val="sysDash"/>
              <a:round/>
            </a:ln>
          </c:spPr>
        </c:majorGridlines>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Portée x [m]</a:t>
                </a:r>
              </a:p>
            </c:rich>
          </c:tx>
          <c:layout>
            <c:manualLayout>
              <c:xMode val="edge"/>
              <c:yMode val="edge"/>
              <c:x val="0.564628063326827"/>
              <c:y val="0.848233091504798"/>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80726725"/>
        <c:crosses val="autoZero"/>
        <c:crossBetween val="midCat"/>
      </c:valAx>
      <c:valAx>
        <c:axId val="80726725"/>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800" spc="-1" strike="noStrike">
                    <a:solidFill>
                      <a:srgbClr val="0000ff"/>
                    </a:solidFill>
                    <a:latin typeface="Arial"/>
                    <a:ea typeface="Arial"/>
                  </a:defRPr>
                </a:pPr>
                <a:r>
                  <a:rPr b="1" lang="fr-FR" sz="800" spc="-1" strike="noStrike">
                    <a:solidFill>
                      <a:srgbClr val="0000ff"/>
                    </a:solidFill>
                    <a:latin typeface="Arial"/>
                    <a:ea typeface="Arial"/>
                  </a:rPr>
                  <a:t>Altitude z [m]</a:t>
                </a:r>
              </a:p>
            </c:rich>
          </c:tx>
          <c:layout>
            <c:manualLayout>
              <c:xMode val="edge"/>
              <c:yMode val="edge"/>
              <c:x val="0.0817610062893082"/>
              <c:y val="0.0679850222326235"/>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36484726"/>
        <c:crosses val="autoZero"/>
        <c:crossBetween val="midCat"/>
      </c:valAx>
      <c:spPr>
        <a:gradFill>
          <a:gsLst>
            <a:gs pos="0">
              <a:srgbClr val="99ccff"/>
            </a:gs>
            <a:gs pos="100000">
              <a:srgbClr val="ffffff"/>
            </a:gs>
          </a:gsLst>
          <a:lin ang="5400000"/>
        </a:gradFill>
        <a:ln w="12600">
          <a:solidFill>
            <a:srgbClr val="808080"/>
          </a:solidFill>
          <a:round/>
        </a:ln>
      </c:spPr>
    </c:plotArea>
    <c:plotVisOnly val="0"/>
    <c:dispBlanksAs val="gap"/>
  </c:chart>
  <c:spPr>
    <a:solidFill>
      <a:srgbClr val="ffffff"/>
    </a:solidFill>
    <a:ln w="3240">
      <a:solidFill>
        <a:srgbClr val="000000"/>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Altitude z  /  Temps</a:t>
            </a:r>
          </a:p>
        </c:rich>
      </c:tx>
      <c:layout>
        <c:manualLayout>
          <c:xMode val="edge"/>
          <c:yMode val="edge"/>
          <c:x val="0.576579792931096"/>
          <c:y val="0.0370933770184882"/>
        </c:manualLayout>
      </c:layout>
      <c:overlay val="0"/>
      <c:spPr>
        <a:noFill/>
        <a:ln w="25560">
          <a:noFill/>
        </a:ln>
      </c:spPr>
    </c:title>
    <c:autoTitleDeleted val="0"/>
    <c:plotArea>
      <c:layout>
        <c:manualLayout>
          <c:layoutTarget val="inner"/>
          <c:xMode val="edge"/>
          <c:yMode val="edge"/>
          <c:x val="0.0766392954897061"/>
          <c:y val="0.0355721975193073"/>
          <c:w val="0.893252409853624"/>
          <c:h val="0.896091738825181"/>
        </c:manualLayout>
      </c:layout>
      <c:scatterChart>
        <c:scatterStyle val="lineMarker"/>
        <c:varyColors val="0"/>
        <c:ser>
          <c:idx val="0"/>
          <c:order val="0"/>
          <c:tx>
            <c:strRef>
              <c:f>"Point invisible pour mise à l'echelle"</c:f>
              <c:strCache>
                <c:ptCount val="1"/>
                <c:pt idx="0">
                  <c:v>Point invisible pour mise à l'echelle</c:v>
                </c:pt>
              </c:strCache>
            </c:strRef>
          </c:tx>
          <c:spPr>
            <a:solidFill>
              <a:srgbClr val="99ccff"/>
            </a:solidFill>
            <a:ln w="28440">
              <a:noFill/>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yVal>
            <c:numRef>
              <c:f>Trajecto!$B$120</c:f>
              <c:numCache>
                <c:formatCode>General</c:formatCode>
                <c:ptCount val="1"/>
                <c:pt idx="0">
                  <c:v>1422.92722994048</c:v>
                </c:pt>
              </c:numCache>
            </c:numRef>
          </c:yVal>
          <c:smooth val="1"/>
        </c:ser>
        <c:ser>
          <c:idx val="1"/>
          <c:order val="1"/>
          <c:tx>
            <c:strRef>
              <c:f>"1 point par seconde"</c:f>
              <c:strCache>
                <c:ptCount val="1"/>
                <c:pt idx="0">
                  <c:v>1 point par seconde</c:v>
                </c:pt>
              </c:strCache>
            </c:strRef>
          </c:tx>
          <c:spPr>
            <a:solidFill>
              <a:srgbClr val="000000"/>
            </a:solidFill>
            <a:ln w="28440">
              <a:noFill/>
            </a:ln>
          </c:spPr>
          <c:marker>
            <c:symbol val="plus"/>
            <c:size val="7"/>
            <c:spPr>
              <a:solidFill>
                <a:srgbClr val="000000"/>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Calculs!$AC$4:$AC$1004</c:f>
              <c:numCache>
                <c:formatCode>General</c:formatCode>
                <c:ptCount val="1001"/>
                <c:pt idx="0">
                  <c:v>0</c:v>
                </c:pt>
                <c:pt idx="100">
                  <c:v>1</c:v>
                </c:pt>
                <c:pt idx="200">
                  <c:v>2</c:v>
                </c:pt>
                <c:pt idx="300">
                  <c:v>2.99999999999998</c:v>
                </c:pt>
                <c:pt idx="400">
                  <c:v>3.99999999999996</c:v>
                </c:pt>
                <c:pt idx="410">
                  <c:v>4.99999999999996</c:v>
                </c:pt>
                <c:pt idx="420">
                  <c:v>5.99999999999995</c:v>
                </c:pt>
                <c:pt idx="430">
                  <c:v>6.99999999999995</c:v>
                </c:pt>
                <c:pt idx="440">
                  <c:v>7.99999999999995</c:v>
                </c:pt>
                <c:pt idx="450">
                  <c:v>8.99999999999994</c:v>
                </c:pt>
                <c:pt idx="460">
                  <c:v>9.99999999999994</c:v>
                </c:pt>
                <c:pt idx="470">
                  <c:v>10.9999999999999</c:v>
                </c:pt>
                <c:pt idx="480">
                  <c:v>11.9999999999999</c:v>
                </c:pt>
                <c:pt idx="490">
                  <c:v>12.9999999999999</c:v>
                </c:pt>
                <c:pt idx="500">
                  <c:v>13.9999999999999</c:v>
                </c:pt>
                <c:pt idx="510">
                  <c:v>14.9999999999999</c:v>
                </c:pt>
                <c:pt idx="520">
                  <c:v>15.9999999999999</c:v>
                </c:pt>
                <c:pt idx="530">
                  <c:v>16.9999999999999</c:v>
                </c:pt>
                <c:pt idx="540">
                  <c:v>17.9999999999999</c:v>
                </c:pt>
                <c:pt idx="550">
                  <c:v>19</c:v>
                </c:pt>
                <c:pt idx="560">
                  <c:v>20</c:v>
                </c:pt>
                <c:pt idx="570">
                  <c:v>21</c:v>
                </c:pt>
                <c:pt idx="580">
                  <c:v>22</c:v>
                </c:pt>
                <c:pt idx="590">
                  <c:v>23</c:v>
                </c:pt>
                <c:pt idx="600">
                  <c:v>24</c:v>
                </c:pt>
                <c:pt idx="610">
                  <c:v>25</c:v>
                </c:pt>
                <c:pt idx="620">
                  <c:v>26.0000000000001</c:v>
                </c:pt>
                <c:pt idx="630">
                  <c:v>27.0000000000001</c:v>
                </c:pt>
                <c:pt idx="640">
                  <c:v>28.0000000000001</c:v>
                </c:pt>
                <c:pt idx="650">
                  <c:v>29.0000000000001</c:v>
                </c:pt>
                <c:pt idx="660">
                  <c:v>30.0000000000001</c:v>
                </c:pt>
                <c:pt idx="670">
                  <c:v>31.0000000000001</c:v>
                </c:pt>
                <c:pt idx="680">
                  <c:v>32.0000000000001</c:v>
                </c:pt>
                <c:pt idx="690">
                  <c:v>33.0000000000002</c:v>
                </c:pt>
                <c:pt idx="700">
                  <c:v>34.0000000000002</c:v>
                </c:pt>
                <c:pt idx="710">
                  <c:v>35.0000000000002</c:v>
                </c:pt>
              </c:numCache>
            </c:numRef>
          </c:xVal>
          <c:yVal>
            <c:numRef>
              <c:f>Calculs!$K$4:$K$1004</c:f>
              <c:numCache>
                <c:formatCode>General</c:formatCode>
                <c:ptCount val="1001"/>
                <c:pt idx="0">
                  <c:v>0</c:v>
                </c:pt>
                <c:pt idx="1">
                  <c:v>0</c:v>
                </c:pt>
                <c:pt idx="2">
                  <c:v>0.000886599299514683</c:v>
                </c:pt>
                <c:pt idx="3">
                  <c:v>0.00445512822990102</c:v>
                </c:pt>
                <c:pt idx="4">
                  <c:v>0.0125237609457696</c:v>
                </c:pt>
                <c:pt idx="5">
                  <c:v>0.0269123436636311</c:v>
                </c:pt>
                <c:pt idx="6">
                  <c:v>0.0489825233463651</c:v>
                </c:pt>
                <c:pt idx="7">
                  <c:v>0.0791768355144557</c:v>
                </c:pt>
                <c:pt idx="8">
                  <c:v>0.117477831691603</c:v>
                </c:pt>
                <c:pt idx="9">
                  <c:v>0.163867999950866</c:v>
                </c:pt>
                <c:pt idx="10">
                  <c:v>0.218329765130187</c:v>
                </c:pt>
                <c:pt idx="11">
                  <c:v>0.28084548904954</c:v>
                </c:pt>
                <c:pt idx="12">
                  <c:v>0.351397470729712</c:v>
                </c:pt>
                <c:pt idx="13">
                  <c:v>0.429967946612676</c:v>
                </c:pt>
                <c:pt idx="14">
                  <c:v>0.516539090783578</c:v>
                </c:pt>
                <c:pt idx="15">
                  <c:v>0.61109301519429</c:v>
                </c:pt>
                <c:pt idx="16">
                  <c:v>0.713611769888542</c:v>
                </c:pt>
                <c:pt idx="17">
                  <c:v>0.824077343228604</c:v>
                </c:pt>
                <c:pt idx="18">
                  <c:v>0.942471662123513</c:v>
                </c:pt>
                <c:pt idx="19">
                  <c:v>1.06877659225883</c:v>
                </c:pt>
                <c:pt idx="20">
                  <c:v>1.20297393832791</c:v>
                </c:pt>
                <c:pt idx="21">
                  <c:v>1.34504544426469</c:v>
                </c:pt>
                <c:pt idx="22">
                  <c:v>1.4949727934779</c:v>
                </c:pt>
                <c:pt idx="23">
                  <c:v>1.65273760908688</c:v>
                </c:pt>
                <c:pt idx="24">
                  <c:v>1.81832145415871</c:v>
                </c:pt>
                <c:pt idx="25">
                  <c:v>1.99170583194687</c:v>
                </c:pt>
                <c:pt idx="26">
                  <c:v>2.17287218613136</c:v>
                </c:pt>
                <c:pt idx="27">
                  <c:v>2.36180190106013</c:v>
                </c:pt>
                <c:pt idx="28">
                  <c:v>2.55847630199202</c:v>
                </c:pt>
                <c:pt idx="29">
                  <c:v>2.76287665534105</c:v>
                </c:pt>
                <c:pt idx="30">
                  <c:v>2.97498416892209</c:v>
                </c:pt>
                <c:pt idx="31">
                  <c:v>3.19477999219785</c:v>
                </c:pt>
                <c:pt idx="32">
                  <c:v>3.42224521652733</c:v>
                </c:pt>
                <c:pt idx="33">
                  <c:v>3.65736087541546</c:v>
                </c:pt>
                <c:pt idx="34">
                  <c:v>3.90010794476418</c:v>
                </c:pt>
                <c:pt idx="35">
                  <c:v>4.15046734312471</c:v>
                </c:pt>
                <c:pt idx="36">
                  <c:v>4.40840513511947</c:v>
                </c:pt>
                <c:pt idx="37">
                  <c:v>4.67388685351736</c:v>
                </c:pt>
                <c:pt idx="38">
                  <c:v>4.94689230160397</c:v>
                </c:pt>
                <c:pt idx="39">
                  <c:v>5.22740124334607</c:v>
                </c:pt>
                <c:pt idx="40">
                  <c:v>5.51539340956389</c:v>
                </c:pt>
                <c:pt idx="41">
                  <c:v>5.8108484971669</c:v>
                </c:pt>
                <c:pt idx="42">
                  <c:v>6.11374616846535</c:v>
                </c:pt>
                <c:pt idx="43">
                  <c:v>6.42406605055037</c:v>
                </c:pt>
                <c:pt idx="44">
                  <c:v>6.7417877347362</c:v>
                </c:pt>
                <c:pt idx="45">
                  <c:v>7.06689077605901</c:v>
                </c:pt>
                <c:pt idx="46">
                  <c:v>7.39935469282721</c:v>
                </c:pt>
                <c:pt idx="47">
                  <c:v>7.73915896621884</c:v>
                </c:pt>
                <c:pt idx="48">
                  <c:v>8.08628303992209</c:v>
                </c:pt>
                <c:pt idx="49">
                  <c:v>8.44070631981545</c:v>
                </c:pt>
                <c:pt idx="50">
                  <c:v>8.80240817368416</c:v>
                </c:pt>
                <c:pt idx="51">
                  <c:v>9.17137034682917</c:v>
                </c:pt>
                <c:pt idx="52">
                  <c:v>9.54757938061544</c:v>
                </c:pt>
                <c:pt idx="53">
                  <c:v>9.93102420059173</c:v>
                </c:pt>
                <c:pt idx="54">
                  <c:v>10.321693701672</c:v>
                </c:pt>
                <c:pt idx="55">
                  <c:v>10.7195767478822</c:v>
                </c:pt>
                <c:pt idx="56">
                  <c:v>11.1246621721265</c:v>
                </c:pt>
                <c:pt idx="57">
                  <c:v>11.5369387759725</c:v>
                </c:pt>
                <c:pt idx="58">
                  <c:v>11.9563953294543</c:v>
                </c:pt>
                <c:pt idx="59">
                  <c:v>12.3830205708915</c:v>
                </c:pt>
                <c:pt idx="60">
                  <c:v>12.816803206723</c:v>
                </c:pt>
                <c:pt idx="61">
                  <c:v>13.2577319113566</c:v>
                </c:pt>
                <c:pt idx="62">
                  <c:v>13.7057953270311</c:v>
                </c:pt>
                <c:pt idx="63">
                  <c:v>14.1609820636909</c:v>
                </c:pt>
                <c:pt idx="64">
                  <c:v>14.623280698874</c:v>
                </c:pt>
                <c:pt idx="65">
                  <c:v>15.0926797776097</c:v>
                </c:pt>
                <c:pt idx="66">
                  <c:v>15.569167812328</c:v>
                </c:pt>
                <c:pt idx="67">
                  <c:v>16.0527332827793</c:v>
                </c:pt>
                <c:pt idx="68">
                  <c:v>16.5433646359626</c:v>
                </c:pt>
                <c:pt idx="69">
                  <c:v>17.0410502860639</c:v>
                </c:pt>
                <c:pt idx="70">
                  <c:v>17.545778614403</c:v>
                </c:pt>
                <c:pt idx="71">
                  <c:v>18.0575379693877</c:v>
                </c:pt>
                <c:pt idx="72">
                  <c:v>18.576316666477</c:v>
                </c:pt>
                <c:pt idx="73">
                  <c:v>19.1021029881506</c:v>
                </c:pt>
                <c:pt idx="74">
                  <c:v>19.6348851838865</c:v>
                </c:pt>
                <c:pt idx="75">
                  <c:v>20.1746514701443</c:v>
                </c:pt>
                <c:pt idx="76">
                  <c:v>20.7213900303556</c:v>
                </c:pt>
                <c:pt idx="77">
                  <c:v>21.2750890149206</c:v>
                </c:pt>
                <c:pt idx="78">
                  <c:v>21.8357365412097</c:v>
                </c:pt>
                <c:pt idx="79">
                  <c:v>22.4033206935719</c:v>
                </c:pt>
                <c:pt idx="80">
                  <c:v>22.9778295233478</c:v>
                </c:pt>
                <c:pt idx="81">
                  <c:v>23.5592510488876</c:v>
                </c:pt>
                <c:pt idx="82">
                  <c:v>24.1475732555747</c:v>
                </c:pt>
                <c:pt idx="83">
                  <c:v>24.7427840958536</c:v>
                </c:pt>
                <c:pt idx="84">
                  <c:v>25.3448714892622</c:v>
                </c:pt>
                <c:pt idx="85">
                  <c:v>25.9538233224689</c:v>
                </c:pt>
                <c:pt idx="86">
                  <c:v>26.5696274493133</c:v>
                </c:pt>
                <c:pt idx="87">
                  <c:v>27.1922716908518</c:v>
                </c:pt>
                <c:pt idx="88">
                  <c:v>27.821743835406</c:v>
                </c:pt>
                <c:pt idx="89">
                  <c:v>28.4580316386156</c:v>
                </c:pt>
                <c:pt idx="90">
                  <c:v>29.1011228234948</c:v>
                </c:pt>
                <c:pt idx="91">
                  <c:v>29.7510050804919</c:v>
                </c:pt>
                <c:pt idx="92">
                  <c:v>30.4076660675523</c:v>
                </c:pt>
                <c:pt idx="93">
                  <c:v>31.0710934101852</c:v>
                </c:pt>
                <c:pt idx="94">
                  <c:v>31.7412747015326</c:v>
                </c:pt>
                <c:pt idx="95">
                  <c:v>32.418197502442</c:v>
                </c:pt>
                <c:pt idx="96">
                  <c:v>33.1018493415417</c:v>
                </c:pt>
                <c:pt idx="97">
                  <c:v>33.7922177153192</c:v>
                </c:pt>
                <c:pt idx="98">
                  <c:v>34.4892900882017</c:v>
                </c:pt>
                <c:pt idx="99">
                  <c:v>35.19305389264</c:v>
                </c:pt>
                <c:pt idx="100">
                  <c:v>35.9034965291947</c:v>
                </c:pt>
                <c:pt idx="101">
                  <c:v>36.6206042580729</c:v>
                </c:pt>
                <c:pt idx="102">
                  <c:v>37.3443610895686</c:v>
                </c:pt>
                <c:pt idx="103">
                  <c:v>38.0747498912897</c:v>
                </c:pt>
                <c:pt idx="104">
                  <c:v>38.8117534965204</c:v>
                </c:pt>
                <c:pt idx="105">
                  <c:v>39.5553547043826</c:v>
                </c:pt>
                <c:pt idx="106">
                  <c:v>40.3055362799993</c:v>
                </c:pt>
                <c:pt idx="107">
                  <c:v>41.0622809546605</c:v>
                </c:pt>
                <c:pt idx="108">
                  <c:v>41.825571425991</c:v>
                </c:pt>
                <c:pt idx="109">
                  <c:v>42.5953903581207</c:v>
                </c:pt>
                <c:pt idx="110">
                  <c:v>43.3717203818559</c:v>
                </c:pt>
                <c:pt idx="111">
                  <c:v>44.1545440948537</c:v>
                </c:pt>
                <c:pt idx="112">
                  <c:v>44.9438440617979</c:v>
                </c:pt>
                <c:pt idx="113">
                  <c:v>45.7396028145756</c:v>
                </c:pt>
                <c:pt idx="114">
                  <c:v>46.5418028524577</c:v>
                </c:pt>
                <c:pt idx="115">
                  <c:v>47.3504266422788</c:v>
                </c:pt>
                <c:pt idx="116">
                  <c:v>48.1654566186204</c:v>
                </c:pt>
                <c:pt idx="117">
                  <c:v>48.9868751839951</c:v>
                </c:pt>
                <c:pt idx="118">
                  <c:v>49.8146647090317</c:v>
                </c:pt>
                <c:pt idx="119">
                  <c:v>50.6488075326633</c:v>
                </c:pt>
                <c:pt idx="120">
                  <c:v>51.4892859623152</c:v>
                </c:pt>
                <c:pt idx="121">
                  <c:v>52.3360822740953</c:v>
                </c:pt>
                <c:pt idx="122">
                  <c:v>53.1891787129853</c:v>
                </c:pt>
                <c:pt idx="123">
                  <c:v>54.0485574930335</c:v>
                </c:pt>
                <c:pt idx="124">
                  <c:v>54.9142007975487</c:v>
                </c:pt>
                <c:pt idx="125">
                  <c:v>55.7860907792954</c:v>
                </c:pt>
                <c:pt idx="126">
                  <c:v>56.6642095606902</c:v>
                </c:pt>
                <c:pt idx="127">
                  <c:v>57.5485392339992</c:v>
                </c:pt>
                <c:pt idx="128">
                  <c:v>58.4390618615367</c:v>
                </c:pt>
                <c:pt idx="129">
                  <c:v>59.3357594758647</c:v>
                </c:pt>
                <c:pt idx="130">
                  <c:v>60.2386140799942</c:v>
                </c:pt>
                <c:pt idx="131">
                  <c:v>61.1476076475863</c:v>
                </c:pt>
                <c:pt idx="132">
                  <c:v>62.0627221231552</c:v>
                </c:pt>
                <c:pt idx="133">
                  <c:v>62.9839394222718</c:v>
                </c:pt>
                <c:pt idx="134">
                  <c:v>63.9112414317686</c:v>
                </c:pt>
                <c:pt idx="135">
                  <c:v>64.8446100099444</c:v>
                </c:pt>
                <c:pt idx="136">
                  <c:v>65.7840269867716</c:v>
                </c:pt>
                <c:pt idx="137">
                  <c:v>66.7294741641023</c:v>
                </c:pt>
                <c:pt idx="138">
                  <c:v>67.6809333158771</c:v>
                </c:pt>
                <c:pt idx="139">
                  <c:v>68.6383861883332</c:v>
                </c:pt>
                <c:pt idx="140">
                  <c:v>69.601814500214</c:v>
                </c:pt>
                <c:pt idx="141">
                  <c:v>70.5711999429793</c:v>
                </c:pt>
                <c:pt idx="142">
                  <c:v>71.5465241810161</c:v>
                </c:pt>
                <c:pt idx="143">
                  <c:v>72.5277688518498</c:v>
                </c:pt>
                <c:pt idx="144">
                  <c:v>73.5149155663568</c:v>
                </c:pt>
                <c:pt idx="145">
                  <c:v>74.5079459089767</c:v>
                </c:pt>
                <c:pt idx="146">
                  <c:v>75.506841437926</c:v>
                </c:pt>
                <c:pt idx="147">
                  <c:v>76.5115836854117</c:v>
                </c:pt>
                <c:pt idx="148">
                  <c:v>77.5221541578458</c:v>
                </c:pt>
                <c:pt idx="149">
                  <c:v>78.5385343360602</c:v>
                </c:pt>
                <c:pt idx="150">
                  <c:v>79.5607056755223</c:v>
                </c:pt>
                <c:pt idx="151">
                  <c:v>80.5886499822593</c:v>
                </c:pt>
                <c:pt idx="152">
                  <c:v>81.6223497890387</c:v>
                </c:pt>
                <c:pt idx="153">
                  <c:v>82.6617879801364</c:v>
                </c:pt>
                <c:pt idx="154">
                  <c:v>83.7069474158421</c:v>
                </c:pt>
                <c:pt idx="155">
                  <c:v>84.7578109326538</c:v>
                </c:pt>
                <c:pt idx="156">
                  <c:v>85.8143613434748</c:v>
                </c:pt>
                <c:pt idx="157">
                  <c:v>86.876581437809</c:v>
                </c:pt>
                <c:pt idx="158">
                  <c:v>87.9444539819586</c:v>
                </c:pt>
                <c:pt idx="159">
                  <c:v>89.0179617192205</c:v>
                </c:pt>
                <c:pt idx="160">
                  <c:v>90.0970873700843</c:v>
                </c:pt>
                <c:pt idx="161">
                  <c:v>91.1818136324295</c:v>
                </c:pt>
                <c:pt idx="162">
                  <c:v>92.2721231817242</c:v>
                </c:pt>
                <c:pt idx="163">
                  <c:v>93.3679986712229</c:v>
                </c:pt>
                <c:pt idx="164">
                  <c:v>94.4694227321655</c:v>
                </c:pt>
                <c:pt idx="165">
                  <c:v>95.5763779739763</c:v>
                </c:pt>
                <c:pt idx="166">
                  <c:v>96.6888469844628</c:v>
                </c:pt>
                <c:pt idx="167">
                  <c:v>97.8068123300154</c:v>
                </c:pt>
                <c:pt idx="168">
                  <c:v>98.9302565558071</c:v>
                </c:pt>
                <c:pt idx="169">
                  <c:v>100.059162185993</c:v>
                </c:pt>
                <c:pt idx="170">
                  <c:v>101.19351172391</c:v>
                </c:pt>
                <c:pt idx="171">
                  <c:v>102.333287652279</c:v>
                </c:pt>
                <c:pt idx="172">
                  <c:v>103.478472433402</c:v>
                </c:pt>
                <c:pt idx="173">
                  <c:v>104.629048509364</c:v>
                </c:pt>
                <c:pt idx="174">
                  <c:v>105.784998302236</c:v>
                </c:pt>
                <c:pt idx="175">
                  <c:v>106.946304214273</c:v>
                </c:pt>
                <c:pt idx="176">
                  <c:v>108.112948628113</c:v>
                </c:pt>
                <c:pt idx="177">
                  <c:v>109.284913906984</c:v>
                </c:pt>
                <c:pt idx="178">
                  <c:v>110.4621823949</c:v>
                </c:pt>
                <c:pt idx="179">
                  <c:v>111.644736416862</c:v>
                </c:pt>
                <c:pt idx="180">
                  <c:v>112.832558279062</c:v>
                </c:pt>
                <c:pt idx="181">
                  <c:v>114.025630269084</c:v>
                </c:pt>
                <c:pt idx="182">
                  <c:v>115.223934656101</c:v>
                </c:pt>
                <c:pt idx="183">
                  <c:v>116.427453691083</c:v>
                </c:pt>
                <c:pt idx="184">
                  <c:v>117.636169606991</c:v>
                </c:pt>
                <c:pt idx="185">
                  <c:v>118.850064618984</c:v>
                </c:pt>
                <c:pt idx="186">
                  <c:v>120.069120924616</c:v>
                </c:pt>
                <c:pt idx="187">
                  <c:v>121.29332070404</c:v>
                </c:pt>
                <c:pt idx="188">
                  <c:v>122.522646120209</c:v>
                </c:pt>
                <c:pt idx="189">
                  <c:v>123.757079319074</c:v>
                </c:pt>
                <c:pt idx="190">
                  <c:v>124.996602429788</c:v>
                </c:pt>
                <c:pt idx="191">
                  <c:v>126.241197564907</c:v>
                </c:pt>
                <c:pt idx="192">
                  <c:v>127.490846820588</c:v>
                </c:pt>
                <c:pt idx="193">
                  <c:v>128.745532276794</c:v>
                </c:pt>
                <c:pt idx="194">
                  <c:v>130.00523599749</c:v>
                </c:pt>
                <c:pt idx="195">
                  <c:v>131.269940030847</c:v>
                </c:pt>
                <c:pt idx="196">
                  <c:v>132.53962640944</c:v>
                </c:pt>
                <c:pt idx="197">
                  <c:v>133.814277150449</c:v>
                </c:pt>
                <c:pt idx="198">
                  <c:v>135.093874255861</c:v>
                </c:pt>
                <c:pt idx="199">
                  <c:v>136.378399712667</c:v>
                </c:pt>
                <c:pt idx="200">
                  <c:v>137.667835493061</c:v>
                </c:pt>
                <c:pt idx="201">
                  <c:v>138.962163554646</c:v>
                </c:pt>
                <c:pt idx="202">
                  <c:v>140.261365840624</c:v>
                </c:pt>
                <c:pt idx="203">
                  <c:v>141.565424280003</c:v>
                </c:pt>
                <c:pt idx="204">
                  <c:v>142.87432078779</c:v>
                </c:pt>
                <c:pt idx="205">
                  <c:v>144.188037265196</c:v>
                </c:pt>
                <c:pt idx="206">
                  <c:v>145.506555599828</c:v>
                </c:pt>
                <c:pt idx="207">
                  <c:v>146.829857665891</c:v>
                </c:pt>
                <c:pt idx="208">
                  <c:v>148.157925324385</c:v>
                </c:pt>
                <c:pt idx="209">
                  <c:v>149.490740423305</c:v>
                </c:pt>
                <c:pt idx="210">
                  <c:v>150.828284797831</c:v>
                </c:pt>
                <c:pt idx="211">
                  <c:v>152.170540270537</c:v>
                </c:pt>
                <c:pt idx="212">
                  <c:v>153.517488651576</c:v>
                </c:pt>
                <c:pt idx="213">
                  <c:v>154.869111738885</c:v>
                </c:pt>
                <c:pt idx="214">
                  <c:v>156.225391318377</c:v>
                </c:pt>
                <c:pt idx="215">
                  <c:v>157.586309164138</c:v>
                </c:pt>
                <c:pt idx="216">
                  <c:v>158.951847038622</c:v>
                </c:pt>
                <c:pt idx="217">
                  <c:v>160.32198669285</c:v>
                </c:pt>
                <c:pt idx="218">
                  <c:v>161.696709866598</c:v>
                </c:pt>
                <c:pt idx="219">
                  <c:v>163.075998288599</c:v>
                </c:pt>
                <c:pt idx="220">
                  <c:v>164.459833676732</c:v>
                </c:pt>
                <c:pt idx="221">
                  <c:v>165.848197738218</c:v>
                </c:pt>
                <c:pt idx="222">
                  <c:v>167.241072169814</c:v>
                </c:pt>
                <c:pt idx="223">
                  <c:v>168.638438658005</c:v>
                </c:pt>
                <c:pt idx="224">
                  <c:v>170.040278879197</c:v>
                </c:pt>
                <c:pt idx="225">
                  <c:v>171.446574499911</c:v>
                </c:pt>
                <c:pt idx="226">
                  <c:v>172.857307176971</c:v>
                </c:pt>
                <c:pt idx="227">
                  <c:v>174.272458557701</c:v>
                </c:pt>
                <c:pt idx="228">
                  <c:v>175.692010280111</c:v>
                </c:pt>
                <c:pt idx="229">
                  <c:v>177.115943973092</c:v>
                </c:pt>
                <c:pt idx="230">
                  <c:v>178.544241256601</c:v>
                </c:pt>
                <c:pt idx="231">
                  <c:v>179.976883741859</c:v>
                </c:pt>
                <c:pt idx="232">
                  <c:v>181.41385303153</c:v>
                </c:pt>
                <c:pt idx="233">
                  <c:v>182.85513071992</c:v>
                </c:pt>
                <c:pt idx="234">
                  <c:v>184.300698393158</c:v>
                </c:pt>
                <c:pt idx="235">
                  <c:v>185.750537629389</c:v>
                </c:pt>
                <c:pt idx="236">
                  <c:v>187.204629998958</c:v>
                </c:pt>
                <c:pt idx="237">
                  <c:v>188.662957064599</c:v>
                </c:pt>
                <c:pt idx="238">
                  <c:v>190.125500381621</c:v>
                </c:pt>
                <c:pt idx="239">
                  <c:v>191.592241498094</c:v>
                </c:pt>
                <c:pt idx="240">
                  <c:v>193.063161955036</c:v>
                </c:pt>
                <c:pt idx="241">
                  <c:v>194.538243286595</c:v>
                </c:pt>
                <c:pt idx="242">
                  <c:v>196.017467020237</c:v>
                </c:pt>
                <c:pt idx="243">
                  <c:v>197.500814676927</c:v>
                </c:pt>
                <c:pt idx="244">
                  <c:v>198.988267771316</c:v>
                </c:pt>
                <c:pt idx="245">
                  <c:v>200.479807811919</c:v>
                </c:pt>
                <c:pt idx="246">
                  <c:v>201.975416301304</c:v>
                </c:pt>
                <c:pt idx="247">
                  <c:v>203.475074736266</c:v>
                </c:pt>
                <c:pt idx="248">
                  <c:v>204.978764608017</c:v>
                </c:pt>
                <c:pt idx="249">
                  <c:v>206.486467402359</c:v>
                </c:pt>
                <c:pt idx="250">
                  <c:v>207.998164599869</c:v>
                </c:pt>
                <c:pt idx="251">
                  <c:v>209.513836066762</c:v>
                </c:pt>
                <c:pt idx="252">
                  <c:v>211.033458445619</c:v>
                </c:pt>
                <c:pt idx="253">
                  <c:v>212.557006765485</c:v>
                </c:pt>
                <c:pt idx="254">
                  <c:v>214.084456052128</c:v>
                </c:pt>
                <c:pt idx="255">
                  <c:v>215.615781328299</c:v>
                </c:pt>
                <c:pt idx="256">
                  <c:v>217.150957613994</c:v>
                </c:pt>
                <c:pt idx="257">
                  <c:v>218.68995992671</c:v>
                </c:pt>
                <c:pt idx="258">
                  <c:v>220.232763281703</c:v>
                </c:pt>
                <c:pt idx="259">
                  <c:v>221.779342692243</c:v>
                </c:pt>
                <c:pt idx="260">
                  <c:v>223.32967316987</c:v>
                </c:pt>
                <c:pt idx="261">
                  <c:v>224.883729724647</c:v>
                </c:pt>
                <c:pt idx="262">
                  <c:v>226.441487365412</c:v>
                </c:pt>
                <c:pt idx="263">
                  <c:v>228.002921100029</c:v>
                </c:pt>
                <c:pt idx="264">
                  <c:v>229.568005935641</c:v>
                </c:pt>
                <c:pt idx="265">
                  <c:v>231.136716878913</c:v>
                </c:pt>
                <c:pt idx="266">
                  <c:v>232.709028936287</c:v>
                </c:pt>
                <c:pt idx="267">
                  <c:v>234.284917114222</c:v>
                </c:pt>
                <c:pt idx="268">
                  <c:v>235.864356419442</c:v>
                </c:pt>
                <c:pt idx="269">
                  <c:v>237.447321859181</c:v>
                </c:pt>
                <c:pt idx="270">
                  <c:v>239.033788441425</c:v>
                </c:pt>
                <c:pt idx="271">
                  <c:v>240.623731175152</c:v>
                </c:pt>
                <c:pt idx="272">
                  <c:v>242.217125070574</c:v>
                </c:pt>
                <c:pt idx="273">
                  <c:v>243.813945139375</c:v>
                </c:pt>
                <c:pt idx="274">
                  <c:v>245.414166394952</c:v>
                </c:pt>
                <c:pt idx="275">
                  <c:v>247.017763852646</c:v>
                </c:pt>
                <c:pt idx="276">
                  <c:v>248.624712529983</c:v>
                </c:pt>
                <c:pt idx="277">
                  <c:v>250.234987446904</c:v>
                </c:pt>
                <c:pt idx="278">
                  <c:v>251.848563626</c:v>
                </c:pt>
                <c:pt idx="279">
                  <c:v>253.465416092741</c:v>
                </c:pt>
                <c:pt idx="280">
                  <c:v>255.085519875712</c:v>
                </c:pt>
                <c:pt idx="281">
                  <c:v>256.708850006834</c:v>
                </c:pt>
                <c:pt idx="282">
                  <c:v>258.335381521598</c:v>
                </c:pt>
                <c:pt idx="283">
                  <c:v>259.965089459288</c:v>
                </c:pt>
                <c:pt idx="284">
                  <c:v>261.597948863208</c:v>
                </c:pt>
                <c:pt idx="285">
                  <c:v>263.233934780904</c:v>
                </c:pt>
                <c:pt idx="286">
                  <c:v>264.873022264387</c:v>
                </c:pt>
                <c:pt idx="287">
                  <c:v>266.515186370356</c:v>
                </c:pt>
                <c:pt idx="288">
                  <c:v>268.160402160416</c:v>
                </c:pt>
                <c:pt idx="289">
                  <c:v>269.808644701295</c:v>
                </c:pt>
                <c:pt idx="290">
                  <c:v>271.459889065065</c:v>
                </c:pt>
                <c:pt idx="291">
                  <c:v>273.114110329355</c:v>
                </c:pt>
                <c:pt idx="292">
                  <c:v>274.771283577567</c:v>
                </c:pt>
                <c:pt idx="293">
                  <c:v>276.431383899089</c:v>
                </c:pt>
                <c:pt idx="294">
                  <c:v>278.094386389504</c:v>
                </c:pt>
                <c:pt idx="295">
                  <c:v>279.760266150806</c:v>
                </c:pt>
                <c:pt idx="296">
                  <c:v>281.428998291605</c:v>
                </c:pt>
                <c:pt idx="297">
                  <c:v>283.100557927335</c:v>
                </c:pt>
                <c:pt idx="298">
                  <c:v>284.774902571347</c:v>
                </c:pt>
                <c:pt idx="299">
                  <c:v>286.451954530458</c:v>
                </c:pt>
                <c:pt idx="300">
                  <c:v>288.13161853087</c:v>
                </c:pt>
                <c:pt idx="301">
                  <c:v>289.813799340406</c:v>
                </c:pt>
                <c:pt idx="302">
                  <c:v>291.498401770284</c:v>
                </c:pt>
                <c:pt idx="303">
                  <c:v>293.185330676862</c:v>
                </c:pt>
                <c:pt idx="304">
                  <c:v>294.874490963368</c:v>
                </c:pt>
                <c:pt idx="305">
                  <c:v>296.565787581617</c:v>
                </c:pt>
                <c:pt idx="306">
                  <c:v>298.259125533696</c:v>
                </c:pt>
                <c:pt idx="307">
                  <c:v>299.954409873646</c:v>
                </c:pt>
                <c:pt idx="308">
                  <c:v>301.651545709113</c:v>
                </c:pt>
                <c:pt idx="309">
                  <c:v>303.350438202983</c:v>
                </c:pt>
                <c:pt idx="310">
                  <c:v>305.050992575007</c:v>
                </c:pt>
                <c:pt idx="311">
                  <c:v>306.75311410339</c:v>
                </c:pt>
                <c:pt idx="312">
                  <c:v>308.456708126379</c:v>
                </c:pt>
                <c:pt idx="313">
                  <c:v>310.161680043819</c:v>
                </c:pt>
                <c:pt idx="314">
                  <c:v>311.867935318694</c:v>
                </c:pt>
                <c:pt idx="315">
                  <c:v>313.575379478655</c:v>
                </c:pt>
                <c:pt idx="316">
                  <c:v>315.283918117518</c:v>
                </c:pt>
                <c:pt idx="317">
                  <c:v>316.99345689675</c:v>
                </c:pt>
                <c:pt idx="318">
                  <c:v>318.703901546938</c:v>
                </c:pt>
                <c:pt idx="319">
                  <c:v>320.415157869228</c:v>
                </c:pt>
                <c:pt idx="320">
                  <c:v>322.127131736761</c:v>
                </c:pt>
                <c:pt idx="321">
                  <c:v>323.839736089868</c:v>
                </c:pt>
                <c:pt idx="322">
                  <c:v>325.552897926152</c:v>
                </c:pt>
                <c:pt idx="323">
                  <c:v>327.266551296349</c:v>
                </c:pt>
                <c:pt idx="324">
                  <c:v>328.980630304944</c:v>
                </c:pt>
                <c:pt idx="325">
                  <c:v>330.695069110826</c:v>
                </c:pt>
                <c:pt idx="326">
                  <c:v>332.409801927942</c:v>
                </c:pt>
                <c:pt idx="327">
                  <c:v>334.124763025925</c:v>
                </c:pt>
                <c:pt idx="328">
                  <c:v>335.839886730737</c:v>
                </c:pt>
                <c:pt idx="329">
                  <c:v>337.555107425276</c:v>
                </c:pt>
                <c:pt idx="330">
                  <c:v>339.270359549995</c:v>
                </c:pt>
                <c:pt idx="331">
                  <c:v>340.985577603502</c:v>
                </c:pt>
                <c:pt idx="332">
                  <c:v>342.700696143148</c:v>
                </c:pt>
                <c:pt idx="333">
                  <c:v>344.415649785616</c:v>
                </c:pt>
                <c:pt idx="334">
                  <c:v>346.130373207487</c:v>
                </c:pt>
                <c:pt idx="335">
                  <c:v>347.844801145811</c:v>
                </c:pt>
                <c:pt idx="336">
                  <c:v>349.55886839866</c:v>
                </c:pt>
                <c:pt idx="337">
                  <c:v>351.272509825671</c:v>
                </c:pt>
                <c:pt idx="338">
                  <c:v>352.985660348588</c:v>
                </c:pt>
                <c:pt idx="339">
                  <c:v>354.698254951783</c:v>
                </c:pt>
                <c:pt idx="340">
                  <c:v>356.410228682782</c:v>
                </c:pt>
                <c:pt idx="341">
                  <c:v>358.121516652768</c:v>
                </c:pt>
                <c:pt idx="342">
                  <c:v>359.832054037085</c:v>
                </c:pt>
                <c:pt idx="343">
                  <c:v>361.541776075727</c:v>
                </c:pt>
                <c:pt idx="344">
                  <c:v>363.250618073825</c:v>
                </c:pt>
                <c:pt idx="345">
                  <c:v>364.958515402112</c:v>
                </c:pt>
                <c:pt idx="346">
                  <c:v>366.665403497398</c:v>
                </c:pt>
                <c:pt idx="347">
                  <c:v>368.371217863017</c:v>
                </c:pt>
                <c:pt idx="348">
                  <c:v>370.075894822603</c:v>
                </c:pt>
                <c:pt idx="349">
                  <c:v>371.779372273042</c:v>
                </c:pt>
                <c:pt idx="350">
                  <c:v>373.481588929917</c:v>
                </c:pt>
                <c:pt idx="351">
                  <c:v>375.182483573755</c:v>
                </c:pt>
                <c:pt idx="352">
                  <c:v>376.881995050387</c:v>
                </c:pt>
                <c:pt idx="353">
                  <c:v>378.580062271306</c:v>
                </c:pt>
                <c:pt idx="354">
                  <c:v>380.276624214016</c:v>
                </c:pt>
                <c:pt idx="355">
                  <c:v>381.971619922372</c:v>
                </c:pt>
                <c:pt idx="356">
                  <c:v>383.664988506916</c:v>
                </c:pt>
                <c:pt idx="357">
                  <c:v>385.3566691452</c:v>
                </c:pt>
                <c:pt idx="358">
                  <c:v>387.046601082107</c:v>
                </c:pt>
                <c:pt idx="359">
                  <c:v>388.734723630157</c:v>
                </c:pt>
                <c:pt idx="360">
                  <c:v>390.420991830062</c:v>
                </c:pt>
                <c:pt idx="361">
                  <c:v>392.105392092282</c:v>
                </c:pt>
                <c:pt idx="362">
                  <c:v>393.787926500163</c:v>
                </c:pt>
                <c:pt idx="363">
                  <c:v>395.468597131911</c:v>
                </c:pt>
                <c:pt idx="364">
                  <c:v>397.147406060611</c:v>
                </c:pt>
                <c:pt idx="365">
                  <c:v>398.824355354241</c:v>
                </c:pt>
                <c:pt idx="366">
                  <c:v>400.499447075689</c:v>
                </c:pt>
                <c:pt idx="367">
                  <c:v>402.17268328277</c:v>
                </c:pt>
                <c:pt idx="368">
                  <c:v>403.84406602824</c:v>
                </c:pt>
                <c:pt idx="369">
                  <c:v>405.513597359812</c:v>
                </c:pt>
                <c:pt idx="370">
                  <c:v>407.181279320173</c:v>
                </c:pt>
                <c:pt idx="371">
                  <c:v>408.847113947</c:v>
                </c:pt>
                <c:pt idx="372">
                  <c:v>410.511103272972</c:v>
                </c:pt>
                <c:pt idx="373">
                  <c:v>412.173249325792</c:v>
                </c:pt>
                <c:pt idx="374">
                  <c:v>413.833554128195</c:v>
                </c:pt>
                <c:pt idx="375">
                  <c:v>415.492019697971</c:v>
                </c:pt>
                <c:pt idx="376">
                  <c:v>417.148648047974</c:v>
                </c:pt>
                <c:pt idx="377">
                  <c:v>418.803441186141</c:v>
                </c:pt>
                <c:pt idx="378">
                  <c:v>420.456401115506</c:v>
                </c:pt>
                <c:pt idx="379">
                  <c:v>422.107529834216</c:v>
                </c:pt>
                <c:pt idx="380">
                  <c:v>423.756829335546</c:v>
                </c:pt>
                <c:pt idx="381">
                  <c:v>425.404301607912</c:v>
                </c:pt>
                <c:pt idx="382">
                  <c:v>427.04994863489</c:v>
                </c:pt>
                <c:pt idx="383">
                  <c:v>428.693772395227</c:v>
                </c:pt>
                <c:pt idx="384">
                  <c:v>430.335774862858</c:v>
                </c:pt>
                <c:pt idx="385">
                  <c:v>431.975958006923</c:v>
                </c:pt>
                <c:pt idx="386">
                  <c:v>433.614323791775</c:v>
                </c:pt>
                <c:pt idx="387">
                  <c:v>435.250874177002</c:v>
                </c:pt>
                <c:pt idx="388">
                  <c:v>436.885611117438</c:v>
                </c:pt>
                <c:pt idx="389">
                  <c:v>438.51853656318</c:v>
                </c:pt>
                <c:pt idx="390">
                  <c:v>440.149652459597</c:v>
                </c:pt>
                <c:pt idx="391">
                  <c:v>441.778960747352</c:v>
                </c:pt>
                <c:pt idx="392">
                  <c:v>443.406463362412</c:v>
                </c:pt>
                <c:pt idx="393">
                  <c:v>445.032162236063</c:v>
                </c:pt>
                <c:pt idx="394">
                  <c:v>446.656059294923</c:v>
                </c:pt>
                <c:pt idx="395">
                  <c:v>448.278156460961</c:v>
                </c:pt>
                <c:pt idx="396">
                  <c:v>449.898455651507</c:v>
                </c:pt>
                <c:pt idx="397">
                  <c:v>451.516958779265</c:v>
                </c:pt>
                <c:pt idx="398">
                  <c:v>453.133667752332</c:v>
                </c:pt>
                <c:pt idx="399">
                  <c:v>454.748584474209</c:v>
                </c:pt>
                <c:pt idx="400">
                  <c:v>456.361710843814</c:v>
                </c:pt>
                <c:pt idx="401">
                  <c:v>472.394651925885</c:v>
                </c:pt>
                <c:pt idx="402">
                  <c:v>488.249779599886</c:v>
                </c:pt>
                <c:pt idx="403">
                  <c:v>503.928947125683</c:v>
                </c:pt>
                <c:pt idx="404">
                  <c:v>519.433963826796</c:v>
                </c:pt>
                <c:pt idx="405">
                  <c:v>534.766596395646</c:v>
                </c:pt>
                <c:pt idx="406">
                  <c:v>549.928570149135</c:v>
                </c:pt>
                <c:pt idx="407">
                  <c:v>564.921570236802</c:v>
                </c:pt>
                <c:pt idx="408">
                  <c:v>579.747242803692</c:v>
                </c:pt>
                <c:pt idx="409">
                  <c:v>594.407196109961</c:v>
                </c:pt>
                <c:pt idx="410">
                  <c:v>608.903001609113</c:v>
                </c:pt>
                <c:pt idx="411">
                  <c:v>623.236194986719</c:v>
                </c:pt>
                <c:pt idx="412">
                  <c:v>637.408277161302</c:v>
                </c:pt>
                <c:pt idx="413">
                  <c:v>651.420715249054</c:v>
                </c:pt>
                <c:pt idx="414">
                  <c:v>665.27494349392</c:v>
                </c:pt>
                <c:pt idx="415">
                  <c:v>678.972364164529</c:v>
                </c:pt>
                <c:pt idx="416">
                  <c:v>692.514348419381</c:v>
                </c:pt>
                <c:pt idx="417">
                  <c:v>705.902237141607</c:v>
                </c:pt>
                <c:pt idx="418">
                  <c:v>719.13734174458</c:v>
                </c:pt>
                <c:pt idx="419">
                  <c:v>732.220944949586</c:v>
                </c:pt>
                <c:pt idx="420">
                  <c:v>745.154301536688</c:v>
                </c:pt>
                <c:pt idx="421">
                  <c:v>757.938639069888</c:v>
                </c:pt>
                <c:pt idx="422">
                  <c:v>770.575158597618</c:v>
                </c:pt>
                <c:pt idx="423">
                  <c:v>783.065035329567</c:v>
                </c:pt>
                <c:pt idx="424">
                  <c:v>795.409419290757</c:v>
                </c:pt>
                <c:pt idx="425">
                  <c:v>807.609435953807</c:v>
                </c:pt>
                <c:pt idx="426">
                  <c:v>819.666186850216</c:v>
                </c:pt>
                <c:pt idx="427">
                  <c:v>831.580750161487</c:v>
                </c:pt>
                <c:pt idx="428">
                  <c:v>843.354181290892</c:v>
                </c:pt>
                <c:pt idx="429">
                  <c:v>854.987513416598</c:v>
                </c:pt>
                <c:pt idx="430">
                  <c:v>866.481758026892</c:v>
                </c:pt>
                <c:pt idx="431">
                  <c:v>877.837905438159</c:v>
                </c:pt>
                <c:pt idx="432">
                  <c:v>889.056925296292</c:v>
                </c:pt>
                <c:pt idx="433">
                  <c:v>900.139767062129</c:v>
                </c:pt>
                <c:pt idx="434">
                  <c:v>911.08736048153</c:v>
                </c:pt>
                <c:pt idx="435">
                  <c:v>921.900616040654</c:v>
                </c:pt>
                <c:pt idx="436">
                  <c:v>932.580425406976</c:v>
                </c:pt>
                <c:pt idx="437">
                  <c:v>943.127661856576</c:v>
                </c:pt>
                <c:pt idx="438">
                  <c:v>953.543180688191</c:v>
                </c:pt>
                <c:pt idx="439">
                  <c:v>963.827819624497</c:v>
                </c:pt>
                <c:pt idx="440">
                  <c:v>973.982399201103</c:v>
                </c:pt>
                <c:pt idx="441">
                  <c:v>984.007723143668</c:v>
                </c:pt>
                <c:pt idx="442">
                  <c:v>993.904578733576</c:v>
                </c:pt>
                <c:pt idx="443">
                  <c:v>1003.67373716257</c:v>
                </c:pt>
                <c:pt idx="444">
                  <c:v>1013.3159538767</c:v>
                </c:pt>
                <c:pt idx="445">
                  <c:v>1022.83196891007</c:v>
                </c:pt>
                <c:pt idx="446">
                  <c:v>1032.22250720851</c:v>
                </c:pt>
                <c:pt idx="447">
                  <c:v>1041.48827894377</c:v>
                </c:pt>
                <c:pt idx="448">
                  <c:v>1050.62997981842</c:v>
                </c:pt>
                <c:pt idx="449">
                  <c:v>1059.64829136178</c:v>
                </c:pt>
                <c:pt idx="450">
                  <c:v>1068.54388121718</c:v>
                </c:pt>
                <c:pt idx="451">
                  <c:v>1077.31740342096</c:v>
                </c:pt>
                <c:pt idx="452">
                  <c:v>1085.96949867323</c:v>
                </c:pt>
                <c:pt idx="453">
                  <c:v>1094.50079460097</c:v>
                </c:pt>
                <c:pt idx="454">
                  <c:v>1102.91190601349</c:v>
                </c:pt>
                <c:pt idx="455">
                  <c:v>1111.2034351506</c:v>
                </c:pt>
                <c:pt idx="456">
                  <c:v>1119.37597192372</c:v>
                </c:pt>
                <c:pt idx="457">
                  <c:v>1127.43009415016</c:v>
                </c:pt>
                <c:pt idx="458">
                  <c:v>1135.36636778077</c:v>
                </c:pt>
                <c:pt idx="459">
                  <c:v>1143.18534712119</c:v>
                </c:pt>
                <c:pt idx="460">
                  <c:v>1150.88757504695</c:v>
                </c:pt>
                <c:pt idx="461">
                  <c:v>1158.47358321248</c:v>
                </c:pt>
                <c:pt idx="462">
                  <c:v>1165.94389225442</c:v>
                </c:pt>
                <c:pt idx="463">
                  <c:v>1173.29901198928</c:v>
                </c:pt>
                <c:pt idx="464">
                  <c:v>1180.53944160563</c:v>
                </c:pt>
                <c:pt idx="465">
                  <c:v>1187.66566985108</c:v>
                </c:pt>
                <c:pt idx="466">
                  <c:v>1194.67817521414</c:v>
                </c:pt>
                <c:pt idx="467">
                  <c:v>1201.57742610115</c:v>
                </c:pt>
                <c:pt idx="468">
                  <c:v>1208.36388100848</c:v>
                </c:pt>
                <c:pt idx="469">
                  <c:v>1215.03798869005</c:v>
                </c:pt>
                <c:pt idx="470">
                  <c:v>1221.60018832045</c:v>
                </c:pt>
                <c:pt idx="471">
                  <c:v>1228.05090965369</c:v>
                </c:pt>
                <c:pt idx="472">
                  <c:v>1234.39057317785</c:v>
                </c:pt>
                <c:pt idx="473">
                  <c:v>1240.61959026558</c:v>
                </c:pt>
                <c:pt idx="474">
                  <c:v>1246.73836332082</c:v>
                </c:pt>
                <c:pt idx="475">
                  <c:v>1252.74728592165</c:v>
                </c:pt>
                <c:pt idx="476">
                  <c:v>1258.64674295962</c:v>
                </c:pt>
                <c:pt idx="477">
                  <c:v>1264.43711077547</c:v>
                </c:pt>
                <c:pt idx="478">
                  <c:v>1270.11875729153</c:v>
                </c:pt>
                <c:pt idx="479">
                  <c:v>1275.69204214088</c:v>
                </c:pt>
                <c:pt idx="480">
                  <c:v>1281.15731679333</c:v>
                </c:pt>
                <c:pt idx="481">
                  <c:v>1286.51492467846</c:v>
                </c:pt>
                <c:pt idx="482">
                  <c:v>1291.76520130575</c:v>
                </c:pt>
                <c:pt idx="483">
                  <c:v>1296.90847438199</c:v>
                </c:pt>
                <c:pt idx="484">
                  <c:v>1301.94506392602</c:v>
                </c:pt>
                <c:pt idx="485">
                  <c:v>1306.87528238102</c:v>
                </c:pt>
                <c:pt idx="486">
                  <c:v>1311.69943472441</c:v>
                </c:pt>
                <c:pt idx="487">
                  <c:v>1316.4178185755</c:v>
                </c:pt>
                <c:pt idx="488">
                  <c:v>1321.03072430105</c:v>
                </c:pt>
                <c:pt idx="489">
                  <c:v>1325.53843511886</c:v>
                </c:pt>
                <c:pt idx="490">
                  <c:v>1329.9412271995</c:v>
                </c:pt>
                <c:pt idx="491">
                  <c:v>1334.23936976642</c:v>
                </c:pt>
                <c:pt idx="492">
                  <c:v>1338.43312519442</c:v>
                </c:pt>
                <c:pt idx="493">
                  <c:v>1342.52274910688</c:v>
                </c:pt>
                <c:pt idx="494">
                  <c:v>1346.50849047162</c:v>
                </c:pt>
                <c:pt idx="495">
                  <c:v>1350.39059169583</c:v>
                </c:pt>
                <c:pt idx="496">
                  <c:v>1354.16928872009</c:v>
                </c:pt>
                <c:pt idx="497">
                  <c:v>1357.84481111169</c:v>
                </c:pt>
                <c:pt idx="498">
                  <c:v>1361.41738215752</c:v>
                </c:pt>
                <c:pt idx="499">
                  <c:v>1364.88721895664</c:v>
                </c:pt>
                <c:pt idx="500">
                  <c:v>1368.25453251286</c:v>
                </c:pt>
                <c:pt idx="501">
                  <c:v>1371.51952782747</c:v>
                </c:pt>
                <c:pt idx="502">
                  <c:v>1374.68240399244</c:v>
                </c:pt>
                <c:pt idx="503">
                  <c:v>1377.74335428434</c:v>
                </c:pt>
                <c:pt idx="504">
                  <c:v>1380.70256625926</c:v>
                </c:pt>
                <c:pt idx="505">
                  <c:v>1383.56022184903</c:v>
                </c:pt>
                <c:pt idx="506">
                  <c:v>1386.31649745907</c:v>
                </c:pt>
                <c:pt idx="507">
                  <c:v>1388.97156406826</c:v>
                </c:pt>
                <c:pt idx="508">
                  <c:v>1391.52558733108</c:v>
                </c:pt>
                <c:pt idx="509">
                  <c:v>1393.97872768251</c:v>
                </c:pt>
                <c:pt idx="510">
                  <c:v>1396.33114044608</c:v>
                </c:pt>
                <c:pt idx="511">
                  <c:v>1398.5829759454</c:v>
                </c:pt>
                <c:pt idx="512">
                  <c:v>1400.73437961973</c:v>
                </c:pt>
                <c:pt idx="513">
                  <c:v>1402.78549214398</c:v>
                </c:pt>
                <c:pt idx="514">
                  <c:v>1404.73644955357</c:v>
                </c:pt>
                <c:pt idx="515">
                  <c:v>1406.58738337473</c:v>
                </c:pt>
                <c:pt idx="516">
                  <c:v>1408.33842076058</c:v>
                </c:pt>
                <c:pt idx="517">
                  <c:v>1409.9896846336</c:v>
                </c:pt>
                <c:pt idx="518">
                  <c:v>1411.54129383475</c:v>
                </c:pt>
                <c:pt idx="519">
                  <c:v>1412.99336327994</c:v>
                </c:pt>
                <c:pt idx="520">
                  <c:v>1414.34600412394</c:v>
                </c:pt>
                <c:pt idx="521">
                  <c:v>1415.59932393238</c:v>
                </c:pt>
                <c:pt idx="522">
                  <c:v>1416.75342686184</c:v>
                </c:pt>
                <c:pt idx="523">
                  <c:v>1417.80841384848</c:v>
                </c:pt>
                <c:pt idx="524">
                  <c:v>1418.76438280518</c:v>
                </c:pt>
                <c:pt idx="525">
                  <c:v>1419.62142882732</c:v>
                </c:pt>
                <c:pt idx="526">
                  <c:v>1420.37964440698</c:v>
                </c:pt>
                <c:pt idx="527">
                  <c:v>1421.03911965539</c:v>
                </c:pt>
                <c:pt idx="528">
                  <c:v>1421.59994253332</c:v>
                </c:pt>
                <c:pt idx="529">
                  <c:v>1422.06219908876</c:v>
                </c:pt>
                <c:pt idx="530">
                  <c:v>1422.42597370133</c:v>
                </c:pt>
                <c:pt idx="531">
                  <c:v>1422.69134933247</c:v>
                </c:pt>
                <c:pt idx="532">
                  <c:v>1422.85840778069</c:v>
                </c:pt>
                <c:pt idx="533">
                  <c:v>1422.92722994048</c:v>
                </c:pt>
                <c:pt idx="534">
                  <c:v>1422.89789606395</c:v>
                </c:pt>
                <c:pt idx="535">
                  <c:v>1422.7704860238</c:v>
                </c:pt>
                <c:pt idx="536">
                  <c:v>1422.54507957631</c:v>
                </c:pt>
                <c:pt idx="537">
                  <c:v>1422.22175662293</c:v>
                </c:pt>
                <c:pt idx="538">
                  <c:v>1421.80059746922</c:v>
                </c:pt>
                <c:pt idx="539">
                  <c:v>1421.28168307973</c:v>
                </c:pt>
                <c:pt idx="540">
                  <c:v>1420.66509532753</c:v>
                </c:pt>
                <c:pt idx="541">
                  <c:v>1419.9509172373</c:v>
                </c:pt>
                <c:pt idx="542">
                  <c:v>1419.13923322084</c:v>
                </c:pt>
                <c:pt idx="543">
                  <c:v>1418.2301293041</c:v>
                </c:pt>
                <c:pt idx="544">
                  <c:v>1417.22369334493</c:v>
                </c:pt>
                <c:pt idx="545">
                  <c:v>1416.12001524092</c:v>
                </c:pt>
                <c:pt idx="546">
                  <c:v>1414.91918712678</c:v>
                </c:pt>
                <c:pt idx="547">
                  <c:v>1413.62130356098</c:v>
                </c:pt>
                <c:pt idx="548">
                  <c:v>1412.22646170146</c:v>
                </c:pt>
                <c:pt idx="549">
                  <c:v>1410.73476147019</c:v>
                </c:pt>
                <c:pt idx="550">
                  <c:v>1409.14630570681</c:v>
                </c:pt>
                <c:pt idx="551">
                  <c:v>1407.46120031136</c:v>
                </c:pt>
                <c:pt idx="552">
                  <c:v>1405.67955437639</c:v>
                </c:pt>
                <c:pt idx="553">
                  <c:v>1403.80148030868</c:v>
                </c:pt>
                <c:pt idx="554">
                  <c:v>1401.82709394108</c:v>
                </c:pt>
                <c:pt idx="555">
                  <c:v>1399.75651463464</c:v>
                </c:pt>
                <c:pt idx="556">
                  <c:v>1397.58986537169</c:v>
                </c:pt>
                <c:pt idx="557">
                  <c:v>1395.32727284019</c:v>
                </c:pt>
                <c:pt idx="558">
                  <c:v>1392.96886750987</c:v>
                </c:pt>
                <c:pt idx="559">
                  <c:v>1390.51478370056</c:v>
                </c:pt>
                <c:pt idx="560">
                  <c:v>1387.96515964323</c:v>
                </c:pt>
                <c:pt idx="561">
                  <c:v>1385.32013753424</c:v>
                </c:pt>
                <c:pt idx="562">
                  <c:v>1382.57986358308</c:v>
                </c:pt>
                <c:pt idx="563">
                  <c:v>1379.74448805413</c:v>
                </c:pt>
                <c:pt idx="564">
                  <c:v>1376.81416530293</c:v>
                </c:pt>
                <c:pt idx="565">
                  <c:v>1373.78905380705</c:v>
                </c:pt>
                <c:pt idx="566">
                  <c:v>1370.66931619228</c:v>
                </c:pt>
                <c:pt idx="567">
                  <c:v>1367.45511925414</c:v>
                </c:pt>
                <c:pt idx="568">
                  <c:v>1364.14663397535</c:v>
                </c:pt>
                <c:pt idx="569">
                  <c:v>1360.74403553918</c:v>
                </c:pt>
                <c:pt idx="570">
                  <c:v>1357.24750333935</c:v>
                </c:pt>
                <c:pt idx="571">
                  <c:v>1353.65722098641</c:v>
                </c:pt>
                <c:pt idx="572">
                  <c:v>1349.97337631098</c:v>
                </c:pt>
                <c:pt idx="573">
                  <c:v>1346.19616136412</c:v>
                </c:pt>
                <c:pt idx="574">
                  <c:v>1342.32577241485</c:v>
                </c:pt>
                <c:pt idx="575">
                  <c:v>1338.36240994515</c:v>
                </c:pt>
                <c:pt idx="576">
                  <c:v>1334.3062786426</c:v>
                </c:pt>
                <c:pt idx="577">
                  <c:v>1330.15758739073</c:v>
                </c:pt>
                <c:pt idx="578">
                  <c:v>1325.9165492573</c:v>
                </c:pt>
                <c:pt idx="579">
                  <c:v>1321.5833814806</c:v>
                </c:pt>
                <c:pt idx="580">
                  <c:v>1317.15830545391</c:v>
                </c:pt>
                <c:pt idx="581">
                  <c:v>1312.64154670825</c:v>
                </c:pt>
                <c:pt idx="582">
                  <c:v>1308.03333489347</c:v>
                </c:pt>
                <c:pt idx="583">
                  <c:v>1303.33390375778</c:v>
                </c:pt>
                <c:pt idx="584">
                  <c:v>1298.54349112594</c:v>
                </c:pt>
                <c:pt idx="585">
                  <c:v>1293.66233887595</c:v>
                </c:pt>
                <c:pt idx="586">
                  <c:v>1288.69069291451</c:v>
                </c:pt>
                <c:pt idx="587">
                  <c:v>1283.62880315127</c:v>
                </c:pt>
                <c:pt idx="588">
                  <c:v>1278.47692347192</c:v>
                </c:pt>
                <c:pt idx="589">
                  <c:v>1273.23531171008</c:v>
                </c:pt>
                <c:pt idx="590">
                  <c:v>1267.90422961832</c:v>
                </c:pt>
                <c:pt idx="591">
                  <c:v>1262.48394283802</c:v>
                </c:pt>
                <c:pt idx="592">
                  <c:v>1256.97472086839</c:v>
                </c:pt>
                <c:pt idx="593">
                  <c:v>1251.37683703449</c:v>
                </c:pt>
                <c:pt idx="594">
                  <c:v>1245.69056845454</c:v>
                </c:pt>
                <c:pt idx="595">
                  <c:v>1239.91619600623</c:v>
                </c:pt>
                <c:pt idx="596">
                  <c:v>1234.05400429237</c:v>
                </c:pt>
                <c:pt idx="597">
                  <c:v>1228.10428160575</c:v>
                </c:pt>
                <c:pt idx="598">
                  <c:v>1222.06731989327</c:v>
                </c:pt>
                <c:pt idx="599">
                  <c:v>1215.94341471941</c:v>
                </c:pt>
                <c:pt idx="600">
                  <c:v>1209.73286522902</c:v>
                </c:pt>
                <c:pt idx="601">
                  <c:v>1203.43597410951</c:v>
                </c:pt>
                <c:pt idx="602">
                  <c:v>1197.05304755239</c:v>
                </c:pt>
                <c:pt idx="603">
                  <c:v>1190.58439521429</c:v>
                </c:pt>
                <c:pt idx="604">
                  <c:v>1184.03033017737</c:v>
                </c:pt>
                <c:pt idx="605">
                  <c:v>1177.39116890926</c:v>
                </c:pt>
                <c:pt idx="606">
                  <c:v>1170.66723122242</c:v>
                </c:pt>
                <c:pt idx="607">
                  <c:v>1163.85884023308</c:v>
                </c:pt>
                <c:pt idx="608">
                  <c:v>1156.96632231971</c:v>
                </c:pt>
                <c:pt idx="609">
                  <c:v>1149.99000708095</c:v>
                </c:pt>
                <c:pt idx="610">
                  <c:v>1142.93022729326</c:v>
                </c:pt>
                <c:pt idx="611">
                  <c:v>1135.78731886803</c:v>
                </c:pt>
                <c:pt idx="612">
                  <c:v>1128.56162080841</c:v>
                </c:pt>
                <c:pt idx="613">
                  <c:v>1121.25347516565</c:v>
                </c:pt>
                <c:pt idx="614">
                  <c:v>1113.86322699519</c:v>
                </c:pt>
                <c:pt idx="615">
                  <c:v>1106.39122431236</c:v>
                </c:pt>
                <c:pt idx="616">
                  <c:v>1098.83781804776</c:v>
                </c:pt>
                <c:pt idx="617">
                  <c:v>1091.20336200232</c:v>
                </c:pt>
                <c:pt idx="618">
                  <c:v>1083.48821280211</c:v>
                </c:pt>
                <c:pt idx="619">
                  <c:v>1075.69272985287</c:v>
                </c:pt>
                <c:pt idx="620">
                  <c:v>1067.81727529418</c:v>
                </c:pt>
                <c:pt idx="621">
                  <c:v>1059.86221395353</c:v>
                </c:pt>
                <c:pt idx="622">
                  <c:v>1051.82791330009</c:v>
                </c:pt>
                <c:pt idx="623">
                  <c:v>1043.71474339818</c:v>
                </c:pt>
                <c:pt idx="624">
                  <c:v>1035.52307686072</c:v>
                </c:pt>
                <c:pt idx="625">
                  <c:v>1027.2532888023</c:v>
                </c:pt>
                <c:pt idx="626">
                  <c:v>1018.90575679219</c:v>
                </c:pt>
                <c:pt idx="627">
                  <c:v>1010.48086080715</c:v>
                </c:pt>
                <c:pt idx="628">
                  <c:v>1001.97898318406</c:v>
                </c:pt>
                <c:pt idx="629">
                  <c:v>993.400508572492</c:v>
                </c:pt>
                <c:pt idx="630">
                  <c:v>984.745823887052</c:v>
                </c:pt>
                <c:pt idx="631">
                  <c:v>976.015318259686</c:v>
                </c:pt>
                <c:pt idx="632">
                  <c:v>967.209382991849</c:v>
                </c:pt>
                <c:pt idx="633">
                  <c:v>958.328411506599</c:v>
                </c:pt>
                <c:pt idx="634">
                  <c:v>949.372799300606</c:v>
                </c:pt>
                <c:pt idx="635">
                  <c:v>940.342943896101</c:v>
                </c:pt>
                <c:pt idx="636">
                  <c:v>931.239244792768</c:v>
                </c:pt>
                <c:pt idx="637">
                  <c:v>922.062103419599</c:v>
                </c:pt>
                <c:pt idx="638">
                  <c:v>912.81192308671</c:v>
                </c:pt>
                <c:pt idx="639">
                  <c:v>903.489108937149</c:v>
                </c:pt>
                <c:pt idx="640">
                  <c:v>894.094067898689</c:v>
                </c:pt>
                <c:pt idx="641">
                  <c:v>884.627208635624</c:v>
                </c:pt>
                <c:pt idx="642">
                  <c:v>875.088941500587</c:v>
                </c:pt>
                <c:pt idx="643">
                  <c:v>865.47967848638</c:v>
                </c:pt>
                <c:pt idx="644">
                  <c:v>855.799833177855</c:v>
                </c:pt>
                <c:pt idx="645">
                  <c:v>846.049820703828</c:v>
                </c:pt>
                <c:pt idx="646">
                  <c:v>836.230057689058</c:v>
                </c:pt>
                <c:pt idx="647">
                  <c:v>826.34096220629</c:v>
                </c:pt>
                <c:pt idx="648">
                  <c:v>816.382953728376</c:v>
                </c:pt>
                <c:pt idx="649">
                  <c:v>806.356453080481</c:v>
                </c:pt>
                <c:pt idx="650">
                  <c:v>796.261882392392</c:v>
                </c:pt>
                <c:pt idx="651">
                  <c:v>786.099665050926</c:v>
                </c:pt>
                <c:pt idx="652">
                  <c:v>775.870225652461</c:v>
                </c:pt>
                <c:pt idx="653">
                  <c:v>765.573989955588</c:v>
                </c:pt>
                <c:pt idx="654">
                  <c:v>755.211384833907</c:v>
                </c:pt>
                <c:pt idx="655">
                  <c:v>744.782838228955</c:v>
                </c:pt>
                <c:pt idx="656">
                  <c:v>734.2887791033</c:v>
                </c:pt>
                <c:pt idx="657">
                  <c:v>723.72963739379</c:v>
                </c:pt>
                <c:pt idx="658">
                  <c:v>713.105843964977</c:v>
                </c:pt>
                <c:pt idx="659">
                  <c:v>702.417830562724</c:v>
                </c:pt>
                <c:pt idx="660">
                  <c:v>691.666029767994</c:v>
                </c:pt>
                <c:pt idx="661">
                  <c:v>680.850874950841</c:v>
                </c:pt>
                <c:pt idx="662">
                  <c:v>669.972800224609</c:v>
                </c:pt>
                <c:pt idx="663">
                  <c:v>659.032240400341</c:v>
                </c:pt>
                <c:pt idx="664">
                  <c:v>648.029630941412</c:v>
                </c:pt>
                <c:pt idx="665">
                  <c:v>636.965407918389</c:v>
                </c:pt>
                <c:pt idx="666">
                  <c:v>625.840007964133</c:v>
                </c:pt>
                <c:pt idx="667">
                  <c:v>614.653868229145</c:v>
                </c:pt>
                <c:pt idx="668">
                  <c:v>603.407426337162</c:v>
                </c:pt>
                <c:pt idx="669">
                  <c:v>592.101120341018</c:v>
                </c:pt>
                <c:pt idx="670">
                  <c:v>580.735388678766</c:v>
                </c:pt>
                <c:pt idx="671">
                  <c:v>569.310670130079</c:v>
                </c:pt>
                <c:pt idx="672">
                  <c:v>557.827403772935</c:v>
                </c:pt>
                <c:pt idx="673">
                  <c:v>546.286028940577</c:v>
                </c:pt>
                <c:pt idx="674">
                  <c:v>534.686985178787</c:v>
                </c:pt>
                <c:pt idx="675">
                  <c:v>523.030712203443</c:v>
                </c:pt>
                <c:pt idx="676">
                  <c:v>511.317649858392</c:v>
                </c:pt>
                <c:pt idx="677">
                  <c:v>499.54823807364</c:v>
                </c:pt>
                <c:pt idx="678">
                  <c:v>487.722916823851</c:v>
                </c:pt>
                <c:pt idx="679">
                  <c:v>475.842126087181</c:v>
                </c:pt>
                <c:pt idx="680">
                  <c:v>463.906305804436</c:v>
                </c:pt>
                <c:pt idx="681">
                  <c:v>451.915895838574</c:v>
                </c:pt>
                <c:pt idx="682">
                  <c:v>439.871335934541</c:v>
                </c:pt>
                <c:pt idx="683">
                  <c:v>427.773065679462</c:v>
                </c:pt>
                <c:pt idx="684">
                  <c:v>415.621524463177</c:v>
                </c:pt>
                <c:pt idx="685">
                  <c:v>403.417151439141</c:v>
                </c:pt>
                <c:pt idx="686">
                  <c:v>391.160385485683</c:v>
                </c:pt>
                <c:pt idx="687">
                  <c:v>378.85166516763</c:v>
                </c:pt>
                <c:pt idx="688">
                  <c:v>366.491428698306</c:v>
                </c:pt>
                <c:pt idx="689">
                  <c:v>354.080113901908</c:v>
                </c:pt>
                <c:pt idx="690">
                  <c:v>341.618158176255</c:v>
                </c:pt>
                <c:pt idx="691">
                  <c:v>329.105998455927</c:v>
                </c:pt>
                <c:pt idx="692">
                  <c:v>316.544071175794</c:v>
                </c:pt>
                <c:pt idx="693">
                  <c:v>303.932812234928</c:v>
                </c:pt>
                <c:pt idx="694">
                  <c:v>291.272656960917</c:v>
                </c:pt>
                <c:pt idx="695">
                  <c:v>278.564040074579</c:v>
                </c:pt>
                <c:pt idx="696">
                  <c:v>265.807395655074</c:v>
                </c:pt>
                <c:pt idx="697">
                  <c:v>253.003157105422</c:v>
                </c:pt>
                <c:pt idx="698">
                  <c:v>240.151757118433</c:v>
                </c:pt>
                <c:pt idx="699">
                  <c:v>227.253627643042</c:v>
                </c:pt>
                <c:pt idx="700">
                  <c:v>214.309199851066</c:v>
                </c:pt>
                <c:pt idx="701">
                  <c:v>201.31890410437</c:v>
                </c:pt>
                <c:pt idx="702">
                  <c:v>188.28316992246</c:v>
                </c:pt>
                <c:pt idx="703">
                  <c:v>175.202425950486</c:v>
                </c:pt>
                <c:pt idx="704">
                  <c:v>162.077099927684</c:v>
                </c:pt>
                <c:pt idx="705">
                  <c:v>148.907618656229</c:v>
                </c:pt>
                <c:pt idx="706">
                  <c:v>135.694407970526</c:v>
                </c:pt>
                <c:pt idx="707">
                  <c:v>122.437892706922</c:v>
                </c:pt>
                <c:pt idx="708">
                  <c:v>109.138496673859</c:v>
                </c:pt>
                <c:pt idx="709">
                  <c:v>95.7966426224482</c:v>
                </c:pt>
                <c:pt idx="710">
                  <c:v>82.4127522174877</c:v>
                </c:pt>
                <c:pt idx="711">
                  <c:v>68.9872460089085</c:v>
                </c:pt>
                <c:pt idx="712">
                  <c:v>55.5205434036603</c:v>
                </c:pt>
                <c:pt idx="713">
                  <c:v>42.013062638033</c:v>
                </c:pt>
                <c:pt idx="714">
                  <c:v>28.4652207504168</c:v>
                </c:pt>
                <c:pt idx="715">
                  <c:v>14.8774335545002</c:v>
                </c:pt>
                <c:pt idx="716">
                  <c:v>1.25011561290793</c:v>
                </c:pt>
                <c:pt idx="717">
                  <c:v>-12.4163197887221</c:v>
                </c:pt>
                <c:pt idx="718">
                  <c:v>-12.4300056989435</c:v>
                </c:pt>
                <c:pt idx="719">
                  <c:v>-12.4436916476644</c:v>
                </c:pt>
                <c:pt idx="720">
                  <c:v>-12.4573776348846</c:v>
                </c:pt>
                <c:pt idx="721">
                  <c:v>-12.4710636606036</c:v>
                </c:pt>
                <c:pt idx="722">
                  <c:v>-12.484749724821</c:v>
                </c:pt>
                <c:pt idx="723">
                  <c:v>-12.4984358275363</c:v>
                </c:pt>
                <c:pt idx="724">
                  <c:v>-12.5121219687492</c:v>
                </c:pt>
                <c:pt idx="725">
                  <c:v>-12.5258081484593</c:v>
                </c:pt>
                <c:pt idx="726">
                  <c:v>-12.5394943666661</c:v>
                </c:pt>
                <c:pt idx="727">
                  <c:v>-12.5531806233692</c:v>
                </c:pt>
                <c:pt idx="728">
                  <c:v>-12.5668669185683</c:v>
                </c:pt>
                <c:pt idx="729">
                  <c:v>-12.5805532522629</c:v>
                </c:pt>
                <c:pt idx="730">
                  <c:v>-12.5942396244526</c:v>
                </c:pt>
                <c:pt idx="731">
                  <c:v>-12.607926035137</c:v>
                </c:pt>
                <c:pt idx="732">
                  <c:v>-12.6216124843157</c:v>
                </c:pt>
                <c:pt idx="733">
                  <c:v>-12.6352989719883</c:v>
                </c:pt>
                <c:pt idx="734">
                  <c:v>-12.6489854981543</c:v>
                </c:pt>
                <c:pt idx="735">
                  <c:v>-12.6626720628135</c:v>
                </c:pt>
                <c:pt idx="736">
                  <c:v>-12.6763586659653</c:v>
                </c:pt>
                <c:pt idx="737">
                  <c:v>-12.6900453076093</c:v>
                </c:pt>
                <c:pt idx="738">
                  <c:v>-12.7037319877452</c:v>
                </c:pt>
                <c:pt idx="739">
                  <c:v>-12.7174187063725</c:v>
                </c:pt>
                <c:pt idx="740">
                  <c:v>-12.7311054634908</c:v>
                </c:pt>
                <c:pt idx="741">
                  <c:v>-12.7447922590998</c:v>
                </c:pt>
                <c:pt idx="742">
                  <c:v>-12.7584790931989</c:v>
                </c:pt>
                <c:pt idx="743">
                  <c:v>-12.7721659657879</c:v>
                </c:pt>
                <c:pt idx="744">
                  <c:v>-12.7858528768662</c:v>
                </c:pt>
                <c:pt idx="745">
                  <c:v>-12.7995398264336</c:v>
                </c:pt>
                <c:pt idx="746">
                  <c:v>-12.8132268144895</c:v>
                </c:pt>
                <c:pt idx="747">
                  <c:v>-12.8269138410335</c:v>
                </c:pt>
                <c:pt idx="748">
                  <c:v>-12.8406009060653</c:v>
                </c:pt>
                <c:pt idx="749">
                  <c:v>-12.8542880095845</c:v>
                </c:pt>
                <c:pt idx="750">
                  <c:v>-12.8679751515905</c:v>
                </c:pt>
                <c:pt idx="751">
                  <c:v>-12.8816623320831</c:v>
                </c:pt>
                <c:pt idx="752">
                  <c:v>-12.8953495510619</c:v>
                </c:pt>
                <c:pt idx="753">
                  <c:v>-12.9090368085263</c:v>
                </c:pt>
                <c:pt idx="754">
                  <c:v>-12.922724104476</c:v>
                </c:pt>
                <c:pt idx="755">
                  <c:v>-12.9364114389107</c:v>
                </c:pt>
                <c:pt idx="756">
                  <c:v>-12.9500988118298</c:v>
                </c:pt>
                <c:pt idx="757">
                  <c:v>-12.9637862232329</c:v>
                </c:pt>
                <c:pt idx="758">
                  <c:v>-12.9774736731198</c:v>
                </c:pt>
                <c:pt idx="759">
                  <c:v>-12.9911611614899</c:v>
                </c:pt>
                <c:pt idx="760">
                  <c:v>-13.0048486883428</c:v>
                </c:pt>
                <c:pt idx="761">
                  <c:v>-13.0185362536782</c:v>
                </c:pt>
                <c:pt idx="762">
                  <c:v>-13.0322238574956</c:v>
                </c:pt>
                <c:pt idx="763">
                  <c:v>-13.0459114997946</c:v>
                </c:pt>
                <c:pt idx="764">
                  <c:v>-13.0595991805749</c:v>
                </c:pt>
                <c:pt idx="765">
                  <c:v>-13.0732868998359</c:v>
                </c:pt>
                <c:pt idx="766">
                  <c:v>-13.0869746575773</c:v>
                </c:pt>
                <c:pt idx="767">
                  <c:v>-13.1006624537988</c:v>
                </c:pt>
                <c:pt idx="768">
                  <c:v>-13.1143502884998</c:v>
                </c:pt>
                <c:pt idx="769">
                  <c:v>-13.1280381616799</c:v>
                </c:pt>
                <c:pt idx="770">
                  <c:v>-13.1417260733388</c:v>
                </c:pt>
                <c:pt idx="771">
                  <c:v>-13.1554140234761</c:v>
                </c:pt>
                <c:pt idx="772">
                  <c:v>-13.1691020120913</c:v>
                </c:pt>
                <c:pt idx="773">
                  <c:v>-13.1827900391841</c:v>
                </c:pt>
                <c:pt idx="774">
                  <c:v>-13.1964781047539</c:v>
                </c:pt>
                <c:pt idx="775">
                  <c:v>-13.2101662088005</c:v>
                </c:pt>
                <c:pt idx="776">
                  <c:v>-13.2238543513234</c:v>
                </c:pt>
                <c:pt idx="777">
                  <c:v>-13.2375425323222</c:v>
                </c:pt>
                <c:pt idx="778">
                  <c:v>-13.2512307517964</c:v>
                </c:pt>
                <c:pt idx="779">
                  <c:v>-13.2649190097458</c:v>
                </c:pt>
                <c:pt idx="780">
                  <c:v>-13.2786073061698</c:v>
                </c:pt>
                <c:pt idx="781">
                  <c:v>-13.2922956410681</c:v>
                </c:pt>
                <c:pt idx="782">
                  <c:v>-13.3059840144402</c:v>
                </c:pt>
                <c:pt idx="783">
                  <c:v>-13.3196724262858</c:v>
                </c:pt>
                <c:pt idx="784">
                  <c:v>-13.3333608766044</c:v>
                </c:pt>
                <c:pt idx="785">
                  <c:v>-13.3470493653956</c:v>
                </c:pt>
                <c:pt idx="786">
                  <c:v>-13.3607378926591</c:v>
                </c:pt>
                <c:pt idx="787">
                  <c:v>-13.3744264583943</c:v>
                </c:pt>
                <c:pt idx="788">
                  <c:v>-13.388115062601</c:v>
                </c:pt>
                <c:pt idx="789">
                  <c:v>-13.4018037052786</c:v>
                </c:pt>
                <c:pt idx="790">
                  <c:v>-13.4154923864268</c:v>
                </c:pt>
                <c:pt idx="791">
                  <c:v>-13.4291811060452</c:v>
                </c:pt>
                <c:pt idx="792">
                  <c:v>-13.4428698641334</c:v>
                </c:pt>
                <c:pt idx="793">
                  <c:v>-13.4565586606909</c:v>
                </c:pt>
                <c:pt idx="794">
                  <c:v>-13.4702474957174</c:v>
                </c:pt>
                <c:pt idx="795">
                  <c:v>-13.4839363692124</c:v>
                </c:pt>
                <c:pt idx="796">
                  <c:v>-13.4976252811755</c:v>
                </c:pt>
                <c:pt idx="797">
                  <c:v>-13.5113142316064</c:v>
                </c:pt>
                <c:pt idx="798">
                  <c:v>-13.5250032205046</c:v>
                </c:pt>
                <c:pt idx="799">
                  <c:v>-13.5386922478696</c:v>
                </c:pt>
                <c:pt idx="800">
                  <c:v>-13.5523813137012</c:v>
                </c:pt>
                <c:pt idx="801">
                  <c:v>-13.5660704179989</c:v>
                </c:pt>
                <c:pt idx="802">
                  <c:v>-13.5797595607622</c:v>
                </c:pt>
                <c:pt idx="803">
                  <c:v>-13.5934487419908</c:v>
                </c:pt>
                <c:pt idx="804">
                  <c:v>-13.6071379616842</c:v>
                </c:pt>
                <c:pt idx="805">
                  <c:v>-13.6208272198421</c:v>
                </c:pt>
                <c:pt idx="806">
                  <c:v>-13.6345165164641</c:v>
                </c:pt>
                <c:pt idx="807">
                  <c:v>-13.6482058515496</c:v>
                </c:pt>
                <c:pt idx="808">
                  <c:v>-13.6618952250984</c:v>
                </c:pt>
                <c:pt idx="809">
                  <c:v>-13.6755846371101</c:v>
                </c:pt>
                <c:pt idx="810">
                  <c:v>-13.6892740875841</c:v>
                </c:pt>
                <c:pt idx="811">
                  <c:v>-13.7029635765201</c:v>
                </c:pt>
                <c:pt idx="812">
                  <c:v>-13.7166531039177</c:v>
                </c:pt>
                <c:pt idx="813">
                  <c:v>-13.7303426697765</c:v>
                </c:pt>
                <c:pt idx="814">
                  <c:v>-13.7440322740961</c:v>
                </c:pt>
                <c:pt idx="815">
                  <c:v>-13.757721916876</c:v>
                </c:pt>
                <c:pt idx="816">
                  <c:v>-13.7714115981159</c:v>
                </c:pt>
                <c:pt idx="817">
                  <c:v>-13.7851013178153</c:v>
                </c:pt>
                <c:pt idx="818">
                  <c:v>-13.7987910759738</c:v>
                </c:pt>
                <c:pt idx="819">
                  <c:v>-13.8124808725911</c:v>
                </c:pt>
                <c:pt idx="820">
                  <c:v>-13.8261707076667</c:v>
                </c:pt>
                <c:pt idx="821">
                  <c:v>-13.8398605812002</c:v>
                </c:pt>
                <c:pt idx="822">
                  <c:v>-13.8535504931912</c:v>
                </c:pt>
                <c:pt idx="823">
                  <c:v>-13.8672404436393</c:v>
                </c:pt>
                <c:pt idx="824">
                  <c:v>-13.8809304325441</c:v>
                </c:pt>
                <c:pt idx="825">
                  <c:v>-13.8946204599052</c:v>
                </c:pt>
                <c:pt idx="826">
                  <c:v>-13.9083105257221</c:v>
                </c:pt>
                <c:pt idx="827">
                  <c:v>-13.9220006299945</c:v>
                </c:pt>
                <c:pt idx="828">
                  <c:v>-13.9356907727219</c:v>
                </c:pt>
                <c:pt idx="829">
                  <c:v>-13.949380953904</c:v>
                </c:pt>
                <c:pt idx="830">
                  <c:v>-13.9630711735403</c:v>
                </c:pt>
                <c:pt idx="831">
                  <c:v>-13.9767614316305</c:v>
                </c:pt>
                <c:pt idx="832">
                  <c:v>-13.990451728174</c:v>
                </c:pt>
                <c:pt idx="833">
                  <c:v>-14.0041420631705</c:v>
                </c:pt>
                <c:pt idx="834">
                  <c:v>-14.0178324366197</c:v>
                </c:pt>
                <c:pt idx="835">
                  <c:v>-14.031522848521</c:v>
                </c:pt>
                <c:pt idx="836">
                  <c:v>-14.0452132988741</c:v>
                </c:pt>
                <c:pt idx="837">
                  <c:v>-14.0589037876786</c:v>
                </c:pt>
                <c:pt idx="838">
                  <c:v>-14.0725943149341</c:v>
                </c:pt>
                <c:pt idx="839">
                  <c:v>-14.08628488064</c:v>
                </c:pt>
                <c:pt idx="840">
                  <c:v>-14.0999754847962</c:v>
                </c:pt>
                <c:pt idx="841">
                  <c:v>-14.1136661274021</c:v>
                </c:pt>
                <c:pt idx="842">
                  <c:v>-14.1273568084573</c:v>
                </c:pt>
                <c:pt idx="843">
                  <c:v>-14.1410475279614</c:v>
                </c:pt>
                <c:pt idx="844">
                  <c:v>-14.154738285914</c:v>
                </c:pt>
                <c:pt idx="845">
                  <c:v>-14.1684290823147</c:v>
                </c:pt>
                <c:pt idx="846">
                  <c:v>-14.1821199171631</c:v>
                </c:pt>
                <c:pt idx="847">
                  <c:v>-14.1958107904588</c:v>
                </c:pt>
                <c:pt idx="848">
                  <c:v>-14.2095017022014</c:v>
                </c:pt>
                <c:pt idx="849">
                  <c:v>-14.2231926523905</c:v>
                </c:pt>
                <c:pt idx="850">
                  <c:v>-14.2368836410255</c:v>
                </c:pt>
                <c:pt idx="851">
                  <c:v>-14.2505746681063</c:v>
                </c:pt>
                <c:pt idx="852">
                  <c:v>-14.2642657336323</c:v>
                </c:pt>
                <c:pt idx="853">
                  <c:v>-14.2779568376031</c:v>
                </c:pt>
                <c:pt idx="854">
                  <c:v>-14.2916479800183</c:v>
                </c:pt>
                <c:pt idx="855">
                  <c:v>-14.3053391608776</c:v>
                </c:pt>
                <c:pt idx="856">
                  <c:v>-14.3190303801804</c:v>
                </c:pt>
                <c:pt idx="857">
                  <c:v>-14.3327216379265</c:v>
                </c:pt>
                <c:pt idx="858">
                  <c:v>-14.3464129341153</c:v>
                </c:pt>
                <c:pt idx="859">
                  <c:v>-14.3601042687465</c:v>
                </c:pt>
                <c:pt idx="860">
                  <c:v>-14.3737956418197</c:v>
                </c:pt>
                <c:pt idx="861">
                  <c:v>-14.3874870533344</c:v>
                </c:pt>
                <c:pt idx="862">
                  <c:v>-14.4011785032903</c:v>
                </c:pt>
                <c:pt idx="863">
                  <c:v>-14.414869991687</c:v>
                </c:pt>
                <c:pt idx="864">
                  <c:v>-14.428561518524</c:v>
                </c:pt>
                <c:pt idx="865">
                  <c:v>-14.4422530838009</c:v>
                </c:pt>
                <c:pt idx="866">
                  <c:v>-14.4559446875173</c:v>
                </c:pt>
                <c:pt idx="867">
                  <c:v>-14.4696363296728</c:v>
                </c:pt>
                <c:pt idx="868">
                  <c:v>-14.483328010267</c:v>
                </c:pt>
                <c:pt idx="869">
                  <c:v>-14.4970197292995</c:v>
                </c:pt>
                <c:pt idx="870">
                  <c:v>-14.5107114867699</c:v>
                </c:pt>
                <c:pt idx="871">
                  <c:v>-14.5244032826778</c:v>
                </c:pt>
                <c:pt idx="872">
                  <c:v>-14.5380951170228</c:v>
                </c:pt>
                <c:pt idx="873">
                  <c:v>-14.5517869898044</c:v>
                </c:pt>
                <c:pt idx="874">
                  <c:v>-14.5654789010222</c:v>
                </c:pt>
                <c:pt idx="875">
                  <c:v>-14.5791708506759</c:v>
                </c:pt>
                <c:pt idx="876">
                  <c:v>-14.592862838765</c:v>
                </c:pt>
                <c:pt idx="877">
                  <c:v>-14.6065548652891</c:v>
                </c:pt>
                <c:pt idx="878">
                  <c:v>-14.6202469302479</c:v>
                </c:pt>
                <c:pt idx="879">
                  <c:v>-14.6339390336408</c:v>
                </c:pt>
                <c:pt idx="880">
                  <c:v>-14.6476311754676</c:v>
                </c:pt>
                <c:pt idx="881">
                  <c:v>-14.6613233557277</c:v>
                </c:pt>
                <c:pt idx="882">
                  <c:v>-14.6750155744208</c:v>
                </c:pt>
                <c:pt idx="883">
                  <c:v>-14.6887078315465</c:v>
                </c:pt>
                <c:pt idx="884">
                  <c:v>-14.7024001271043</c:v>
                </c:pt>
                <c:pt idx="885">
                  <c:v>-14.7160924610939</c:v>
                </c:pt>
                <c:pt idx="886">
                  <c:v>-14.7297848335149</c:v>
                </c:pt>
                <c:pt idx="887">
                  <c:v>-14.7434772443668</c:v>
                </c:pt>
                <c:pt idx="888">
                  <c:v>-14.7571696936492</c:v>
                </c:pt>
                <c:pt idx="889">
                  <c:v>-14.7708621813617</c:v>
                </c:pt>
                <c:pt idx="890">
                  <c:v>-14.7845547075039</c:v>
                </c:pt>
                <c:pt idx="891">
                  <c:v>-14.7982472720754</c:v>
                </c:pt>
                <c:pt idx="892">
                  <c:v>-14.8119398750759</c:v>
                </c:pt>
                <c:pt idx="893">
                  <c:v>-14.8256325165048</c:v>
                </c:pt>
                <c:pt idx="894">
                  <c:v>-14.8393251963617</c:v>
                </c:pt>
                <c:pt idx="895">
                  <c:v>-14.8530179146464</c:v>
                </c:pt>
                <c:pt idx="896">
                  <c:v>-14.8667106713583</c:v>
                </c:pt>
                <c:pt idx="897">
                  <c:v>-14.880403466497</c:v>
                </c:pt>
                <c:pt idx="898">
                  <c:v>-14.8940963000622</c:v>
                </c:pt>
                <c:pt idx="899">
                  <c:v>-14.9077891720535</c:v>
                </c:pt>
                <c:pt idx="900">
                  <c:v>-14.9214820824703</c:v>
                </c:pt>
                <c:pt idx="901">
                  <c:v>-14.9351750313124</c:v>
                </c:pt>
                <c:pt idx="902">
                  <c:v>-14.9488680185792</c:v>
                </c:pt>
                <c:pt idx="903">
                  <c:v>-14.9625610442705</c:v>
                </c:pt>
                <c:pt idx="904">
                  <c:v>-14.9762541083857</c:v>
                </c:pt>
                <c:pt idx="905">
                  <c:v>-14.9899472109246</c:v>
                </c:pt>
                <c:pt idx="906">
                  <c:v>-15.0036403518866</c:v>
                </c:pt>
                <c:pt idx="907">
                  <c:v>-15.0173335312713</c:v>
                </c:pt>
                <c:pt idx="908">
                  <c:v>-15.0310267490784</c:v>
                </c:pt>
                <c:pt idx="909">
                  <c:v>-15.0447200053075</c:v>
                </c:pt>
                <c:pt idx="910">
                  <c:v>-15.0584132999581</c:v>
                </c:pt>
                <c:pt idx="911">
                  <c:v>-15.0721066330298</c:v>
                </c:pt>
                <c:pt idx="912">
                  <c:v>-15.0858000045222</c:v>
                </c:pt>
                <c:pt idx="913">
                  <c:v>-15.099493414435</c:v>
                </c:pt>
                <c:pt idx="914">
                  <c:v>-15.1131868627676</c:v>
                </c:pt>
                <c:pt idx="915">
                  <c:v>-15.1268803495198</c:v>
                </c:pt>
                <c:pt idx="916">
                  <c:v>-15.140573874691</c:v>
                </c:pt>
                <c:pt idx="917">
                  <c:v>-15.1542674382809</c:v>
                </c:pt>
                <c:pt idx="918">
                  <c:v>-15.1679610402891</c:v>
                </c:pt>
                <c:pt idx="919">
                  <c:v>-15.1816546807151</c:v>
                </c:pt>
                <c:pt idx="920">
                  <c:v>-15.1953483595586</c:v>
                </c:pt>
                <c:pt idx="921">
                  <c:v>-15.2090420768191</c:v>
                </c:pt>
                <c:pt idx="922">
                  <c:v>-15.2227358324963</c:v>
                </c:pt>
                <c:pt idx="923">
                  <c:v>-15.2364296265897</c:v>
                </c:pt>
                <c:pt idx="924">
                  <c:v>-15.2501234590989</c:v>
                </c:pt>
                <c:pt idx="925">
                  <c:v>-15.2638173300235</c:v>
                </c:pt>
                <c:pt idx="926">
                  <c:v>-15.2775112393631</c:v>
                </c:pt>
                <c:pt idx="927">
                  <c:v>-15.2912051871172</c:v>
                </c:pt>
                <c:pt idx="928">
                  <c:v>-15.3048991732856</c:v>
                </c:pt>
                <c:pt idx="929">
                  <c:v>-15.3185931978678</c:v>
                </c:pt>
                <c:pt idx="930">
                  <c:v>-15.3322872608633</c:v>
                </c:pt>
                <c:pt idx="931">
                  <c:v>-15.3459813622717</c:v>
                </c:pt>
                <c:pt idx="932">
                  <c:v>-15.3596755020927</c:v>
                </c:pt>
                <c:pt idx="933">
                  <c:v>-15.3733696803259</c:v>
                </c:pt>
                <c:pt idx="934">
                  <c:v>-15.3870638969708</c:v>
                </c:pt>
                <c:pt idx="935">
                  <c:v>-15.400758152027</c:v>
                </c:pt>
                <c:pt idx="936">
                  <c:v>-15.4144524454941</c:v>
                </c:pt>
                <c:pt idx="937">
                  <c:v>-15.4281467773717</c:v>
                </c:pt>
                <c:pt idx="938">
                  <c:v>-15.4418411476594</c:v>
                </c:pt>
                <c:pt idx="939">
                  <c:v>-15.4555355563568</c:v>
                </c:pt>
                <c:pt idx="940">
                  <c:v>-15.4692300034634</c:v>
                </c:pt>
                <c:pt idx="941">
                  <c:v>-15.482924488979</c:v>
                </c:pt>
                <c:pt idx="942">
                  <c:v>-15.496619012903</c:v>
                </c:pt>
                <c:pt idx="943">
                  <c:v>-15.510313575235</c:v>
                </c:pt>
                <c:pt idx="944">
                  <c:v>-15.5240081759747</c:v>
                </c:pt>
                <c:pt idx="945">
                  <c:v>-15.5377028151217</c:v>
                </c:pt>
                <c:pt idx="946">
                  <c:v>-15.5513974926754</c:v>
                </c:pt>
                <c:pt idx="947">
                  <c:v>-15.5650922086356</c:v>
                </c:pt>
                <c:pt idx="948">
                  <c:v>-15.5787869630018</c:v>
                </c:pt>
                <c:pt idx="949">
                  <c:v>-15.5924817557736</c:v>
                </c:pt>
                <c:pt idx="950">
                  <c:v>-15.6061765869505</c:v>
                </c:pt>
                <c:pt idx="951">
                  <c:v>-15.6198714565323</c:v>
                </c:pt>
                <c:pt idx="952">
                  <c:v>-15.6335663645184</c:v>
                </c:pt>
                <c:pt idx="953">
                  <c:v>-15.6472613109085</c:v>
                </c:pt>
                <c:pt idx="954">
                  <c:v>-15.6609562957022</c:v>
                </c:pt>
                <c:pt idx="955">
                  <c:v>-15.674651318899</c:v>
                </c:pt>
                <c:pt idx="956">
                  <c:v>-15.6883463804985</c:v>
                </c:pt>
                <c:pt idx="957">
                  <c:v>-15.7020414805004</c:v>
                </c:pt>
                <c:pt idx="958">
                  <c:v>-15.7157366189042</c:v>
                </c:pt>
                <c:pt idx="959">
                  <c:v>-15.7294317957095</c:v>
                </c:pt>
                <c:pt idx="960">
                  <c:v>-15.743127010916</c:v>
                </c:pt>
                <c:pt idx="961">
                  <c:v>-15.7568222645231</c:v>
                </c:pt>
                <c:pt idx="962">
                  <c:v>-15.7705175565305</c:v>
                </c:pt>
                <c:pt idx="963">
                  <c:v>-15.7842128869378</c:v>
                </c:pt>
                <c:pt idx="964">
                  <c:v>-15.7979082557445</c:v>
                </c:pt>
                <c:pt idx="965">
                  <c:v>-15.8116036629504</c:v>
                </c:pt>
                <c:pt idx="966">
                  <c:v>-15.8252991085548</c:v>
                </c:pt>
                <c:pt idx="967">
                  <c:v>-15.8389945925576</c:v>
                </c:pt>
                <c:pt idx="968">
                  <c:v>-15.8526901149581</c:v>
                </c:pt>
                <c:pt idx="969">
                  <c:v>-15.8663856757561</c:v>
                </c:pt>
                <c:pt idx="970">
                  <c:v>-15.8800812749511</c:v>
                </c:pt>
                <c:pt idx="971">
                  <c:v>-15.8937769125428</c:v>
                </c:pt>
                <c:pt idx="972">
                  <c:v>-15.9074725885306</c:v>
                </c:pt>
                <c:pt idx="973">
                  <c:v>-15.9211683029142</c:v>
                </c:pt>
                <c:pt idx="974">
                  <c:v>-15.9348640556932</c:v>
                </c:pt>
                <c:pt idx="975">
                  <c:v>-15.9485598468672</c:v>
                </c:pt>
                <c:pt idx="976">
                  <c:v>-15.9622556764358</c:v>
                </c:pt>
                <c:pt idx="977">
                  <c:v>-15.9759515443985</c:v>
                </c:pt>
                <c:pt idx="978">
                  <c:v>-15.989647450755</c:v>
                </c:pt>
                <c:pt idx="979">
                  <c:v>-16.0033433955048</c:v>
                </c:pt>
                <c:pt idx="980">
                  <c:v>-16.0170393786475</c:v>
                </c:pt>
                <c:pt idx="981">
                  <c:v>-16.0307354001828</c:v>
                </c:pt>
                <c:pt idx="982">
                  <c:v>-16.0444314601102</c:v>
                </c:pt>
                <c:pt idx="983">
                  <c:v>-16.0581275584293</c:v>
                </c:pt>
                <c:pt idx="984">
                  <c:v>-16.0718236951397</c:v>
                </c:pt>
                <c:pt idx="985">
                  <c:v>-16.085519870241</c:v>
                </c:pt>
                <c:pt idx="986">
                  <c:v>-16.0992160837328</c:v>
                </c:pt>
                <c:pt idx="987">
                  <c:v>-16.1129123356146</c:v>
                </c:pt>
                <c:pt idx="988">
                  <c:v>-16.1266086258862</c:v>
                </c:pt>
                <c:pt idx="989">
                  <c:v>-16.1403049545469</c:v>
                </c:pt>
                <c:pt idx="990">
                  <c:v>-16.1540013215966</c:v>
                </c:pt>
                <c:pt idx="991">
                  <c:v>-16.1676977270346</c:v>
                </c:pt>
                <c:pt idx="992">
                  <c:v>-16.1813941708607</c:v>
                </c:pt>
                <c:pt idx="993">
                  <c:v>-16.1950906530745</c:v>
                </c:pt>
                <c:pt idx="994">
                  <c:v>-16.2087871736754</c:v>
                </c:pt>
                <c:pt idx="995">
                  <c:v>-16.2224837326632</c:v>
                </c:pt>
                <c:pt idx="996">
                  <c:v>-16.2361803300373</c:v>
                </c:pt>
                <c:pt idx="997">
                  <c:v>-16.2498769657974</c:v>
                </c:pt>
                <c:pt idx="998">
                  <c:v>-16.2635736399432</c:v>
                </c:pt>
                <c:pt idx="999">
                  <c:v>-16.2772703524741</c:v>
                </c:pt>
                <c:pt idx="1000">
                  <c:v>-16.2909671033897</c:v>
                </c:pt>
              </c:numCache>
            </c:numRef>
          </c:yVal>
          <c:smooth val="1"/>
        </c:ser>
        <c:ser>
          <c:idx val="2"/>
          <c:order val="2"/>
          <c:tx>
            <c:strRef>
              <c:f>Trajecto!$B$107</c:f>
              <c:strCache>
                <c:ptCount val="1"/>
                <c:pt idx="0">
                  <c:v>Descente balistique</c:v>
                </c:pt>
              </c:strCache>
            </c:strRef>
          </c:tx>
          <c:spPr>
            <a:solidFill>
              <a:srgbClr val="808080"/>
            </a:solidFill>
            <a:ln w="12600">
              <a:solidFill>
                <a:srgbClr val="808080"/>
              </a:solidFill>
              <a:prstDash val="sysDash"/>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34.8000000000002</c:v>
                </c:pt>
                <c:pt idx="709">
                  <c:v>34.9000000000002</c:v>
                </c:pt>
                <c:pt idx="710">
                  <c:v>35.0000000000002</c:v>
                </c:pt>
                <c:pt idx="711">
                  <c:v>35.1000000000002</c:v>
                </c:pt>
                <c:pt idx="712">
                  <c:v>35.2000000000002</c:v>
                </c:pt>
                <c:pt idx="713">
                  <c:v>35.3000000000002</c:v>
                </c:pt>
                <c:pt idx="714">
                  <c:v>35.4000000000002</c:v>
                </c:pt>
                <c:pt idx="715">
                  <c:v>35.5000000000002</c:v>
                </c:pt>
                <c:pt idx="716">
                  <c:v>35.6000000000002</c:v>
                </c:pt>
                <c:pt idx="717">
                  <c:v>35.7000000000002</c:v>
                </c:pt>
                <c:pt idx="718">
                  <c:v>35.7001000000002</c:v>
                </c:pt>
                <c:pt idx="719">
                  <c:v>35.7002000000002</c:v>
                </c:pt>
                <c:pt idx="720">
                  <c:v>35.7003000000002</c:v>
                </c:pt>
                <c:pt idx="721">
                  <c:v>35.7004000000002</c:v>
                </c:pt>
                <c:pt idx="722">
                  <c:v>35.7005000000002</c:v>
                </c:pt>
                <c:pt idx="723">
                  <c:v>35.7006000000002</c:v>
                </c:pt>
                <c:pt idx="724">
                  <c:v>35.7007000000002</c:v>
                </c:pt>
                <c:pt idx="725">
                  <c:v>35.7008000000002</c:v>
                </c:pt>
                <c:pt idx="726">
                  <c:v>35.7009000000002</c:v>
                </c:pt>
                <c:pt idx="727">
                  <c:v>35.7010000000002</c:v>
                </c:pt>
                <c:pt idx="728">
                  <c:v>35.7011000000002</c:v>
                </c:pt>
                <c:pt idx="729">
                  <c:v>35.7012000000002</c:v>
                </c:pt>
                <c:pt idx="730">
                  <c:v>35.7013000000002</c:v>
                </c:pt>
                <c:pt idx="731">
                  <c:v>35.7014000000002</c:v>
                </c:pt>
                <c:pt idx="732">
                  <c:v>35.7015000000002</c:v>
                </c:pt>
                <c:pt idx="733">
                  <c:v>35.7016000000003</c:v>
                </c:pt>
                <c:pt idx="734">
                  <c:v>35.7017000000003</c:v>
                </c:pt>
                <c:pt idx="735">
                  <c:v>35.7018000000003</c:v>
                </c:pt>
                <c:pt idx="736">
                  <c:v>35.7019000000003</c:v>
                </c:pt>
                <c:pt idx="737">
                  <c:v>35.7020000000003</c:v>
                </c:pt>
                <c:pt idx="738">
                  <c:v>35.7021000000003</c:v>
                </c:pt>
                <c:pt idx="739">
                  <c:v>35.7022000000003</c:v>
                </c:pt>
                <c:pt idx="740">
                  <c:v>35.7023000000003</c:v>
                </c:pt>
                <c:pt idx="741">
                  <c:v>35.7024000000003</c:v>
                </c:pt>
                <c:pt idx="742">
                  <c:v>35.7025000000003</c:v>
                </c:pt>
                <c:pt idx="743">
                  <c:v>35.7026000000003</c:v>
                </c:pt>
                <c:pt idx="744">
                  <c:v>35.7027000000003</c:v>
                </c:pt>
                <c:pt idx="745">
                  <c:v>35.7028000000003</c:v>
                </c:pt>
                <c:pt idx="746">
                  <c:v>35.7029000000003</c:v>
                </c:pt>
                <c:pt idx="747">
                  <c:v>35.7030000000003</c:v>
                </c:pt>
                <c:pt idx="748">
                  <c:v>35.7031000000003</c:v>
                </c:pt>
                <c:pt idx="749">
                  <c:v>35.7032000000003</c:v>
                </c:pt>
                <c:pt idx="750">
                  <c:v>35.7033000000003</c:v>
                </c:pt>
                <c:pt idx="751">
                  <c:v>35.7034000000003</c:v>
                </c:pt>
                <c:pt idx="752">
                  <c:v>35.7035000000003</c:v>
                </c:pt>
                <c:pt idx="753">
                  <c:v>35.7036000000003</c:v>
                </c:pt>
                <c:pt idx="754">
                  <c:v>35.7037000000003</c:v>
                </c:pt>
                <c:pt idx="755">
                  <c:v>35.7038000000003</c:v>
                </c:pt>
                <c:pt idx="756">
                  <c:v>35.7039000000003</c:v>
                </c:pt>
                <c:pt idx="757">
                  <c:v>35.7040000000003</c:v>
                </c:pt>
                <c:pt idx="758">
                  <c:v>35.7041000000003</c:v>
                </c:pt>
                <c:pt idx="759">
                  <c:v>35.7042000000003</c:v>
                </c:pt>
                <c:pt idx="760">
                  <c:v>35.7043000000003</c:v>
                </c:pt>
                <c:pt idx="761">
                  <c:v>35.7044000000003</c:v>
                </c:pt>
                <c:pt idx="762">
                  <c:v>35.7045000000003</c:v>
                </c:pt>
                <c:pt idx="763">
                  <c:v>35.7046000000004</c:v>
                </c:pt>
                <c:pt idx="764">
                  <c:v>35.7047000000004</c:v>
                </c:pt>
                <c:pt idx="765">
                  <c:v>35.7048000000004</c:v>
                </c:pt>
                <c:pt idx="766">
                  <c:v>35.7049000000004</c:v>
                </c:pt>
                <c:pt idx="767">
                  <c:v>35.7050000000004</c:v>
                </c:pt>
                <c:pt idx="768">
                  <c:v>35.7051000000004</c:v>
                </c:pt>
                <c:pt idx="769">
                  <c:v>35.7052000000004</c:v>
                </c:pt>
                <c:pt idx="770">
                  <c:v>35.7053000000004</c:v>
                </c:pt>
                <c:pt idx="771">
                  <c:v>35.7054000000004</c:v>
                </c:pt>
                <c:pt idx="772">
                  <c:v>35.7055000000004</c:v>
                </c:pt>
                <c:pt idx="773">
                  <c:v>35.7056000000004</c:v>
                </c:pt>
                <c:pt idx="774">
                  <c:v>35.7057000000004</c:v>
                </c:pt>
                <c:pt idx="775">
                  <c:v>35.7058000000004</c:v>
                </c:pt>
                <c:pt idx="776">
                  <c:v>35.7059000000004</c:v>
                </c:pt>
                <c:pt idx="777">
                  <c:v>35.7060000000004</c:v>
                </c:pt>
                <c:pt idx="778">
                  <c:v>35.7061000000004</c:v>
                </c:pt>
                <c:pt idx="779">
                  <c:v>35.7062000000004</c:v>
                </c:pt>
                <c:pt idx="780">
                  <c:v>35.7063000000004</c:v>
                </c:pt>
                <c:pt idx="781">
                  <c:v>35.7064000000004</c:v>
                </c:pt>
                <c:pt idx="782">
                  <c:v>35.7065000000004</c:v>
                </c:pt>
                <c:pt idx="783">
                  <c:v>35.7066000000004</c:v>
                </c:pt>
                <c:pt idx="784">
                  <c:v>35.7067000000004</c:v>
                </c:pt>
                <c:pt idx="785">
                  <c:v>35.7068000000004</c:v>
                </c:pt>
                <c:pt idx="786">
                  <c:v>35.7069000000004</c:v>
                </c:pt>
                <c:pt idx="787">
                  <c:v>35.7070000000004</c:v>
                </c:pt>
                <c:pt idx="788">
                  <c:v>35.7071000000004</c:v>
                </c:pt>
                <c:pt idx="789">
                  <c:v>35.7072000000004</c:v>
                </c:pt>
                <c:pt idx="790">
                  <c:v>35.7073000000004</c:v>
                </c:pt>
                <c:pt idx="791">
                  <c:v>35.7074000000004</c:v>
                </c:pt>
                <c:pt idx="792">
                  <c:v>35.7075000000004</c:v>
                </c:pt>
                <c:pt idx="793">
                  <c:v>35.7076000000005</c:v>
                </c:pt>
                <c:pt idx="794">
                  <c:v>35.7077000000005</c:v>
                </c:pt>
                <c:pt idx="795">
                  <c:v>35.7078000000005</c:v>
                </c:pt>
                <c:pt idx="796">
                  <c:v>35.7079000000005</c:v>
                </c:pt>
                <c:pt idx="797">
                  <c:v>35.7080000000005</c:v>
                </c:pt>
                <c:pt idx="798">
                  <c:v>35.7081000000005</c:v>
                </c:pt>
                <c:pt idx="799">
                  <c:v>35.7082000000005</c:v>
                </c:pt>
                <c:pt idx="800">
                  <c:v>35.7083000000005</c:v>
                </c:pt>
                <c:pt idx="801">
                  <c:v>35.7084000000005</c:v>
                </c:pt>
                <c:pt idx="802">
                  <c:v>35.7085000000005</c:v>
                </c:pt>
                <c:pt idx="803">
                  <c:v>35.7086000000005</c:v>
                </c:pt>
                <c:pt idx="804">
                  <c:v>35.7087000000005</c:v>
                </c:pt>
                <c:pt idx="805">
                  <c:v>35.7088000000005</c:v>
                </c:pt>
                <c:pt idx="806">
                  <c:v>35.7089000000005</c:v>
                </c:pt>
                <c:pt idx="807">
                  <c:v>35.7090000000005</c:v>
                </c:pt>
                <c:pt idx="808">
                  <c:v>35.7091000000005</c:v>
                </c:pt>
                <c:pt idx="809">
                  <c:v>35.7092000000005</c:v>
                </c:pt>
                <c:pt idx="810">
                  <c:v>35.7093000000005</c:v>
                </c:pt>
                <c:pt idx="811">
                  <c:v>35.7094000000005</c:v>
                </c:pt>
                <c:pt idx="812">
                  <c:v>35.7095000000005</c:v>
                </c:pt>
                <c:pt idx="813">
                  <c:v>35.7096000000005</c:v>
                </c:pt>
                <c:pt idx="814">
                  <c:v>35.7097000000005</c:v>
                </c:pt>
                <c:pt idx="815">
                  <c:v>35.7098000000005</c:v>
                </c:pt>
                <c:pt idx="816">
                  <c:v>35.7099000000005</c:v>
                </c:pt>
                <c:pt idx="817">
                  <c:v>35.7100000000005</c:v>
                </c:pt>
                <c:pt idx="818">
                  <c:v>35.7101000000005</c:v>
                </c:pt>
                <c:pt idx="819">
                  <c:v>35.7102000000005</c:v>
                </c:pt>
                <c:pt idx="820">
                  <c:v>35.7103000000005</c:v>
                </c:pt>
                <c:pt idx="821">
                  <c:v>35.7104000000005</c:v>
                </c:pt>
                <c:pt idx="822">
                  <c:v>35.7105000000005</c:v>
                </c:pt>
                <c:pt idx="823">
                  <c:v>35.7106000000006</c:v>
                </c:pt>
                <c:pt idx="824">
                  <c:v>35.7107000000006</c:v>
                </c:pt>
                <c:pt idx="825">
                  <c:v>35.7108000000006</c:v>
                </c:pt>
                <c:pt idx="826">
                  <c:v>35.7109000000006</c:v>
                </c:pt>
                <c:pt idx="827">
                  <c:v>35.7110000000006</c:v>
                </c:pt>
                <c:pt idx="828">
                  <c:v>35.7111000000006</c:v>
                </c:pt>
                <c:pt idx="829">
                  <c:v>35.7112000000006</c:v>
                </c:pt>
                <c:pt idx="830">
                  <c:v>35.7113000000006</c:v>
                </c:pt>
                <c:pt idx="831">
                  <c:v>35.7114000000006</c:v>
                </c:pt>
                <c:pt idx="832">
                  <c:v>35.7115000000006</c:v>
                </c:pt>
                <c:pt idx="833">
                  <c:v>35.7116000000006</c:v>
                </c:pt>
                <c:pt idx="834">
                  <c:v>35.7117000000006</c:v>
                </c:pt>
                <c:pt idx="835">
                  <c:v>35.7118000000006</c:v>
                </c:pt>
                <c:pt idx="836">
                  <c:v>35.7119000000006</c:v>
                </c:pt>
                <c:pt idx="837">
                  <c:v>35.7120000000006</c:v>
                </c:pt>
                <c:pt idx="838">
                  <c:v>35.7121000000006</c:v>
                </c:pt>
                <c:pt idx="839">
                  <c:v>35.7122000000006</c:v>
                </c:pt>
                <c:pt idx="840">
                  <c:v>35.7123000000006</c:v>
                </c:pt>
                <c:pt idx="841">
                  <c:v>35.7124000000006</c:v>
                </c:pt>
                <c:pt idx="842">
                  <c:v>35.7125000000006</c:v>
                </c:pt>
                <c:pt idx="843">
                  <c:v>35.7126000000006</c:v>
                </c:pt>
                <c:pt idx="844">
                  <c:v>35.7127000000006</c:v>
                </c:pt>
                <c:pt idx="845">
                  <c:v>35.7128000000006</c:v>
                </c:pt>
                <c:pt idx="846">
                  <c:v>35.7129000000006</c:v>
                </c:pt>
                <c:pt idx="847">
                  <c:v>35.7130000000006</c:v>
                </c:pt>
                <c:pt idx="848">
                  <c:v>35.7131000000006</c:v>
                </c:pt>
                <c:pt idx="849">
                  <c:v>35.7132000000006</c:v>
                </c:pt>
                <c:pt idx="850">
                  <c:v>35.7133000000006</c:v>
                </c:pt>
                <c:pt idx="851">
                  <c:v>35.7134000000006</c:v>
                </c:pt>
                <c:pt idx="852">
                  <c:v>35.7135000000006</c:v>
                </c:pt>
                <c:pt idx="853">
                  <c:v>35.7136000000006</c:v>
                </c:pt>
                <c:pt idx="854">
                  <c:v>35.7137000000007</c:v>
                </c:pt>
                <c:pt idx="855">
                  <c:v>35.7138000000007</c:v>
                </c:pt>
                <c:pt idx="856">
                  <c:v>35.7139000000007</c:v>
                </c:pt>
                <c:pt idx="857">
                  <c:v>35.7140000000007</c:v>
                </c:pt>
                <c:pt idx="858">
                  <c:v>35.7141000000007</c:v>
                </c:pt>
                <c:pt idx="859">
                  <c:v>35.7142000000007</c:v>
                </c:pt>
                <c:pt idx="860">
                  <c:v>35.7143000000007</c:v>
                </c:pt>
                <c:pt idx="861">
                  <c:v>35.7144000000007</c:v>
                </c:pt>
                <c:pt idx="862">
                  <c:v>35.7145000000007</c:v>
                </c:pt>
                <c:pt idx="863">
                  <c:v>35.7146000000007</c:v>
                </c:pt>
                <c:pt idx="864">
                  <c:v>35.7147000000007</c:v>
                </c:pt>
                <c:pt idx="865">
                  <c:v>35.7148000000007</c:v>
                </c:pt>
                <c:pt idx="866">
                  <c:v>35.7149000000007</c:v>
                </c:pt>
                <c:pt idx="867">
                  <c:v>35.7150000000007</c:v>
                </c:pt>
                <c:pt idx="868">
                  <c:v>35.7151000000007</c:v>
                </c:pt>
                <c:pt idx="869">
                  <c:v>35.7152000000007</c:v>
                </c:pt>
                <c:pt idx="870">
                  <c:v>35.7153000000007</c:v>
                </c:pt>
                <c:pt idx="871">
                  <c:v>35.7154000000007</c:v>
                </c:pt>
                <c:pt idx="872">
                  <c:v>35.7155000000007</c:v>
                </c:pt>
                <c:pt idx="873">
                  <c:v>35.7156000000007</c:v>
                </c:pt>
                <c:pt idx="874">
                  <c:v>35.7157000000007</c:v>
                </c:pt>
                <c:pt idx="875">
                  <c:v>35.7158000000007</c:v>
                </c:pt>
                <c:pt idx="876">
                  <c:v>35.7159000000007</c:v>
                </c:pt>
                <c:pt idx="877">
                  <c:v>35.7160000000007</c:v>
                </c:pt>
                <c:pt idx="878">
                  <c:v>35.7161000000007</c:v>
                </c:pt>
                <c:pt idx="879">
                  <c:v>35.7162000000007</c:v>
                </c:pt>
                <c:pt idx="880">
                  <c:v>35.7163000000007</c:v>
                </c:pt>
                <c:pt idx="881">
                  <c:v>35.7164000000007</c:v>
                </c:pt>
                <c:pt idx="882">
                  <c:v>35.7165000000007</c:v>
                </c:pt>
                <c:pt idx="883">
                  <c:v>35.7166000000007</c:v>
                </c:pt>
                <c:pt idx="884">
                  <c:v>35.7167000000008</c:v>
                </c:pt>
                <c:pt idx="885">
                  <c:v>35.7168000000008</c:v>
                </c:pt>
                <c:pt idx="886">
                  <c:v>35.7169000000008</c:v>
                </c:pt>
                <c:pt idx="887">
                  <c:v>35.7170000000008</c:v>
                </c:pt>
                <c:pt idx="888">
                  <c:v>35.7171000000008</c:v>
                </c:pt>
                <c:pt idx="889">
                  <c:v>35.7172000000008</c:v>
                </c:pt>
                <c:pt idx="890">
                  <c:v>35.7173000000008</c:v>
                </c:pt>
                <c:pt idx="891">
                  <c:v>35.7174000000008</c:v>
                </c:pt>
                <c:pt idx="892">
                  <c:v>35.7175000000008</c:v>
                </c:pt>
                <c:pt idx="893">
                  <c:v>35.7176000000008</c:v>
                </c:pt>
                <c:pt idx="894">
                  <c:v>35.7177000000008</c:v>
                </c:pt>
                <c:pt idx="895">
                  <c:v>35.7178000000008</c:v>
                </c:pt>
                <c:pt idx="896">
                  <c:v>35.7179000000008</c:v>
                </c:pt>
                <c:pt idx="897">
                  <c:v>35.7180000000008</c:v>
                </c:pt>
                <c:pt idx="898">
                  <c:v>35.7181000000008</c:v>
                </c:pt>
                <c:pt idx="899">
                  <c:v>35.7182000000008</c:v>
                </c:pt>
                <c:pt idx="900">
                  <c:v>35.7183000000008</c:v>
                </c:pt>
                <c:pt idx="901">
                  <c:v>35.7184000000008</c:v>
                </c:pt>
                <c:pt idx="902">
                  <c:v>35.7185000000008</c:v>
                </c:pt>
                <c:pt idx="903">
                  <c:v>35.7186000000008</c:v>
                </c:pt>
                <c:pt idx="904">
                  <c:v>35.7187000000008</c:v>
                </c:pt>
                <c:pt idx="905">
                  <c:v>35.7188000000008</c:v>
                </c:pt>
                <c:pt idx="906">
                  <c:v>35.7189000000008</c:v>
                </c:pt>
                <c:pt idx="907">
                  <c:v>35.7190000000008</c:v>
                </c:pt>
                <c:pt idx="908">
                  <c:v>35.7191000000008</c:v>
                </c:pt>
                <c:pt idx="909">
                  <c:v>35.7192000000008</c:v>
                </c:pt>
                <c:pt idx="910">
                  <c:v>35.7193000000008</c:v>
                </c:pt>
                <c:pt idx="911">
                  <c:v>35.7194000000008</c:v>
                </c:pt>
                <c:pt idx="912">
                  <c:v>35.7195000000008</c:v>
                </c:pt>
                <c:pt idx="913">
                  <c:v>35.7196000000008</c:v>
                </c:pt>
                <c:pt idx="914">
                  <c:v>35.7197000000009</c:v>
                </c:pt>
                <c:pt idx="915">
                  <c:v>35.7198000000009</c:v>
                </c:pt>
                <c:pt idx="916">
                  <c:v>35.7199000000009</c:v>
                </c:pt>
                <c:pt idx="917">
                  <c:v>35.7200000000009</c:v>
                </c:pt>
                <c:pt idx="918">
                  <c:v>35.7201000000009</c:v>
                </c:pt>
                <c:pt idx="919">
                  <c:v>35.7202000000009</c:v>
                </c:pt>
                <c:pt idx="920">
                  <c:v>35.7203000000009</c:v>
                </c:pt>
                <c:pt idx="921">
                  <c:v>35.7204000000009</c:v>
                </c:pt>
                <c:pt idx="922">
                  <c:v>35.7205000000009</c:v>
                </c:pt>
                <c:pt idx="923">
                  <c:v>35.7206000000009</c:v>
                </c:pt>
                <c:pt idx="924">
                  <c:v>35.7207000000009</c:v>
                </c:pt>
                <c:pt idx="925">
                  <c:v>35.7208000000009</c:v>
                </c:pt>
                <c:pt idx="926">
                  <c:v>35.7209000000009</c:v>
                </c:pt>
                <c:pt idx="927">
                  <c:v>35.7210000000009</c:v>
                </c:pt>
                <c:pt idx="928">
                  <c:v>35.7211000000009</c:v>
                </c:pt>
                <c:pt idx="929">
                  <c:v>35.7212000000009</c:v>
                </c:pt>
                <c:pt idx="930">
                  <c:v>35.7213000000009</c:v>
                </c:pt>
                <c:pt idx="931">
                  <c:v>35.7214000000009</c:v>
                </c:pt>
                <c:pt idx="932">
                  <c:v>35.7215000000009</c:v>
                </c:pt>
                <c:pt idx="933">
                  <c:v>35.7216000000009</c:v>
                </c:pt>
                <c:pt idx="934">
                  <c:v>35.7217000000009</c:v>
                </c:pt>
                <c:pt idx="935">
                  <c:v>35.7218000000009</c:v>
                </c:pt>
                <c:pt idx="936">
                  <c:v>35.7219000000009</c:v>
                </c:pt>
                <c:pt idx="937">
                  <c:v>35.7220000000009</c:v>
                </c:pt>
                <c:pt idx="938">
                  <c:v>35.7221000000009</c:v>
                </c:pt>
                <c:pt idx="939">
                  <c:v>35.7222000000009</c:v>
                </c:pt>
                <c:pt idx="940">
                  <c:v>35.7223000000009</c:v>
                </c:pt>
                <c:pt idx="941">
                  <c:v>35.7224000000009</c:v>
                </c:pt>
                <c:pt idx="942">
                  <c:v>35.7225000000009</c:v>
                </c:pt>
                <c:pt idx="943">
                  <c:v>35.7226000000009</c:v>
                </c:pt>
                <c:pt idx="944">
                  <c:v>35.722700000001</c:v>
                </c:pt>
                <c:pt idx="945">
                  <c:v>35.722800000001</c:v>
                </c:pt>
                <c:pt idx="946">
                  <c:v>35.722900000001</c:v>
                </c:pt>
                <c:pt idx="947">
                  <c:v>35.723000000001</c:v>
                </c:pt>
                <c:pt idx="948">
                  <c:v>35.723100000001</c:v>
                </c:pt>
                <c:pt idx="949">
                  <c:v>35.723200000001</c:v>
                </c:pt>
                <c:pt idx="950">
                  <c:v>35.723300000001</c:v>
                </c:pt>
                <c:pt idx="951">
                  <c:v>35.723400000001</c:v>
                </c:pt>
                <c:pt idx="952">
                  <c:v>35.723500000001</c:v>
                </c:pt>
                <c:pt idx="953">
                  <c:v>35.723600000001</c:v>
                </c:pt>
                <c:pt idx="954">
                  <c:v>35.723700000001</c:v>
                </c:pt>
                <c:pt idx="955">
                  <c:v>35.723800000001</c:v>
                </c:pt>
                <c:pt idx="956">
                  <c:v>35.723900000001</c:v>
                </c:pt>
                <c:pt idx="957">
                  <c:v>35.724000000001</c:v>
                </c:pt>
                <c:pt idx="958">
                  <c:v>35.724100000001</c:v>
                </c:pt>
                <c:pt idx="959">
                  <c:v>35.724200000001</c:v>
                </c:pt>
                <c:pt idx="960">
                  <c:v>35.724300000001</c:v>
                </c:pt>
                <c:pt idx="961">
                  <c:v>35.724400000001</c:v>
                </c:pt>
                <c:pt idx="962">
                  <c:v>35.724500000001</c:v>
                </c:pt>
                <c:pt idx="963">
                  <c:v>35.724600000001</c:v>
                </c:pt>
                <c:pt idx="964">
                  <c:v>35.724700000001</c:v>
                </c:pt>
                <c:pt idx="965">
                  <c:v>35.724800000001</c:v>
                </c:pt>
                <c:pt idx="966">
                  <c:v>35.724900000001</c:v>
                </c:pt>
                <c:pt idx="967">
                  <c:v>35.725000000001</c:v>
                </c:pt>
                <c:pt idx="968">
                  <c:v>35.725100000001</c:v>
                </c:pt>
                <c:pt idx="969">
                  <c:v>35.725200000001</c:v>
                </c:pt>
                <c:pt idx="970">
                  <c:v>35.725300000001</c:v>
                </c:pt>
                <c:pt idx="971">
                  <c:v>35.725400000001</c:v>
                </c:pt>
                <c:pt idx="972">
                  <c:v>35.725500000001</c:v>
                </c:pt>
                <c:pt idx="973">
                  <c:v>35.725600000001</c:v>
                </c:pt>
                <c:pt idx="974">
                  <c:v>35.7257000000011</c:v>
                </c:pt>
                <c:pt idx="975">
                  <c:v>35.7258000000011</c:v>
                </c:pt>
                <c:pt idx="976">
                  <c:v>35.7259000000011</c:v>
                </c:pt>
                <c:pt idx="977">
                  <c:v>35.7260000000011</c:v>
                </c:pt>
                <c:pt idx="978">
                  <c:v>35.7261000000011</c:v>
                </c:pt>
                <c:pt idx="979">
                  <c:v>35.7262000000011</c:v>
                </c:pt>
                <c:pt idx="980">
                  <c:v>35.7263000000011</c:v>
                </c:pt>
                <c:pt idx="981">
                  <c:v>35.7264000000011</c:v>
                </c:pt>
                <c:pt idx="982">
                  <c:v>35.7265000000011</c:v>
                </c:pt>
                <c:pt idx="983">
                  <c:v>35.7266000000011</c:v>
                </c:pt>
                <c:pt idx="984">
                  <c:v>35.7267000000011</c:v>
                </c:pt>
                <c:pt idx="985">
                  <c:v>35.7268000000011</c:v>
                </c:pt>
                <c:pt idx="986">
                  <c:v>35.7269000000011</c:v>
                </c:pt>
                <c:pt idx="987">
                  <c:v>35.7270000000011</c:v>
                </c:pt>
                <c:pt idx="988">
                  <c:v>35.7271000000011</c:v>
                </c:pt>
                <c:pt idx="989">
                  <c:v>35.7272000000011</c:v>
                </c:pt>
                <c:pt idx="990">
                  <c:v>35.7273000000011</c:v>
                </c:pt>
                <c:pt idx="991">
                  <c:v>35.7274000000011</c:v>
                </c:pt>
                <c:pt idx="992">
                  <c:v>35.7275000000011</c:v>
                </c:pt>
                <c:pt idx="993">
                  <c:v>35.7276000000011</c:v>
                </c:pt>
                <c:pt idx="994">
                  <c:v>35.7277000000011</c:v>
                </c:pt>
                <c:pt idx="995">
                  <c:v>35.7278000000011</c:v>
                </c:pt>
                <c:pt idx="996">
                  <c:v>35.7279000000011</c:v>
                </c:pt>
                <c:pt idx="997">
                  <c:v>35.7280000000011</c:v>
                </c:pt>
                <c:pt idx="998">
                  <c:v>35.7281000000011</c:v>
                </c:pt>
                <c:pt idx="999">
                  <c:v>35.7282000000011</c:v>
                </c:pt>
                <c:pt idx="1000">
                  <c:v>35.7283000000011</c:v>
                </c:pt>
              </c:numCache>
            </c:numRef>
          </c:xVal>
          <c:yVal>
            <c:numRef>
              <c:f>Calculs!$K$4:$K$1004</c:f>
              <c:numCache>
                <c:formatCode>General</c:formatCode>
                <c:ptCount val="1001"/>
                <c:pt idx="0">
                  <c:v>0</c:v>
                </c:pt>
                <c:pt idx="1">
                  <c:v>0</c:v>
                </c:pt>
                <c:pt idx="2">
                  <c:v>0.000886599299514683</c:v>
                </c:pt>
                <c:pt idx="3">
                  <c:v>0.00445512822990102</c:v>
                </c:pt>
                <c:pt idx="4">
                  <c:v>0.0125237609457696</c:v>
                </c:pt>
                <c:pt idx="5">
                  <c:v>0.0269123436636311</c:v>
                </c:pt>
                <c:pt idx="6">
                  <c:v>0.0489825233463651</c:v>
                </c:pt>
                <c:pt idx="7">
                  <c:v>0.0791768355144557</c:v>
                </c:pt>
                <c:pt idx="8">
                  <c:v>0.117477831691603</c:v>
                </c:pt>
                <c:pt idx="9">
                  <c:v>0.163867999950866</c:v>
                </c:pt>
                <c:pt idx="10">
                  <c:v>0.218329765130187</c:v>
                </c:pt>
                <c:pt idx="11">
                  <c:v>0.28084548904954</c:v>
                </c:pt>
                <c:pt idx="12">
                  <c:v>0.351397470729712</c:v>
                </c:pt>
                <c:pt idx="13">
                  <c:v>0.429967946612676</c:v>
                </c:pt>
                <c:pt idx="14">
                  <c:v>0.516539090783578</c:v>
                </c:pt>
                <c:pt idx="15">
                  <c:v>0.61109301519429</c:v>
                </c:pt>
                <c:pt idx="16">
                  <c:v>0.713611769888542</c:v>
                </c:pt>
                <c:pt idx="17">
                  <c:v>0.824077343228604</c:v>
                </c:pt>
                <c:pt idx="18">
                  <c:v>0.942471662123513</c:v>
                </c:pt>
                <c:pt idx="19">
                  <c:v>1.06877659225883</c:v>
                </c:pt>
                <c:pt idx="20">
                  <c:v>1.20297393832791</c:v>
                </c:pt>
                <c:pt idx="21">
                  <c:v>1.34504544426469</c:v>
                </c:pt>
                <c:pt idx="22">
                  <c:v>1.4949727934779</c:v>
                </c:pt>
                <c:pt idx="23">
                  <c:v>1.65273760908688</c:v>
                </c:pt>
                <c:pt idx="24">
                  <c:v>1.81832145415871</c:v>
                </c:pt>
                <c:pt idx="25">
                  <c:v>1.99170583194687</c:v>
                </c:pt>
                <c:pt idx="26">
                  <c:v>2.17287218613136</c:v>
                </c:pt>
                <c:pt idx="27">
                  <c:v>2.36180190106013</c:v>
                </c:pt>
                <c:pt idx="28">
                  <c:v>2.55847630199202</c:v>
                </c:pt>
                <c:pt idx="29">
                  <c:v>2.76287665534105</c:v>
                </c:pt>
                <c:pt idx="30">
                  <c:v>2.97498416892209</c:v>
                </c:pt>
                <c:pt idx="31">
                  <c:v>3.19477999219785</c:v>
                </c:pt>
                <c:pt idx="32">
                  <c:v>3.42224521652733</c:v>
                </c:pt>
                <c:pt idx="33">
                  <c:v>3.65736087541546</c:v>
                </c:pt>
                <c:pt idx="34">
                  <c:v>3.90010794476418</c:v>
                </c:pt>
                <c:pt idx="35">
                  <c:v>4.15046734312471</c:v>
                </c:pt>
                <c:pt idx="36">
                  <c:v>4.40840513511947</c:v>
                </c:pt>
                <c:pt idx="37">
                  <c:v>4.67388685351736</c:v>
                </c:pt>
                <c:pt idx="38">
                  <c:v>4.94689230160397</c:v>
                </c:pt>
                <c:pt idx="39">
                  <c:v>5.22740124334607</c:v>
                </c:pt>
                <c:pt idx="40">
                  <c:v>5.51539340956389</c:v>
                </c:pt>
                <c:pt idx="41">
                  <c:v>5.8108484971669</c:v>
                </c:pt>
                <c:pt idx="42">
                  <c:v>6.11374616846535</c:v>
                </c:pt>
                <c:pt idx="43">
                  <c:v>6.42406605055037</c:v>
                </c:pt>
                <c:pt idx="44">
                  <c:v>6.7417877347362</c:v>
                </c:pt>
                <c:pt idx="45">
                  <c:v>7.06689077605901</c:v>
                </c:pt>
                <c:pt idx="46">
                  <c:v>7.39935469282721</c:v>
                </c:pt>
                <c:pt idx="47">
                  <c:v>7.73915896621884</c:v>
                </c:pt>
                <c:pt idx="48">
                  <c:v>8.08628303992209</c:v>
                </c:pt>
                <c:pt idx="49">
                  <c:v>8.44070631981545</c:v>
                </c:pt>
                <c:pt idx="50">
                  <c:v>8.80240817368416</c:v>
                </c:pt>
                <c:pt idx="51">
                  <c:v>9.17137034682917</c:v>
                </c:pt>
                <c:pt idx="52">
                  <c:v>9.54757938061544</c:v>
                </c:pt>
                <c:pt idx="53">
                  <c:v>9.93102420059173</c:v>
                </c:pt>
                <c:pt idx="54">
                  <c:v>10.321693701672</c:v>
                </c:pt>
                <c:pt idx="55">
                  <c:v>10.7195767478822</c:v>
                </c:pt>
                <c:pt idx="56">
                  <c:v>11.1246621721265</c:v>
                </c:pt>
                <c:pt idx="57">
                  <c:v>11.5369387759725</c:v>
                </c:pt>
                <c:pt idx="58">
                  <c:v>11.9563953294543</c:v>
                </c:pt>
                <c:pt idx="59">
                  <c:v>12.3830205708915</c:v>
                </c:pt>
                <c:pt idx="60">
                  <c:v>12.816803206723</c:v>
                </c:pt>
                <c:pt idx="61">
                  <c:v>13.2577319113566</c:v>
                </c:pt>
                <c:pt idx="62">
                  <c:v>13.7057953270311</c:v>
                </c:pt>
                <c:pt idx="63">
                  <c:v>14.1609820636909</c:v>
                </c:pt>
                <c:pt idx="64">
                  <c:v>14.623280698874</c:v>
                </c:pt>
                <c:pt idx="65">
                  <c:v>15.0926797776097</c:v>
                </c:pt>
                <c:pt idx="66">
                  <c:v>15.569167812328</c:v>
                </c:pt>
                <c:pt idx="67">
                  <c:v>16.0527332827793</c:v>
                </c:pt>
                <c:pt idx="68">
                  <c:v>16.5433646359626</c:v>
                </c:pt>
                <c:pt idx="69">
                  <c:v>17.0410502860639</c:v>
                </c:pt>
                <c:pt idx="70">
                  <c:v>17.545778614403</c:v>
                </c:pt>
                <c:pt idx="71">
                  <c:v>18.0575379693877</c:v>
                </c:pt>
                <c:pt idx="72">
                  <c:v>18.576316666477</c:v>
                </c:pt>
                <c:pt idx="73">
                  <c:v>19.1021029881506</c:v>
                </c:pt>
                <c:pt idx="74">
                  <c:v>19.6348851838865</c:v>
                </c:pt>
                <c:pt idx="75">
                  <c:v>20.1746514701443</c:v>
                </c:pt>
                <c:pt idx="76">
                  <c:v>20.7213900303556</c:v>
                </c:pt>
                <c:pt idx="77">
                  <c:v>21.2750890149206</c:v>
                </c:pt>
                <c:pt idx="78">
                  <c:v>21.8357365412097</c:v>
                </c:pt>
                <c:pt idx="79">
                  <c:v>22.4033206935719</c:v>
                </c:pt>
                <c:pt idx="80">
                  <c:v>22.9778295233478</c:v>
                </c:pt>
                <c:pt idx="81">
                  <c:v>23.5592510488876</c:v>
                </c:pt>
                <c:pt idx="82">
                  <c:v>24.1475732555747</c:v>
                </c:pt>
                <c:pt idx="83">
                  <c:v>24.7427840958536</c:v>
                </c:pt>
                <c:pt idx="84">
                  <c:v>25.3448714892622</c:v>
                </c:pt>
                <c:pt idx="85">
                  <c:v>25.9538233224689</c:v>
                </c:pt>
                <c:pt idx="86">
                  <c:v>26.5696274493133</c:v>
                </c:pt>
                <c:pt idx="87">
                  <c:v>27.1922716908518</c:v>
                </c:pt>
                <c:pt idx="88">
                  <c:v>27.821743835406</c:v>
                </c:pt>
                <c:pt idx="89">
                  <c:v>28.4580316386156</c:v>
                </c:pt>
                <c:pt idx="90">
                  <c:v>29.1011228234948</c:v>
                </c:pt>
                <c:pt idx="91">
                  <c:v>29.7510050804919</c:v>
                </c:pt>
                <c:pt idx="92">
                  <c:v>30.4076660675523</c:v>
                </c:pt>
                <c:pt idx="93">
                  <c:v>31.0710934101852</c:v>
                </c:pt>
                <c:pt idx="94">
                  <c:v>31.7412747015326</c:v>
                </c:pt>
                <c:pt idx="95">
                  <c:v>32.418197502442</c:v>
                </c:pt>
                <c:pt idx="96">
                  <c:v>33.1018493415417</c:v>
                </c:pt>
                <c:pt idx="97">
                  <c:v>33.7922177153192</c:v>
                </c:pt>
                <c:pt idx="98">
                  <c:v>34.4892900882017</c:v>
                </c:pt>
                <c:pt idx="99">
                  <c:v>35.19305389264</c:v>
                </c:pt>
                <c:pt idx="100">
                  <c:v>35.9034965291947</c:v>
                </c:pt>
                <c:pt idx="101">
                  <c:v>36.6206042580729</c:v>
                </c:pt>
                <c:pt idx="102">
                  <c:v>37.3443610895686</c:v>
                </c:pt>
                <c:pt idx="103">
                  <c:v>38.0747498912897</c:v>
                </c:pt>
                <c:pt idx="104">
                  <c:v>38.8117534965204</c:v>
                </c:pt>
                <c:pt idx="105">
                  <c:v>39.5553547043826</c:v>
                </c:pt>
                <c:pt idx="106">
                  <c:v>40.3055362799993</c:v>
                </c:pt>
                <c:pt idx="107">
                  <c:v>41.0622809546605</c:v>
                </c:pt>
                <c:pt idx="108">
                  <c:v>41.825571425991</c:v>
                </c:pt>
                <c:pt idx="109">
                  <c:v>42.5953903581207</c:v>
                </c:pt>
                <c:pt idx="110">
                  <c:v>43.3717203818559</c:v>
                </c:pt>
                <c:pt idx="111">
                  <c:v>44.1545440948537</c:v>
                </c:pt>
                <c:pt idx="112">
                  <c:v>44.9438440617979</c:v>
                </c:pt>
                <c:pt idx="113">
                  <c:v>45.7396028145756</c:v>
                </c:pt>
                <c:pt idx="114">
                  <c:v>46.5418028524577</c:v>
                </c:pt>
                <c:pt idx="115">
                  <c:v>47.3504266422788</c:v>
                </c:pt>
                <c:pt idx="116">
                  <c:v>48.1654566186204</c:v>
                </c:pt>
                <c:pt idx="117">
                  <c:v>48.9868751839951</c:v>
                </c:pt>
                <c:pt idx="118">
                  <c:v>49.8146647090317</c:v>
                </c:pt>
                <c:pt idx="119">
                  <c:v>50.6488075326633</c:v>
                </c:pt>
                <c:pt idx="120">
                  <c:v>51.4892859623152</c:v>
                </c:pt>
                <c:pt idx="121">
                  <c:v>52.3360822740953</c:v>
                </c:pt>
                <c:pt idx="122">
                  <c:v>53.1891787129853</c:v>
                </c:pt>
                <c:pt idx="123">
                  <c:v>54.0485574930335</c:v>
                </c:pt>
                <c:pt idx="124">
                  <c:v>54.9142007975487</c:v>
                </c:pt>
                <c:pt idx="125">
                  <c:v>55.7860907792954</c:v>
                </c:pt>
                <c:pt idx="126">
                  <c:v>56.6642095606902</c:v>
                </c:pt>
                <c:pt idx="127">
                  <c:v>57.5485392339992</c:v>
                </c:pt>
                <c:pt idx="128">
                  <c:v>58.4390618615367</c:v>
                </c:pt>
                <c:pt idx="129">
                  <c:v>59.3357594758647</c:v>
                </c:pt>
                <c:pt idx="130">
                  <c:v>60.2386140799942</c:v>
                </c:pt>
                <c:pt idx="131">
                  <c:v>61.1476076475863</c:v>
                </c:pt>
                <c:pt idx="132">
                  <c:v>62.0627221231552</c:v>
                </c:pt>
                <c:pt idx="133">
                  <c:v>62.9839394222718</c:v>
                </c:pt>
                <c:pt idx="134">
                  <c:v>63.9112414317686</c:v>
                </c:pt>
                <c:pt idx="135">
                  <c:v>64.8446100099444</c:v>
                </c:pt>
                <c:pt idx="136">
                  <c:v>65.7840269867716</c:v>
                </c:pt>
                <c:pt idx="137">
                  <c:v>66.7294741641023</c:v>
                </c:pt>
                <c:pt idx="138">
                  <c:v>67.6809333158771</c:v>
                </c:pt>
                <c:pt idx="139">
                  <c:v>68.6383861883332</c:v>
                </c:pt>
                <c:pt idx="140">
                  <c:v>69.601814500214</c:v>
                </c:pt>
                <c:pt idx="141">
                  <c:v>70.5711999429793</c:v>
                </c:pt>
                <c:pt idx="142">
                  <c:v>71.5465241810161</c:v>
                </c:pt>
                <c:pt idx="143">
                  <c:v>72.5277688518498</c:v>
                </c:pt>
                <c:pt idx="144">
                  <c:v>73.5149155663568</c:v>
                </c:pt>
                <c:pt idx="145">
                  <c:v>74.5079459089767</c:v>
                </c:pt>
                <c:pt idx="146">
                  <c:v>75.506841437926</c:v>
                </c:pt>
                <c:pt idx="147">
                  <c:v>76.5115836854117</c:v>
                </c:pt>
                <c:pt idx="148">
                  <c:v>77.5221541578458</c:v>
                </c:pt>
                <c:pt idx="149">
                  <c:v>78.5385343360602</c:v>
                </c:pt>
                <c:pt idx="150">
                  <c:v>79.5607056755223</c:v>
                </c:pt>
                <c:pt idx="151">
                  <c:v>80.5886499822593</c:v>
                </c:pt>
                <c:pt idx="152">
                  <c:v>81.6223497890387</c:v>
                </c:pt>
                <c:pt idx="153">
                  <c:v>82.6617879801364</c:v>
                </c:pt>
                <c:pt idx="154">
                  <c:v>83.7069474158421</c:v>
                </c:pt>
                <c:pt idx="155">
                  <c:v>84.7578109326538</c:v>
                </c:pt>
                <c:pt idx="156">
                  <c:v>85.8143613434748</c:v>
                </c:pt>
                <c:pt idx="157">
                  <c:v>86.876581437809</c:v>
                </c:pt>
                <c:pt idx="158">
                  <c:v>87.9444539819586</c:v>
                </c:pt>
                <c:pt idx="159">
                  <c:v>89.0179617192205</c:v>
                </c:pt>
                <c:pt idx="160">
                  <c:v>90.0970873700843</c:v>
                </c:pt>
                <c:pt idx="161">
                  <c:v>91.1818136324295</c:v>
                </c:pt>
                <c:pt idx="162">
                  <c:v>92.2721231817242</c:v>
                </c:pt>
                <c:pt idx="163">
                  <c:v>93.3679986712229</c:v>
                </c:pt>
                <c:pt idx="164">
                  <c:v>94.4694227321655</c:v>
                </c:pt>
                <c:pt idx="165">
                  <c:v>95.5763779739763</c:v>
                </c:pt>
                <c:pt idx="166">
                  <c:v>96.6888469844628</c:v>
                </c:pt>
                <c:pt idx="167">
                  <c:v>97.8068123300154</c:v>
                </c:pt>
                <c:pt idx="168">
                  <c:v>98.9302565558071</c:v>
                </c:pt>
                <c:pt idx="169">
                  <c:v>100.059162185993</c:v>
                </c:pt>
                <c:pt idx="170">
                  <c:v>101.19351172391</c:v>
                </c:pt>
                <c:pt idx="171">
                  <c:v>102.333287652279</c:v>
                </c:pt>
                <c:pt idx="172">
                  <c:v>103.478472433402</c:v>
                </c:pt>
                <c:pt idx="173">
                  <c:v>104.629048509364</c:v>
                </c:pt>
                <c:pt idx="174">
                  <c:v>105.784998302236</c:v>
                </c:pt>
                <c:pt idx="175">
                  <c:v>106.946304214273</c:v>
                </c:pt>
                <c:pt idx="176">
                  <c:v>108.112948628113</c:v>
                </c:pt>
                <c:pt idx="177">
                  <c:v>109.284913906984</c:v>
                </c:pt>
                <c:pt idx="178">
                  <c:v>110.4621823949</c:v>
                </c:pt>
                <c:pt idx="179">
                  <c:v>111.644736416862</c:v>
                </c:pt>
                <c:pt idx="180">
                  <c:v>112.832558279062</c:v>
                </c:pt>
                <c:pt idx="181">
                  <c:v>114.025630269084</c:v>
                </c:pt>
                <c:pt idx="182">
                  <c:v>115.223934656101</c:v>
                </c:pt>
                <c:pt idx="183">
                  <c:v>116.427453691083</c:v>
                </c:pt>
                <c:pt idx="184">
                  <c:v>117.636169606991</c:v>
                </c:pt>
                <c:pt idx="185">
                  <c:v>118.850064618984</c:v>
                </c:pt>
                <c:pt idx="186">
                  <c:v>120.069120924616</c:v>
                </c:pt>
                <c:pt idx="187">
                  <c:v>121.29332070404</c:v>
                </c:pt>
                <c:pt idx="188">
                  <c:v>122.522646120209</c:v>
                </c:pt>
                <c:pt idx="189">
                  <c:v>123.757079319074</c:v>
                </c:pt>
                <c:pt idx="190">
                  <c:v>124.996602429788</c:v>
                </c:pt>
                <c:pt idx="191">
                  <c:v>126.241197564907</c:v>
                </c:pt>
                <c:pt idx="192">
                  <c:v>127.490846820588</c:v>
                </c:pt>
                <c:pt idx="193">
                  <c:v>128.745532276794</c:v>
                </c:pt>
                <c:pt idx="194">
                  <c:v>130.00523599749</c:v>
                </c:pt>
                <c:pt idx="195">
                  <c:v>131.269940030847</c:v>
                </c:pt>
                <c:pt idx="196">
                  <c:v>132.53962640944</c:v>
                </c:pt>
                <c:pt idx="197">
                  <c:v>133.814277150449</c:v>
                </c:pt>
                <c:pt idx="198">
                  <c:v>135.093874255861</c:v>
                </c:pt>
                <c:pt idx="199">
                  <c:v>136.378399712667</c:v>
                </c:pt>
                <c:pt idx="200">
                  <c:v>137.667835493061</c:v>
                </c:pt>
                <c:pt idx="201">
                  <c:v>138.962163554646</c:v>
                </c:pt>
                <c:pt idx="202">
                  <c:v>140.261365840624</c:v>
                </c:pt>
                <c:pt idx="203">
                  <c:v>141.565424280003</c:v>
                </c:pt>
                <c:pt idx="204">
                  <c:v>142.87432078779</c:v>
                </c:pt>
                <c:pt idx="205">
                  <c:v>144.188037265196</c:v>
                </c:pt>
                <c:pt idx="206">
                  <c:v>145.506555599828</c:v>
                </c:pt>
                <c:pt idx="207">
                  <c:v>146.829857665891</c:v>
                </c:pt>
                <c:pt idx="208">
                  <c:v>148.157925324385</c:v>
                </c:pt>
                <c:pt idx="209">
                  <c:v>149.490740423305</c:v>
                </c:pt>
                <c:pt idx="210">
                  <c:v>150.828284797831</c:v>
                </c:pt>
                <c:pt idx="211">
                  <c:v>152.170540270537</c:v>
                </c:pt>
                <c:pt idx="212">
                  <c:v>153.517488651576</c:v>
                </c:pt>
                <c:pt idx="213">
                  <c:v>154.869111738885</c:v>
                </c:pt>
                <c:pt idx="214">
                  <c:v>156.225391318377</c:v>
                </c:pt>
                <c:pt idx="215">
                  <c:v>157.586309164138</c:v>
                </c:pt>
                <c:pt idx="216">
                  <c:v>158.951847038622</c:v>
                </c:pt>
                <c:pt idx="217">
                  <c:v>160.32198669285</c:v>
                </c:pt>
                <c:pt idx="218">
                  <c:v>161.696709866598</c:v>
                </c:pt>
                <c:pt idx="219">
                  <c:v>163.075998288599</c:v>
                </c:pt>
                <c:pt idx="220">
                  <c:v>164.459833676732</c:v>
                </c:pt>
                <c:pt idx="221">
                  <c:v>165.848197738218</c:v>
                </c:pt>
                <c:pt idx="222">
                  <c:v>167.241072169814</c:v>
                </c:pt>
                <c:pt idx="223">
                  <c:v>168.638438658005</c:v>
                </c:pt>
                <c:pt idx="224">
                  <c:v>170.040278879197</c:v>
                </c:pt>
                <c:pt idx="225">
                  <c:v>171.446574499911</c:v>
                </c:pt>
                <c:pt idx="226">
                  <c:v>172.857307176971</c:v>
                </c:pt>
                <c:pt idx="227">
                  <c:v>174.272458557701</c:v>
                </c:pt>
                <c:pt idx="228">
                  <c:v>175.692010280111</c:v>
                </c:pt>
                <c:pt idx="229">
                  <c:v>177.115943973092</c:v>
                </c:pt>
                <c:pt idx="230">
                  <c:v>178.544241256601</c:v>
                </c:pt>
                <c:pt idx="231">
                  <c:v>179.976883741859</c:v>
                </c:pt>
                <c:pt idx="232">
                  <c:v>181.41385303153</c:v>
                </c:pt>
                <c:pt idx="233">
                  <c:v>182.85513071992</c:v>
                </c:pt>
                <c:pt idx="234">
                  <c:v>184.300698393158</c:v>
                </c:pt>
                <c:pt idx="235">
                  <c:v>185.750537629389</c:v>
                </c:pt>
                <c:pt idx="236">
                  <c:v>187.204629998958</c:v>
                </c:pt>
                <c:pt idx="237">
                  <c:v>188.662957064599</c:v>
                </c:pt>
                <c:pt idx="238">
                  <c:v>190.125500381621</c:v>
                </c:pt>
                <c:pt idx="239">
                  <c:v>191.592241498094</c:v>
                </c:pt>
                <c:pt idx="240">
                  <c:v>193.063161955036</c:v>
                </c:pt>
                <c:pt idx="241">
                  <c:v>194.538243286595</c:v>
                </c:pt>
                <c:pt idx="242">
                  <c:v>196.017467020237</c:v>
                </c:pt>
                <c:pt idx="243">
                  <c:v>197.500814676927</c:v>
                </c:pt>
                <c:pt idx="244">
                  <c:v>198.988267771316</c:v>
                </c:pt>
                <c:pt idx="245">
                  <c:v>200.479807811919</c:v>
                </c:pt>
                <c:pt idx="246">
                  <c:v>201.975416301304</c:v>
                </c:pt>
                <c:pt idx="247">
                  <c:v>203.475074736266</c:v>
                </c:pt>
                <c:pt idx="248">
                  <c:v>204.978764608017</c:v>
                </c:pt>
                <c:pt idx="249">
                  <c:v>206.486467402359</c:v>
                </c:pt>
                <c:pt idx="250">
                  <c:v>207.998164599869</c:v>
                </c:pt>
                <c:pt idx="251">
                  <c:v>209.513836066762</c:v>
                </c:pt>
                <c:pt idx="252">
                  <c:v>211.033458445619</c:v>
                </c:pt>
                <c:pt idx="253">
                  <c:v>212.557006765485</c:v>
                </c:pt>
                <c:pt idx="254">
                  <c:v>214.084456052128</c:v>
                </c:pt>
                <c:pt idx="255">
                  <c:v>215.615781328299</c:v>
                </c:pt>
                <c:pt idx="256">
                  <c:v>217.150957613994</c:v>
                </c:pt>
                <c:pt idx="257">
                  <c:v>218.68995992671</c:v>
                </c:pt>
                <c:pt idx="258">
                  <c:v>220.232763281703</c:v>
                </c:pt>
                <c:pt idx="259">
                  <c:v>221.779342692243</c:v>
                </c:pt>
                <c:pt idx="260">
                  <c:v>223.32967316987</c:v>
                </c:pt>
                <c:pt idx="261">
                  <c:v>224.883729724647</c:v>
                </c:pt>
                <c:pt idx="262">
                  <c:v>226.441487365412</c:v>
                </c:pt>
                <c:pt idx="263">
                  <c:v>228.002921100029</c:v>
                </c:pt>
                <c:pt idx="264">
                  <c:v>229.568005935641</c:v>
                </c:pt>
                <c:pt idx="265">
                  <c:v>231.136716878913</c:v>
                </c:pt>
                <c:pt idx="266">
                  <c:v>232.709028936287</c:v>
                </c:pt>
                <c:pt idx="267">
                  <c:v>234.284917114222</c:v>
                </c:pt>
                <c:pt idx="268">
                  <c:v>235.864356419442</c:v>
                </c:pt>
                <c:pt idx="269">
                  <c:v>237.447321859181</c:v>
                </c:pt>
                <c:pt idx="270">
                  <c:v>239.033788441425</c:v>
                </c:pt>
                <c:pt idx="271">
                  <c:v>240.623731175152</c:v>
                </c:pt>
                <c:pt idx="272">
                  <c:v>242.217125070574</c:v>
                </c:pt>
                <c:pt idx="273">
                  <c:v>243.813945139375</c:v>
                </c:pt>
                <c:pt idx="274">
                  <c:v>245.414166394952</c:v>
                </c:pt>
                <c:pt idx="275">
                  <c:v>247.017763852646</c:v>
                </c:pt>
                <c:pt idx="276">
                  <c:v>248.624712529983</c:v>
                </c:pt>
                <c:pt idx="277">
                  <c:v>250.234987446904</c:v>
                </c:pt>
                <c:pt idx="278">
                  <c:v>251.848563626</c:v>
                </c:pt>
                <c:pt idx="279">
                  <c:v>253.465416092741</c:v>
                </c:pt>
                <c:pt idx="280">
                  <c:v>255.085519875712</c:v>
                </c:pt>
                <c:pt idx="281">
                  <c:v>256.708850006834</c:v>
                </c:pt>
                <c:pt idx="282">
                  <c:v>258.335381521598</c:v>
                </c:pt>
                <c:pt idx="283">
                  <c:v>259.965089459288</c:v>
                </c:pt>
                <c:pt idx="284">
                  <c:v>261.597948863208</c:v>
                </c:pt>
                <c:pt idx="285">
                  <c:v>263.233934780904</c:v>
                </c:pt>
                <c:pt idx="286">
                  <c:v>264.873022264387</c:v>
                </c:pt>
                <c:pt idx="287">
                  <c:v>266.515186370356</c:v>
                </c:pt>
                <c:pt idx="288">
                  <c:v>268.160402160416</c:v>
                </c:pt>
                <c:pt idx="289">
                  <c:v>269.808644701295</c:v>
                </c:pt>
                <c:pt idx="290">
                  <c:v>271.459889065065</c:v>
                </c:pt>
                <c:pt idx="291">
                  <c:v>273.114110329355</c:v>
                </c:pt>
                <c:pt idx="292">
                  <c:v>274.771283577567</c:v>
                </c:pt>
                <c:pt idx="293">
                  <c:v>276.431383899089</c:v>
                </c:pt>
                <c:pt idx="294">
                  <c:v>278.094386389504</c:v>
                </c:pt>
                <c:pt idx="295">
                  <c:v>279.760266150806</c:v>
                </c:pt>
                <c:pt idx="296">
                  <c:v>281.428998291605</c:v>
                </c:pt>
                <c:pt idx="297">
                  <c:v>283.100557927335</c:v>
                </c:pt>
                <c:pt idx="298">
                  <c:v>284.774902571347</c:v>
                </c:pt>
                <c:pt idx="299">
                  <c:v>286.451954530458</c:v>
                </c:pt>
                <c:pt idx="300">
                  <c:v>288.13161853087</c:v>
                </c:pt>
                <c:pt idx="301">
                  <c:v>289.813799340406</c:v>
                </c:pt>
                <c:pt idx="302">
                  <c:v>291.498401770284</c:v>
                </c:pt>
                <c:pt idx="303">
                  <c:v>293.185330676862</c:v>
                </c:pt>
                <c:pt idx="304">
                  <c:v>294.874490963368</c:v>
                </c:pt>
                <c:pt idx="305">
                  <c:v>296.565787581617</c:v>
                </c:pt>
                <c:pt idx="306">
                  <c:v>298.259125533696</c:v>
                </c:pt>
                <c:pt idx="307">
                  <c:v>299.954409873646</c:v>
                </c:pt>
                <c:pt idx="308">
                  <c:v>301.651545709113</c:v>
                </c:pt>
                <c:pt idx="309">
                  <c:v>303.350438202983</c:v>
                </c:pt>
                <c:pt idx="310">
                  <c:v>305.050992575007</c:v>
                </c:pt>
                <c:pt idx="311">
                  <c:v>306.75311410339</c:v>
                </c:pt>
                <c:pt idx="312">
                  <c:v>308.456708126379</c:v>
                </c:pt>
                <c:pt idx="313">
                  <c:v>310.161680043819</c:v>
                </c:pt>
                <c:pt idx="314">
                  <c:v>311.867935318694</c:v>
                </c:pt>
                <c:pt idx="315">
                  <c:v>313.575379478655</c:v>
                </c:pt>
                <c:pt idx="316">
                  <c:v>315.283918117518</c:v>
                </c:pt>
                <c:pt idx="317">
                  <c:v>316.99345689675</c:v>
                </c:pt>
                <c:pt idx="318">
                  <c:v>318.703901546938</c:v>
                </c:pt>
                <c:pt idx="319">
                  <c:v>320.415157869228</c:v>
                </c:pt>
                <c:pt idx="320">
                  <c:v>322.127131736761</c:v>
                </c:pt>
                <c:pt idx="321">
                  <c:v>323.839736089868</c:v>
                </c:pt>
                <c:pt idx="322">
                  <c:v>325.552897926152</c:v>
                </c:pt>
                <c:pt idx="323">
                  <c:v>327.266551296349</c:v>
                </c:pt>
                <c:pt idx="324">
                  <c:v>328.980630304944</c:v>
                </c:pt>
                <c:pt idx="325">
                  <c:v>330.695069110826</c:v>
                </c:pt>
                <c:pt idx="326">
                  <c:v>332.409801927942</c:v>
                </c:pt>
                <c:pt idx="327">
                  <c:v>334.124763025925</c:v>
                </c:pt>
                <c:pt idx="328">
                  <c:v>335.839886730737</c:v>
                </c:pt>
                <c:pt idx="329">
                  <c:v>337.555107425276</c:v>
                </c:pt>
                <c:pt idx="330">
                  <c:v>339.270359549995</c:v>
                </c:pt>
                <c:pt idx="331">
                  <c:v>340.985577603502</c:v>
                </c:pt>
                <c:pt idx="332">
                  <c:v>342.700696143148</c:v>
                </c:pt>
                <c:pt idx="333">
                  <c:v>344.415649785616</c:v>
                </c:pt>
                <c:pt idx="334">
                  <c:v>346.130373207487</c:v>
                </c:pt>
                <c:pt idx="335">
                  <c:v>347.844801145811</c:v>
                </c:pt>
                <c:pt idx="336">
                  <c:v>349.55886839866</c:v>
                </c:pt>
                <c:pt idx="337">
                  <c:v>351.272509825671</c:v>
                </c:pt>
                <c:pt idx="338">
                  <c:v>352.985660348588</c:v>
                </c:pt>
                <c:pt idx="339">
                  <c:v>354.698254951783</c:v>
                </c:pt>
                <c:pt idx="340">
                  <c:v>356.410228682782</c:v>
                </c:pt>
                <c:pt idx="341">
                  <c:v>358.121516652768</c:v>
                </c:pt>
                <c:pt idx="342">
                  <c:v>359.832054037085</c:v>
                </c:pt>
                <c:pt idx="343">
                  <c:v>361.541776075727</c:v>
                </c:pt>
                <c:pt idx="344">
                  <c:v>363.250618073825</c:v>
                </c:pt>
                <c:pt idx="345">
                  <c:v>364.958515402112</c:v>
                </c:pt>
                <c:pt idx="346">
                  <c:v>366.665403497398</c:v>
                </c:pt>
                <c:pt idx="347">
                  <c:v>368.371217863017</c:v>
                </c:pt>
                <c:pt idx="348">
                  <c:v>370.075894822603</c:v>
                </c:pt>
                <c:pt idx="349">
                  <c:v>371.779372273042</c:v>
                </c:pt>
                <c:pt idx="350">
                  <c:v>373.481588929917</c:v>
                </c:pt>
                <c:pt idx="351">
                  <c:v>375.182483573755</c:v>
                </c:pt>
                <c:pt idx="352">
                  <c:v>376.881995050387</c:v>
                </c:pt>
                <c:pt idx="353">
                  <c:v>378.580062271306</c:v>
                </c:pt>
                <c:pt idx="354">
                  <c:v>380.276624214016</c:v>
                </c:pt>
                <c:pt idx="355">
                  <c:v>381.971619922372</c:v>
                </c:pt>
                <c:pt idx="356">
                  <c:v>383.664988506916</c:v>
                </c:pt>
                <c:pt idx="357">
                  <c:v>385.3566691452</c:v>
                </c:pt>
                <c:pt idx="358">
                  <c:v>387.046601082107</c:v>
                </c:pt>
                <c:pt idx="359">
                  <c:v>388.734723630157</c:v>
                </c:pt>
                <c:pt idx="360">
                  <c:v>390.420991830062</c:v>
                </c:pt>
                <c:pt idx="361">
                  <c:v>392.105392092282</c:v>
                </c:pt>
                <c:pt idx="362">
                  <c:v>393.787926500163</c:v>
                </c:pt>
                <c:pt idx="363">
                  <c:v>395.468597131911</c:v>
                </c:pt>
                <c:pt idx="364">
                  <c:v>397.147406060611</c:v>
                </c:pt>
                <c:pt idx="365">
                  <c:v>398.824355354241</c:v>
                </c:pt>
                <c:pt idx="366">
                  <c:v>400.499447075689</c:v>
                </c:pt>
                <c:pt idx="367">
                  <c:v>402.17268328277</c:v>
                </c:pt>
                <c:pt idx="368">
                  <c:v>403.84406602824</c:v>
                </c:pt>
                <c:pt idx="369">
                  <c:v>405.513597359812</c:v>
                </c:pt>
                <c:pt idx="370">
                  <c:v>407.181279320173</c:v>
                </c:pt>
                <c:pt idx="371">
                  <c:v>408.847113947</c:v>
                </c:pt>
                <c:pt idx="372">
                  <c:v>410.511103272972</c:v>
                </c:pt>
                <c:pt idx="373">
                  <c:v>412.173249325792</c:v>
                </c:pt>
                <c:pt idx="374">
                  <c:v>413.833554128195</c:v>
                </c:pt>
                <c:pt idx="375">
                  <c:v>415.492019697971</c:v>
                </c:pt>
                <c:pt idx="376">
                  <c:v>417.148648047974</c:v>
                </c:pt>
                <c:pt idx="377">
                  <c:v>418.803441186141</c:v>
                </c:pt>
                <c:pt idx="378">
                  <c:v>420.456401115506</c:v>
                </c:pt>
                <c:pt idx="379">
                  <c:v>422.107529834216</c:v>
                </c:pt>
                <c:pt idx="380">
                  <c:v>423.756829335546</c:v>
                </c:pt>
                <c:pt idx="381">
                  <c:v>425.404301607912</c:v>
                </c:pt>
                <c:pt idx="382">
                  <c:v>427.04994863489</c:v>
                </c:pt>
                <c:pt idx="383">
                  <c:v>428.693772395227</c:v>
                </c:pt>
                <c:pt idx="384">
                  <c:v>430.335774862858</c:v>
                </c:pt>
                <c:pt idx="385">
                  <c:v>431.975958006923</c:v>
                </c:pt>
                <c:pt idx="386">
                  <c:v>433.614323791775</c:v>
                </c:pt>
                <c:pt idx="387">
                  <c:v>435.250874177002</c:v>
                </c:pt>
                <c:pt idx="388">
                  <c:v>436.885611117438</c:v>
                </c:pt>
                <c:pt idx="389">
                  <c:v>438.51853656318</c:v>
                </c:pt>
                <c:pt idx="390">
                  <c:v>440.149652459597</c:v>
                </c:pt>
                <c:pt idx="391">
                  <c:v>441.778960747352</c:v>
                </c:pt>
                <c:pt idx="392">
                  <c:v>443.406463362412</c:v>
                </c:pt>
                <c:pt idx="393">
                  <c:v>445.032162236063</c:v>
                </c:pt>
                <c:pt idx="394">
                  <c:v>446.656059294923</c:v>
                </c:pt>
                <c:pt idx="395">
                  <c:v>448.278156460961</c:v>
                </c:pt>
                <c:pt idx="396">
                  <c:v>449.898455651507</c:v>
                </c:pt>
                <c:pt idx="397">
                  <c:v>451.516958779265</c:v>
                </c:pt>
                <c:pt idx="398">
                  <c:v>453.133667752332</c:v>
                </c:pt>
                <c:pt idx="399">
                  <c:v>454.748584474209</c:v>
                </c:pt>
                <c:pt idx="400">
                  <c:v>456.361710843814</c:v>
                </c:pt>
                <c:pt idx="401">
                  <c:v>472.394651925885</c:v>
                </c:pt>
                <c:pt idx="402">
                  <c:v>488.249779599886</c:v>
                </c:pt>
                <c:pt idx="403">
                  <c:v>503.928947125683</c:v>
                </c:pt>
                <c:pt idx="404">
                  <c:v>519.433963826796</c:v>
                </c:pt>
                <c:pt idx="405">
                  <c:v>534.766596395646</c:v>
                </c:pt>
                <c:pt idx="406">
                  <c:v>549.928570149135</c:v>
                </c:pt>
                <c:pt idx="407">
                  <c:v>564.921570236802</c:v>
                </c:pt>
                <c:pt idx="408">
                  <c:v>579.747242803692</c:v>
                </c:pt>
                <c:pt idx="409">
                  <c:v>594.407196109961</c:v>
                </c:pt>
                <c:pt idx="410">
                  <c:v>608.903001609113</c:v>
                </c:pt>
                <c:pt idx="411">
                  <c:v>623.236194986719</c:v>
                </c:pt>
                <c:pt idx="412">
                  <c:v>637.408277161302</c:v>
                </c:pt>
                <c:pt idx="413">
                  <c:v>651.420715249054</c:v>
                </c:pt>
                <c:pt idx="414">
                  <c:v>665.27494349392</c:v>
                </c:pt>
                <c:pt idx="415">
                  <c:v>678.972364164529</c:v>
                </c:pt>
                <c:pt idx="416">
                  <c:v>692.514348419381</c:v>
                </c:pt>
                <c:pt idx="417">
                  <c:v>705.902237141607</c:v>
                </c:pt>
                <c:pt idx="418">
                  <c:v>719.13734174458</c:v>
                </c:pt>
                <c:pt idx="419">
                  <c:v>732.220944949586</c:v>
                </c:pt>
                <c:pt idx="420">
                  <c:v>745.154301536688</c:v>
                </c:pt>
                <c:pt idx="421">
                  <c:v>757.938639069888</c:v>
                </c:pt>
                <c:pt idx="422">
                  <c:v>770.575158597618</c:v>
                </c:pt>
                <c:pt idx="423">
                  <c:v>783.065035329567</c:v>
                </c:pt>
                <c:pt idx="424">
                  <c:v>795.409419290757</c:v>
                </c:pt>
                <c:pt idx="425">
                  <c:v>807.609435953807</c:v>
                </c:pt>
                <c:pt idx="426">
                  <c:v>819.666186850216</c:v>
                </c:pt>
                <c:pt idx="427">
                  <c:v>831.580750161487</c:v>
                </c:pt>
                <c:pt idx="428">
                  <c:v>843.354181290892</c:v>
                </c:pt>
                <c:pt idx="429">
                  <c:v>854.987513416598</c:v>
                </c:pt>
                <c:pt idx="430">
                  <c:v>866.481758026892</c:v>
                </c:pt>
                <c:pt idx="431">
                  <c:v>877.837905438159</c:v>
                </c:pt>
                <c:pt idx="432">
                  <c:v>889.056925296292</c:v>
                </c:pt>
                <c:pt idx="433">
                  <c:v>900.139767062129</c:v>
                </c:pt>
                <c:pt idx="434">
                  <c:v>911.08736048153</c:v>
                </c:pt>
                <c:pt idx="435">
                  <c:v>921.900616040654</c:v>
                </c:pt>
                <c:pt idx="436">
                  <c:v>932.580425406976</c:v>
                </c:pt>
                <c:pt idx="437">
                  <c:v>943.127661856576</c:v>
                </c:pt>
                <c:pt idx="438">
                  <c:v>953.543180688191</c:v>
                </c:pt>
                <c:pt idx="439">
                  <c:v>963.827819624497</c:v>
                </c:pt>
                <c:pt idx="440">
                  <c:v>973.982399201103</c:v>
                </c:pt>
                <c:pt idx="441">
                  <c:v>984.007723143668</c:v>
                </c:pt>
                <c:pt idx="442">
                  <c:v>993.904578733576</c:v>
                </c:pt>
                <c:pt idx="443">
                  <c:v>1003.67373716257</c:v>
                </c:pt>
                <c:pt idx="444">
                  <c:v>1013.3159538767</c:v>
                </c:pt>
                <c:pt idx="445">
                  <c:v>1022.83196891007</c:v>
                </c:pt>
                <c:pt idx="446">
                  <c:v>1032.22250720851</c:v>
                </c:pt>
                <c:pt idx="447">
                  <c:v>1041.48827894377</c:v>
                </c:pt>
                <c:pt idx="448">
                  <c:v>1050.62997981842</c:v>
                </c:pt>
                <c:pt idx="449">
                  <c:v>1059.64829136178</c:v>
                </c:pt>
                <c:pt idx="450">
                  <c:v>1068.54388121718</c:v>
                </c:pt>
                <c:pt idx="451">
                  <c:v>1077.31740342096</c:v>
                </c:pt>
                <c:pt idx="452">
                  <c:v>1085.96949867323</c:v>
                </c:pt>
                <c:pt idx="453">
                  <c:v>1094.50079460097</c:v>
                </c:pt>
                <c:pt idx="454">
                  <c:v>1102.91190601349</c:v>
                </c:pt>
                <c:pt idx="455">
                  <c:v>1111.2034351506</c:v>
                </c:pt>
                <c:pt idx="456">
                  <c:v>1119.37597192372</c:v>
                </c:pt>
                <c:pt idx="457">
                  <c:v>1127.43009415016</c:v>
                </c:pt>
                <c:pt idx="458">
                  <c:v>1135.36636778077</c:v>
                </c:pt>
                <c:pt idx="459">
                  <c:v>1143.18534712119</c:v>
                </c:pt>
                <c:pt idx="460">
                  <c:v>1150.88757504695</c:v>
                </c:pt>
                <c:pt idx="461">
                  <c:v>1158.47358321248</c:v>
                </c:pt>
                <c:pt idx="462">
                  <c:v>1165.94389225442</c:v>
                </c:pt>
                <c:pt idx="463">
                  <c:v>1173.29901198928</c:v>
                </c:pt>
                <c:pt idx="464">
                  <c:v>1180.53944160563</c:v>
                </c:pt>
                <c:pt idx="465">
                  <c:v>1187.66566985108</c:v>
                </c:pt>
                <c:pt idx="466">
                  <c:v>1194.67817521414</c:v>
                </c:pt>
                <c:pt idx="467">
                  <c:v>1201.57742610115</c:v>
                </c:pt>
                <c:pt idx="468">
                  <c:v>1208.36388100848</c:v>
                </c:pt>
                <c:pt idx="469">
                  <c:v>1215.03798869005</c:v>
                </c:pt>
                <c:pt idx="470">
                  <c:v>1221.60018832045</c:v>
                </c:pt>
                <c:pt idx="471">
                  <c:v>1228.05090965369</c:v>
                </c:pt>
                <c:pt idx="472">
                  <c:v>1234.39057317785</c:v>
                </c:pt>
                <c:pt idx="473">
                  <c:v>1240.61959026558</c:v>
                </c:pt>
                <c:pt idx="474">
                  <c:v>1246.73836332082</c:v>
                </c:pt>
                <c:pt idx="475">
                  <c:v>1252.74728592165</c:v>
                </c:pt>
                <c:pt idx="476">
                  <c:v>1258.64674295962</c:v>
                </c:pt>
                <c:pt idx="477">
                  <c:v>1264.43711077547</c:v>
                </c:pt>
                <c:pt idx="478">
                  <c:v>1270.11875729153</c:v>
                </c:pt>
                <c:pt idx="479">
                  <c:v>1275.69204214088</c:v>
                </c:pt>
                <c:pt idx="480">
                  <c:v>1281.15731679333</c:v>
                </c:pt>
                <c:pt idx="481">
                  <c:v>1286.51492467846</c:v>
                </c:pt>
                <c:pt idx="482">
                  <c:v>1291.76520130575</c:v>
                </c:pt>
                <c:pt idx="483">
                  <c:v>1296.90847438199</c:v>
                </c:pt>
                <c:pt idx="484">
                  <c:v>1301.94506392602</c:v>
                </c:pt>
                <c:pt idx="485">
                  <c:v>1306.87528238102</c:v>
                </c:pt>
                <c:pt idx="486">
                  <c:v>1311.69943472441</c:v>
                </c:pt>
                <c:pt idx="487">
                  <c:v>1316.4178185755</c:v>
                </c:pt>
                <c:pt idx="488">
                  <c:v>1321.03072430105</c:v>
                </c:pt>
                <c:pt idx="489">
                  <c:v>1325.53843511886</c:v>
                </c:pt>
                <c:pt idx="490">
                  <c:v>1329.9412271995</c:v>
                </c:pt>
                <c:pt idx="491">
                  <c:v>1334.23936976642</c:v>
                </c:pt>
                <c:pt idx="492">
                  <c:v>1338.43312519442</c:v>
                </c:pt>
                <c:pt idx="493">
                  <c:v>1342.52274910688</c:v>
                </c:pt>
                <c:pt idx="494">
                  <c:v>1346.50849047162</c:v>
                </c:pt>
                <c:pt idx="495">
                  <c:v>1350.39059169583</c:v>
                </c:pt>
                <c:pt idx="496">
                  <c:v>1354.16928872009</c:v>
                </c:pt>
                <c:pt idx="497">
                  <c:v>1357.84481111169</c:v>
                </c:pt>
                <c:pt idx="498">
                  <c:v>1361.41738215752</c:v>
                </c:pt>
                <c:pt idx="499">
                  <c:v>1364.88721895664</c:v>
                </c:pt>
                <c:pt idx="500">
                  <c:v>1368.25453251286</c:v>
                </c:pt>
                <c:pt idx="501">
                  <c:v>1371.51952782747</c:v>
                </c:pt>
                <c:pt idx="502">
                  <c:v>1374.68240399244</c:v>
                </c:pt>
                <c:pt idx="503">
                  <c:v>1377.74335428434</c:v>
                </c:pt>
                <c:pt idx="504">
                  <c:v>1380.70256625926</c:v>
                </c:pt>
                <c:pt idx="505">
                  <c:v>1383.56022184903</c:v>
                </c:pt>
                <c:pt idx="506">
                  <c:v>1386.31649745907</c:v>
                </c:pt>
                <c:pt idx="507">
                  <c:v>1388.97156406826</c:v>
                </c:pt>
                <c:pt idx="508">
                  <c:v>1391.52558733108</c:v>
                </c:pt>
                <c:pt idx="509">
                  <c:v>1393.97872768251</c:v>
                </c:pt>
                <c:pt idx="510">
                  <c:v>1396.33114044608</c:v>
                </c:pt>
                <c:pt idx="511">
                  <c:v>1398.5829759454</c:v>
                </c:pt>
                <c:pt idx="512">
                  <c:v>1400.73437961973</c:v>
                </c:pt>
                <c:pt idx="513">
                  <c:v>1402.78549214398</c:v>
                </c:pt>
                <c:pt idx="514">
                  <c:v>1404.73644955357</c:v>
                </c:pt>
                <c:pt idx="515">
                  <c:v>1406.58738337473</c:v>
                </c:pt>
                <c:pt idx="516">
                  <c:v>1408.33842076058</c:v>
                </c:pt>
                <c:pt idx="517">
                  <c:v>1409.9896846336</c:v>
                </c:pt>
                <c:pt idx="518">
                  <c:v>1411.54129383475</c:v>
                </c:pt>
                <c:pt idx="519">
                  <c:v>1412.99336327994</c:v>
                </c:pt>
                <c:pt idx="520">
                  <c:v>1414.34600412394</c:v>
                </c:pt>
                <c:pt idx="521">
                  <c:v>1415.59932393238</c:v>
                </c:pt>
                <c:pt idx="522">
                  <c:v>1416.75342686184</c:v>
                </c:pt>
                <c:pt idx="523">
                  <c:v>1417.80841384848</c:v>
                </c:pt>
                <c:pt idx="524">
                  <c:v>1418.76438280518</c:v>
                </c:pt>
                <c:pt idx="525">
                  <c:v>1419.62142882732</c:v>
                </c:pt>
                <c:pt idx="526">
                  <c:v>1420.37964440698</c:v>
                </c:pt>
                <c:pt idx="527">
                  <c:v>1421.03911965539</c:v>
                </c:pt>
                <c:pt idx="528">
                  <c:v>1421.59994253332</c:v>
                </c:pt>
                <c:pt idx="529">
                  <c:v>1422.06219908876</c:v>
                </c:pt>
                <c:pt idx="530">
                  <c:v>1422.42597370133</c:v>
                </c:pt>
                <c:pt idx="531">
                  <c:v>1422.69134933247</c:v>
                </c:pt>
                <c:pt idx="532">
                  <c:v>1422.85840778069</c:v>
                </c:pt>
                <c:pt idx="533">
                  <c:v>1422.92722994048</c:v>
                </c:pt>
                <c:pt idx="534">
                  <c:v>1422.89789606395</c:v>
                </c:pt>
                <c:pt idx="535">
                  <c:v>1422.7704860238</c:v>
                </c:pt>
                <c:pt idx="536">
                  <c:v>1422.54507957631</c:v>
                </c:pt>
                <c:pt idx="537">
                  <c:v>1422.22175662293</c:v>
                </c:pt>
                <c:pt idx="538">
                  <c:v>1421.80059746922</c:v>
                </c:pt>
                <c:pt idx="539">
                  <c:v>1421.28168307973</c:v>
                </c:pt>
                <c:pt idx="540">
                  <c:v>1420.66509532753</c:v>
                </c:pt>
                <c:pt idx="541">
                  <c:v>1419.9509172373</c:v>
                </c:pt>
                <c:pt idx="542">
                  <c:v>1419.13923322084</c:v>
                </c:pt>
                <c:pt idx="543">
                  <c:v>1418.2301293041</c:v>
                </c:pt>
                <c:pt idx="544">
                  <c:v>1417.22369334493</c:v>
                </c:pt>
                <c:pt idx="545">
                  <c:v>1416.12001524092</c:v>
                </c:pt>
                <c:pt idx="546">
                  <c:v>1414.91918712678</c:v>
                </c:pt>
                <c:pt idx="547">
                  <c:v>1413.62130356098</c:v>
                </c:pt>
                <c:pt idx="548">
                  <c:v>1412.22646170146</c:v>
                </c:pt>
                <c:pt idx="549">
                  <c:v>1410.73476147019</c:v>
                </c:pt>
                <c:pt idx="550">
                  <c:v>1409.14630570681</c:v>
                </c:pt>
                <c:pt idx="551">
                  <c:v>1407.46120031136</c:v>
                </c:pt>
                <c:pt idx="552">
                  <c:v>1405.67955437639</c:v>
                </c:pt>
                <c:pt idx="553">
                  <c:v>1403.80148030868</c:v>
                </c:pt>
                <c:pt idx="554">
                  <c:v>1401.82709394108</c:v>
                </c:pt>
                <c:pt idx="555">
                  <c:v>1399.75651463464</c:v>
                </c:pt>
                <c:pt idx="556">
                  <c:v>1397.58986537169</c:v>
                </c:pt>
                <c:pt idx="557">
                  <c:v>1395.32727284019</c:v>
                </c:pt>
                <c:pt idx="558">
                  <c:v>1392.96886750987</c:v>
                </c:pt>
                <c:pt idx="559">
                  <c:v>1390.51478370056</c:v>
                </c:pt>
                <c:pt idx="560">
                  <c:v>1387.96515964323</c:v>
                </c:pt>
                <c:pt idx="561">
                  <c:v>1385.32013753424</c:v>
                </c:pt>
                <c:pt idx="562">
                  <c:v>1382.57986358308</c:v>
                </c:pt>
                <c:pt idx="563">
                  <c:v>1379.74448805413</c:v>
                </c:pt>
                <c:pt idx="564">
                  <c:v>1376.81416530293</c:v>
                </c:pt>
                <c:pt idx="565">
                  <c:v>1373.78905380705</c:v>
                </c:pt>
                <c:pt idx="566">
                  <c:v>1370.66931619228</c:v>
                </c:pt>
                <c:pt idx="567">
                  <c:v>1367.45511925414</c:v>
                </c:pt>
                <c:pt idx="568">
                  <c:v>1364.14663397535</c:v>
                </c:pt>
                <c:pt idx="569">
                  <c:v>1360.74403553918</c:v>
                </c:pt>
                <c:pt idx="570">
                  <c:v>1357.24750333935</c:v>
                </c:pt>
                <c:pt idx="571">
                  <c:v>1353.65722098641</c:v>
                </c:pt>
                <c:pt idx="572">
                  <c:v>1349.97337631098</c:v>
                </c:pt>
                <c:pt idx="573">
                  <c:v>1346.19616136412</c:v>
                </c:pt>
                <c:pt idx="574">
                  <c:v>1342.32577241485</c:v>
                </c:pt>
                <c:pt idx="575">
                  <c:v>1338.36240994515</c:v>
                </c:pt>
                <c:pt idx="576">
                  <c:v>1334.3062786426</c:v>
                </c:pt>
                <c:pt idx="577">
                  <c:v>1330.15758739073</c:v>
                </c:pt>
                <c:pt idx="578">
                  <c:v>1325.9165492573</c:v>
                </c:pt>
                <c:pt idx="579">
                  <c:v>1321.5833814806</c:v>
                </c:pt>
                <c:pt idx="580">
                  <c:v>1317.15830545391</c:v>
                </c:pt>
                <c:pt idx="581">
                  <c:v>1312.64154670825</c:v>
                </c:pt>
                <c:pt idx="582">
                  <c:v>1308.03333489347</c:v>
                </c:pt>
                <c:pt idx="583">
                  <c:v>1303.33390375778</c:v>
                </c:pt>
                <c:pt idx="584">
                  <c:v>1298.54349112594</c:v>
                </c:pt>
                <c:pt idx="585">
                  <c:v>1293.66233887595</c:v>
                </c:pt>
                <c:pt idx="586">
                  <c:v>1288.69069291451</c:v>
                </c:pt>
                <c:pt idx="587">
                  <c:v>1283.62880315127</c:v>
                </c:pt>
                <c:pt idx="588">
                  <c:v>1278.47692347192</c:v>
                </c:pt>
                <c:pt idx="589">
                  <c:v>1273.23531171008</c:v>
                </c:pt>
                <c:pt idx="590">
                  <c:v>1267.90422961832</c:v>
                </c:pt>
                <c:pt idx="591">
                  <c:v>1262.48394283802</c:v>
                </c:pt>
                <c:pt idx="592">
                  <c:v>1256.97472086839</c:v>
                </c:pt>
                <c:pt idx="593">
                  <c:v>1251.37683703449</c:v>
                </c:pt>
                <c:pt idx="594">
                  <c:v>1245.69056845454</c:v>
                </c:pt>
                <c:pt idx="595">
                  <c:v>1239.91619600623</c:v>
                </c:pt>
                <c:pt idx="596">
                  <c:v>1234.05400429237</c:v>
                </c:pt>
                <c:pt idx="597">
                  <c:v>1228.10428160575</c:v>
                </c:pt>
                <c:pt idx="598">
                  <c:v>1222.06731989327</c:v>
                </c:pt>
                <c:pt idx="599">
                  <c:v>1215.94341471941</c:v>
                </c:pt>
                <c:pt idx="600">
                  <c:v>1209.73286522902</c:v>
                </c:pt>
                <c:pt idx="601">
                  <c:v>1203.43597410951</c:v>
                </c:pt>
                <c:pt idx="602">
                  <c:v>1197.05304755239</c:v>
                </c:pt>
                <c:pt idx="603">
                  <c:v>1190.58439521429</c:v>
                </c:pt>
                <c:pt idx="604">
                  <c:v>1184.03033017737</c:v>
                </c:pt>
                <c:pt idx="605">
                  <c:v>1177.39116890926</c:v>
                </c:pt>
                <c:pt idx="606">
                  <c:v>1170.66723122242</c:v>
                </c:pt>
                <c:pt idx="607">
                  <c:v>1163.85884023308</c:v>
                </c:pt>
                <c:pt idx="608">
                  <c:v>1156.96632231971</c:v>
                </c:pt>
                <c:pt idx="609">
                  <c:v>1149.99000708095</c:v>
                </c:pt>
                <c:pt idx="610">
                  <c:v>1142.93022729326</c:v>
                </c:pt>
                <c:pt idx="611">
                  <c:v>1135.78731886803</c:v>
                </c:pt>
                <c:pt idx="612">
                  <c:v>1128.56162080841</c:v>
                </c:pt>
                <c:pt idx="613">
                  <c:v>1121.25347516565</c:v>
                </c:pt>
                <c:pt idx="614">
                  <c:v>1113.86322699519</c:v>
                </c:pt>
                <c:pt idx="615">
                  <c:v>1106.39122431236</c:v>
                </c:pt>
                <c:pt idx="616">
                  <c:v>1098.83781804776</c:v>
                </c:pt>
                <c:pt idx="617">
                  <c:v>1091.20336200232</c:v>
                </c:pt>
                <c:pt idx="618">
                  <c:v>1083.48821280211</c:v>
                </c:pt>
                <c:pt idx="619">
                  <c:v>1075.69272985287</c:v>
                </c:pt>
                <c:pt idx="620">
                  <c:v>1067.81727529418</c:v>
                </c:pt>
                <c:pt idx="621">
                  <c:v>1059.86221395353</c:v>
                </c:pt>
                <c:pt idx="622">
                  <c:v>1051.82791330009</c:v>
                </c:pt>
                <c:pt idx="623">
                  <c:v>1043.71474339818</c:v>
                </c:pt>
                <c:pt idx="624">
                  <c:v>1035.52307686072</c:v>
                </c:pt>
                <c:pt idx="625">
                  <c:v>1027.2532888023</c:v>
                </c:pt>
                <c:pt idx="626">
                  <c:v>1018.90575679219</c:v>
                </c:pt>
                <c:pt idx="627">
                  <c:v>1010.48086080715</c:v>
                </c:pt>
                <c:pt idx="628">
                  <c:v>1001.97898318406</c:v>
                </c:pt>
                <c:pt idx="629">
                  <c:v>993.400508572492</c:v>
                </c:pt>
                <c:pt idx="630">
                  <c:v>984.745823887052</c:v>
                </c:pt>
                <c:pt idx="631">
                  <c:v>976.015318259686</c:v>
                </c:pt>
                <c:pt idx="632">
                  <c:v>967.209382991849</c:v>
                </c:pt>
                <c:pt idx="633">
                  <c:v>958.328411506599</c:v>
                </c:pt>
                <c:pt idx="634">
                  <c:v>949.372799300606</c:v>
                </c:pt>
                <c:pt idx="635">
                  <c:v>940.342943896101</c:v>
                </c:pt>
                <c:pt idx="636">
                  <c:v>931.239244792768</c:v>
                </c:pt>
                <c:pt idx="637">
                  <c:v>922.062103419599</c:v>
                </c:pt>
                <c:pt idx="638">
                  <c:v>912.81192308671</c:v>
                </c:pt>
                <c:pt idx="639">
                  <c:v>903.489108937149</c:v>
                </c:pt>
                <c:pt idx="640">
                  <c:v>894.094067898689</c:v>
                </c:pt>
                <c:pt idx="641">
                  <c:v>884.627208635624</c:v>
                </c:pt>
                <c:pt idx="642">
                  <c:v>875.088941500587</c:v>
                </c:pt>
                <c:pt idx="643">
                  <c:v>865.47967848638</c:v>
                </c:pt>
                <c:pt idx="644">
                  <c:v>855.799833177855</c:v>
                </c:pt>
                <c:pt idx="645">
                  <c:v>846.049820703828</c:v>
                </c:pt>
                <c:pt idx="646">
                  <c:v>836.230057689058</c:v>
                </c:pt>
                <c:pt idx="647">
                  <c:v>826.34096220629</c:v>
                </c:pt>
                <c:pt idx="648">
                  <c:v>816.382953728376</c:v>
                </c:pt>
                <c:pt idx="649">
                  <c:v>806.356453080481</c:v>
                </c:pt>
                <c:pt idx="650">
                  <c:v>796.261882392392</c:v>
                </c:pt>
                <c:pt idx="651">
                  <c:v>786.099665050926</c:v>
                </c:pt>
                <c:pt idx="652">
                  <c:v>775.870225652461</c:v>
                </c:pt>
                <c:pt idx="653">
                  <c:v>765.573989955588</c:v>
                </c:pt>
                <c:pt idx="654">
                  <c:v>755.211384833907</c:v>
                </c:pt>
                <c:pt idx="655">
                  <c:v>744.782838228955</c:v>
                </c:pt>
                <c:pt idx="656">
                  <c:v>734.2887791033</c:v>
                </c:pt>
                <c:pt idx="657">
                  <c:v>723.72963739379</c:v>
                </c:pt>
                <c:pt idx="658">
                  <c:v>713.105843964977</c:v>
                </c:pt>
                <c:pt idx="659">
                  <c:v>702.417830562724</c:v>
                </c:pt>
                <c:pt idx="660">
                  <c:v>691.666029767994</c:v>
                </c:pt>
                <c:pt idx="661">
                  <c:v>680.850874950841</c:v>
                </c:pt>
                <c:pt idx="662">
                  <c:v>669.972800224609</c:v>
                </c:pt>
                <c:pt idx="663">
                  <c:v>659.032240400341</c:v>
                </c:pt>
                <c:pt idx="664">
                  <c:v>648.029630941412</c:v>
                </c:pt>
                <c:pt idx="665">
                  <c:v>636.965407918389</c:v>
                </c:pt>
                <c:pt idx="666">
                  <c:v>625.840007964133</c:v>
                </c:pt>
                <c:pt idx="667">
                  <c:v>614.653868229145</c:v>
                </c:pt>
                <c:pt idx="668">
                  <c:v>603.407426337162</c:v>
                </c:pt>
                <c:pt idx="669">
                  <c:v>592.101120341018</c:v>
                </c:pt>
                <c:pt idx="670">
                  <c:v>580.735388678766</c:v>
                </c:pt>
                <c:pt idx="671">
                  <c:v>569.310670130079</c:v>
                </c:pt>
                <c:pt idx="672">
                  <c:v>557.827403772935</c:v>
                </c:pt>
                <c:pt idx="673">
                  <c:v>546.286028940577</c:v>
                </c:pt>
                <c:pt idx="674">
                  <c:v>534.686985178787</c:v>
                </c:pt>
                <c:pt idx="675">
                  <c:v>523.030712203443</c:v>
                </c:pt>
                <c:pt idx="676">
                  <c:v>511.317649858392</c:v>
                </c:pt>
                <c:pt idx="677">
                  <c:v>499.54823807364</c:v>
                </c:pt>
                <c:pt idx="678">
                  <c:v>487.722916823851</c:v>
                </c:pt>
                <c:pt idx="679">
                  <c:v>475.842126087181</c:v>
                </c:pt>
                <c:pt idx="680">
                  <c:v>463.906305804436</c:v>
                </c:pt>
                <c:pt idx="681">
                  <c:v>451.915895838574</c:v>
                </c:pt>
                <c:pt idx="682">
                  <c:v>439.871335934541</c:v>
                </c:pt>
                <c:pt idx="683">
                  <c:v>427.773065679462</c:v>
                </c:pt>
                <c:pt idx="684">
                  <c:v>415.621524463177</c:v>
                </c:pt>
                <c:pt idx="685">
                  <c:v>403.417151439141</c:v>
                </c:pt>
                <c:pt idx="686">
                  <c:v>391.160385485683</c:v>
                </c:pt>
                <c:pt idx="687">
                  <c:v>378.85166516763</c:v>
                </c:pt>
                <c:pt idx="688">
                  <c:v>366.491428698306</c:v>
                </c:pt>
                <c:pt idx="689">
                  <c:v>354.080113901908</c:v>
                </c:pt>
                <c:pt idx="690">
                  <c:v>341.618158176255</c:v>
                </c:pt>
                <c:pt idx="691">
                  <c:v>329.105998455927</c:v>
                </c:pt>
                <c:pt idx="692">
                  <c:v>316.544071175794</c:v>
                </c:pt>
                <c:pt idx="693">
                  <c:v>303.932812234928</c:v>
                </c:pt>
                <c:pt idx="694">
                  <c:v>291.272656960917</c:v>
                </c:pt>
                <c:pt idx="695">
                  <c:v>278.564040074579</c:v>
                </c:pt>
                <c:pt idx="696">
                  <c:v>265.807395655074</c:v>
                </c:pt>
                <c:pt idx="697">
                  <c:v>253.003157105422</c:v>
                </c:pt>
                <c:pt idx="698">
                  <c:v>240.151757118433</c:v>
                </c:pt>
                <c:pt idx="699">
                  <c:v>227.253627643042</c:v>
                </c:pt>
                <c:pt idx="700">
                  <c:v>214.309199851066</c:v>
                </c:pt>
                <c:pt idx="701">
                  <c:v>201.31890410437</c:v>
                </c:pt>
                <c:pt idx="702">
                  <c:v>188.28316992246</c:v>
                </c:pt>
                <c:pt idx="703">
                  <c:v>175.202425950486</c:v>
                </c:pt>
                <c:pt idx="704">
                  <c:v>162.077099927684</c:v>
                </c:pt>
                <c:pt idx="705">
                  <c:v>148.907618656229</c:v>
                </c:pt>
                <c:pt idx="706">
                  <c:v>135.694407970526</c:v>
                </c:pt>
                <c:pt idx="707">
                  <c:v>122.437892706922</c:v>
                </c:pt>
                <c:pt idx="708">
                  <c:v>109.138496673859</c:v>
                </c:pt>
                <c:pt idx="709">
                  <c:v>95.7966426224482</c:v>
                </c:pt>
                <c:pt idx="710">
                  <c:v>82.4127522174877</c:v>
                </c:pt>
                <c:pt idx="711">
                  <c:v>68.9872460089085</c:v>
                </c:pt>
                <c:pt idx="712">
                  <c:v>55.5205434036603</c:v>
                </c:pt>
                <c:pt idx="713">
                  <c:v>42.013062638033</c:v>
                </c:pt>
                <c:pt idx="714">
                  <c:v>28.4652207504168</c:v>
                </c:pt>
                <c:pt idx="715">
                  <c:v>14.8774335545002</c:v>
                </c:pt>
                <c:pt idx="716">
                  <c:v>1.25011561290793</c:v>
                </c:pt>
                <c:pt idx="717">
                  <c:v>-12.4163197887221</c:v>
                </c:pt>
                <c:pt idx="718">
                  <c:v>-12.4300056989435</c:v>
                </c:pt>
                <c:pt idx="719">
                  <c:v>-12.4436916476644</c:v>
                </c:pt>
                <c:pt idx="720">
                  <c:v>-12.4573776348846</c:v>
                </c:pt>
                <c:pt idx="721">
                  <c:v>-12.4710636606036</c:v>
                </c:pt>
                <c:pt idx="722">
                  <c:v>-12.484749724821</c:v>
                </c:pt>
                <c:pt idx="723">
                  <c:v>-12.4984358275363</c:v>
                </c:pt>
                <c:pt idx="724">
                  <c:v>-12.5121219687492</c:v>
                </c:pt>
                <c:pt idx="725">
                  <c:v>-12.5258081484593</c:v>
                </c:pt>
                <c:pt idx="726">
                  <c:v>-12.5394943666661</c:v>
                </c:pt>
                <c:pt idx="727">
                  <c:v>-12.5531806233692</c:v>
                </c:pt>
                <c:pt idx="728">
                  <c:v>-12.5668669185683</c:v>
                </c:pt>
                <c:pt idx="729">
                  <c:v>-12.5805532522629</c:v>
                </c:pt>
                <c:pt idx="730">
                  <c:v>-12.5942396244526</c:v>
                </c:pt>
                <c:pt idx="731">
                  <c:v>-12.607926035137</c:v>
                </c:pt>
                <c:pt idx="732">
                  <c:v>-12.6216124843157</c:v>
                </c:pt>
                <c:pt idx="733">
                  <c:v>-12.6352989719883</c:v>
                </c:pt>
                <c:pt idx="734">
                  <c:v>-12.6489854981543</c:v>
                </c:pt>
                <c:pt idx="735">
                  <c:v>-12.6626720628135</c:v>
                </c:pt>
                <c:pt idx="736">
                  <c:v>-12.6763586659653</c:v>
                </c:pt>
                <c:pt idx="737">
                  <c:v>-12.6900453076093</c:v>
                </c:pt>
                <c:pt idx="738">
                  <c:v>-12.7037319877452</c:v>
                </c:pt>
                <c:pt idx="739">
                  <c:v>-12.7174187063725</c:v>
                </c:pt>
                <c:pt idx="740">
                  <c:v>-12.7311054634908</c:v>
                </c:pt>
                <c:pt idx="741">
                  <c:v>-12.7447922590998</c:v>
                </c:pt>
                <c:pt idx="742">
                  <c:v>-12.7584790931989</c:v>
                </c:pt>
                <c:pt idx="743">
                  <c:v>-12.7721659657879</c:v>
                </c:pt>
                <c:pt idx="744">
                  <c:v>-12.7858528768662</c:v>
                </c:pt>
                <c:pt idx="745">
                  <c:v>-12.7995398264336</c:v>
                </c:pt>
                <c:pt idx="746">
                  <c:v>-12.8132268144895</c:v>
                </c:pt>
                <c:pt idx="747">
                  <c:v>-12.8269138410335</c:v>
                </c:pt>
                <c:pt idx="748">
                  <c:v>-12.8406009060653</c:v>
                </c:pt>
                <c:pt idx="749">
                  <c:v>-12.8542880095845</c:v>
                </c:pt>
                <c:pt idx="750">
                  <c:v>-12.8679751515905</c:v>
                </c:pt>
                <c:pt idx="751">
                  <c:v>-12.8816623320831</c:v>
                </c:pt>
                <c:pt idx="752">
                  <c:v>-12.8953495510619</c:v>
                </c:pt>
                <c:pt idx="753">
                  <c:v>-12.9090368085263</c:v>
                </c:pt>
                <c:pt idx="754">
                  <c:v>-12.922724104476</c:v>
                </c:pt>
                <c:pt idx="755">
                  <c:v>-12.9364114389107</c:v>
                </c:pt>
                <c:pt idx="756">
                  <c:v>-12.9500988118298</c:v>
                </c:pt>
                <c:pt idx="757">
                  <c:v>-12.9637862232329</c:v>
                </c:pt>
                <c:pt idx="758">
                  <c:v>-12.9774736731198</c:v>
                </c:pt>
                <c:pt idx="759">
                  <c:v>-12.9911611614899</c:v>
                </c:pt>
                <c:pt idx="760">
                  <c:v>-13.0048486883428</c:v>
                </c:pt>
                <c:pt idx="761">
                  <c:v>-13.0185362536782</c:v>
                </c:pt>
                <c:pt idx="762">
                  <c:v>-13.0322238574956</c:v>
                </c:pt>
                <c:pt idx="763">
                  <c:v>-13.0459114997946</c:v>
                </c:pt>
                <c:pt idx="764">
                  <c:v>-13.0595991805749</c:v>
                </c:pt>
                <c:pt idx="765">
                  <c:v>-13.0732868998359</c:v>
                </c:pt>
                <c:pt idx="766">
                  <c:v>-13.0869746575773</c:v>
                </c:pt>
                <c:pt idx="767">
                  <c:v>-13.1006624537988</c:v>
                </c:pt>
                <c:pt idx="768">
                  <c:v>-13.1143502884998</c:v>
                </c:pt>
                <c:pt idx="769">
                  <c:v>-13.1280381616799</c:v>
                </c:pt>
                <c:pt idx="770">
                  <c:v>-13.1417260733388</c:v>
                </c:pt>
                <c:pt idx="771">
                  <c:v>-13.1554140234761</c:v>
                </c:pt>
                <c:pt idx="772">
                  <c:v>-13.1691020120913</c:v>
                </c:pt>
                <c:pt idx="773">
                  <c:v>-13.1827900391841</c:v>
                </c:pt>
                <c:pt idx="774">
                  <c:v>-13.1964781047539</c:v>
                </c:pt>
                <c:pt idx="775">
                  <c:v>-13.2101662088005</c:v>
                </c:pt>
                <c:pt idx="776">
                  <c:v>-13.2238543513234</c:v>
                </c:pt>
                <c:pt idx="777">
                  <c:v>-13.2375425323222</c:v>
                </c:pt>
                <c:pt idx="778">
                  <c:v>-13.2512307517964</c:v>
                </c:pt>
                <c:pt idx="779">
                  <c:v>-13.2649190097458</c:v>
                </c:pt>
                <c:pt idx="780">
                  <c:v>-13.2786073061698</c:v>
                </c:pt>
                <c:pt idx="781">
                  <c:v>-13.2922956410681</c:v>
                </c:pt>
                <c:pt idx="782">
                  <c:v>-13.3059840144402</c:v>
                </c:pt>
                <c:pt idx="783">
                  <c:v>-13.3196724262858</c:v>
                </c:pt>
                <c:pt idx="784">
                  <c:v>-13.3333608766044</c:v>
                </c:pt>
                <c:pt idx="785">
                  <c:v>-13.3470493653956</c:v>
                </c:pt>
                <c:pt idx="786">
                  <c:v>-13.3607378926591</c:v>
                </c:pt>
                <c:pt idx="787">
                  <c:v>-13.3744264583943</c:v>
                </c:pt>
                <c:pt idx="788">
                  <c:v>-13.388115062601</c:v>
                </c:pt>
                <c:pt idx="789">
                  <c:v>-13.4018037052786</c:v>
                </c:pt>
                <c:pt idx="790">
                  <c:v>-13.4154923864268</c:v>
                </c:pt>
                <c:pt idx="791">
                  <c:v>-13.4291811060452</c:v>
                </c:pt>
                <c:pt idx="792">
                  <c:v>-13.4428698641334</c:v>
                </c:pt>
                <c:pt idx="793">
                  <c:v>-13.4565586606909</c:v>
                </c:pt>
                <c:pt idx="794">
                  <c:v>-13.4702474957174</c:v>
                </c:pt>
                <c:pt idx="795">
                  <c:v>-13.4839363692124</c:v>
                </c:pt>
                <c:pt idx="796">
                  <c:v>-13.4976252811755</c:v>
                </c:pt>
                <c:pt idx="797">
                  <c:v>-13.5113142316064</c:v>
                </c:pt>
                <c:pt idx="798">
                  <c:v>-13.5250032205046</c:v>
                </c:pt>
                <c:pt idx="799">
                  <c:v>-13.5386922478696</c:v>
                </c:pt>
                <c:pt idx="800">
                  <c:v>-13.5523813137012</c:v>
                </c:pt>
                <c:pt idx="801">
                  <c:v>-13.5660704179989</c:v>
                </c:pt>
                <c:pt idx="802">
                  <c:v>-13.5797595607622</c:v>
                </c:pt>
                <c:pt idx="803">
                  <c:v>-13.5934487419908</c:v>
                </c:pt>
                <c:pt idx="804">
                  <c:v>-13.6071379616842</c:v>
                </c:pt>
                <c:pt idx="805">
                  <c:v>-13.6208272198421</c:v>
                </c:pt>
                <c:pt idx="806">
                  <c:v>-13.6345165164641</c:v>
                </c:pt>
                <c:pt idx="807">
                  <c:v>-13.6482058515496</c:v>
                </c:pt>
                <c:pt idx="808">
                  <c:v>-13.6618952250984</c:v>
                </c:pt>
                <c:pt idx="809">
                  <c:v>-13.6755846371101</c:v>
                </c:pt>
                <c:pt idx="810">
                  <c:v>-13.6892740875841</c:v>
                </c:pt>
                <c:pt idx="811">
                  <c:v>-13.7029635765201</c:v>
                </c:pt>
                <c:pt idx="812">
                  <c:v>-13.7166531039177</c:v>
                </c:pt>
                <c:pt idx="813">
                  <c:v>-13.7303426697765</c:v>
                </c:pt>
                <c:pt idx="814">
                  <c:v>-13.7440322740961</c:v>
                </c:pt>
                <c:pt idx="815">
                  <c:v>-13.757721916876</c:v>
                </c:pt>
                <c:pt idx="816">
                  <c:v>-13.7714115981159</c:v>
                </c:pt>
                <c:pt idx="817">
                  <c:v>-13.7851013178153</c:v>
                </c:pt>
                <c:pt idx="818">
                  <c:v>-13.7987910759738</c:v>
                </c:pt>
                <c:pt idx="819">
                  <c:v>-13.8124808725911</c:v>
                </c:pt>
                <c:pt idx="820">
                  <c:v>-13.8261707076667</c:v>
                </c:pt>
                <c:pt idx="821">
                  <c:v>-13.8398605812002</c:v>
                </c:pt>
                <c:pt idx="822">
                  <c:v>-13.8535504931912</c:v>
                </c:pt>
                <c:pt idx="823">
                  <c:v>-13.8672404436393</c:v>
                </c:pt>
                <c:pt idx="824">
                  <c:v>-13.8809304325441</c:v>
                </c:pt>
                <c:pt idx="825">
                  <c:v>-13.8946204599052</c:v>
                </c:pt>
                <c:pt idx="826">
                  <c:v>-13.9083105257221</c:v>
                </c:pt>
                <c:pt idx="827">
                  <c:v>-13.9220006299945</c:v>
                </c:pt>
                <c:pt idx="828">
                  <c:v>-13.9356907727219</c:v>
                </c:pt>
                <c:pt idx="829">
                  <c:v>-13.949380953904</c:v>
                </c:pt>
                <c:pt idx="830">
                  <c:v>-13.9630711735403</c:v>
                </c:pt>
                <c:pt idx="831">
                  <c:v>-13.9767614316305</c:v>
                </c:pt>
                <c:pt idx="832">
                  <c:v>-13.990451728174</c:v>
                </c:pt>
                <c:pt idx="833">
                  <c:v>-14.0041420631705</c:v>
                </c:pt>
                <c:pt idx="834">
                  <c:v>-14.0178324366197</c:v>
                </c:pt>
                <c:pt idx="835">
                  <c:v>-14.031522848521</c:v>
                </c:pt>
                <c:pt idx="836">
                  <c:v>-14.0452132988741</c:v>
                </c:pt>
                <c:pt idx="837">
                  <c:v>-14.0589037876786</c:v>
                </c:pt>
                <c:pt idx="838">
                  <c:v>-14.0725943149341</c:v>
                </c:pt>
                <c:pt idx="839">
                  <c:v>-14.08628488064</c:v>
                </c:pt>
                <c:pt idx="840">
                  <c:v>-14.0999754847962</c:v>
                </c:pt>
                <c:pt idx="841">
                  <c:v>-14.1136661274021</c:v>
                </c:pt>
                <c:pt idx="842">
                  <c:v>-14.1273568084573</c:v>
                </c:pt>
                <c:pt idx="843">
                  <c:v>-14.1410475279614</c:v>
                </c:pt>
                <c:pt idx="844">
                  <c:v>-14.154738285914</c:v>
                </c:pt>
                <c:pt idx="845">
                  <c:v>-14.1684290823147</c:v>
                </c:pt>
                <c:pt idx="846">
                  <c:v>-14.1821199171631</c:v>
                </c:pt>
                <c:pt idx="847">
                  <c:v>-14.1958107904588</c:v>
                </c:pt>
                <c:pt idx="848">
                  <c:v>-14.2095017022014</c:v>
                </c:pt>
                <c:pt idx="849">
                  <c:v>-14.2231926523905</c:v>
                </c:pt>
                <c:pt idx="850">
                  <c:v>-14.2368836410255</c:v>
                </c:pt>
                <c:pt idx="851">
                  <c:v>-14.2505746681063</c:v>
                </c:pt>
                <c:pt idx="852">
                  <c:v>-14.2642657336323</c:v>
                </c:pt>
                <c:pt idx="853">
                  <c:v>-14.2779568376031</c:v>
                </c:pt>
                <c:pt idx="854">
                  <c:v>-14.2916479800183</c:v>
                </c:pt>
                <c:pt idx="855">
                  <c:v>-14.3053391608776</c:v>
                </c:pt>
                <c:pt idx="856">
                  <c:v>-14.3190303801804</c:v>
                </c:pt>
                <c:pt idx="857">
                  <c:v>-14.3327216379265</c:v>
                </c:pt>
                <c:pt idx="858">
                  <c:v>-14.3464129341153</c:v>
                </c:pt>
                <c:pt idx="859">
                  <c:v>-14.3601042687465</c:v>
                </c:pt>
                <c:pt idx="860">
                  <c:v>-14.3737956418197</c:v>
                </c:pt>
                <c:pt idx="861">
                  <c:v>-14.3874870533344</c:v>
                </c:pt>
                <c:pt idx="862">
                  <c:v>-14.4011785032903</c:v>
                </c:pt>
                <c:pt idx="863">
                  <c:v>-14.414869991687</c:v>
                </c:pt>
                <c:pt idx="864">
                  <c:v>-14.428561518524</c:v>
                </c:pt>
                <c:pt idx="865">
                  <c:v>-14.4422530838009</c:v>
                </c:pt>
                <c:pt idx="866">
                  <c:v>-14.4559446875173</c:v>
                </c:pt>
                <c:pt idx="867">
                  <c:v>-14.4696363296728</c:v>
                </c:pt>
                <c:pt idx="868">
                  <c:v>-14.483328010267</c:v>
                </c:pt>
                <c:pt idx="869">
                  <c:v>-14.4970197292995</c:v>
                </c:pt>
                <c:pt idx="870">
                  <c:v>-14.5107114867699</c:v>
                </c:pt>
                <c:pt idx="871">
                  <c:v>-14.5244032826778</c:v>
                </c:pt>
                <c:pt idx="872">
                  <c:v>-14.5380951170228</c:v>
                </c:pt>
                <c:pt idx="873">
                  <c:v>-14.5517869898044</c:v>
                </c:pt>
                <c:pt idx="874">
                  <c:v>-14.5654789010222</c:v>
                </c:pt>
                <c:pt idx="875">
                  <c:v>-14.5791708506759</c:v>
                </c:pt>
                <c:pt idx="876">
                  <c:v>-14.592862838765</c:v>
                </c:pt>
                <c:pt idx="877">
                  <c:v>-14.6065548652891</c:v>
                </c:pt>
                <c:pt idx="878">
                  <c:v>-14.6202469302479</c:v>
                </c:pt>
                <c:pt idx="879">
                  <c:v>-14.6339390336408</c:v>
                </c:pt>
                <c:pt idx="880">
                  <c:v>-14.6476311754676</c:v>
                </c:pt>
                <c:pt idx="881">
                  <c:v>-14.6613233557277</c:v>
                </c:pt>
                <c:pt idx="882">
                  <c:v>-14.6750155744208</c:v>
                </c:pt>
                <c:pt idx="883">
                  <c:v>-14.6887078315465</c:v>
                </c:pt>
                <c:pt idx="884">
                  <c:v>-14.7024001271043</c:v>
                </c:pt>
                <c:pt idx="885">
                  <c:v>-14.7160924610939</c:v>
                </c:pt>
                <c:pt idx="886">
                  <c:v>-14.7297848335149</c:v>
                </c:pt>
                <c:pt idx="887">
                  <c:v>-14.7434772443668</c:v>
                </c:pt>
                <c:pt idx="888">
                  <c:v>-14.7571696936492</c:v>
                </c:pt>
                <c:pt idx="889">
                  <c:v>-14.7708621813617</c:v>
                </c:pt>
                <c:pt idx="890">
                  <c:v>-14.7845547075039</c:v>
                </c:pt>
                <c:pt idx="891">
                  <c:v>-14.7982472720754</c:v>
                </c:pt>
                <c:pt idx="892">
                  <c:v>-14.8119398750759</c:v>
                </c:pt>
                <c:pt idx="893">
                  <c:v>-14.8256325165048</c:v>
                </c:pt>
                <c:pt idx="894">
                  <c:v>-14.8393251963617</c:v>
                </c:pt>
                <c:pt idx="895">
                  <c:v>-14.8530179146464</c:v>
                </c:pt>
                <c:pt idx="896">
                  <c:v>-14.8667106713583</c:v>
                </c:pt>
                <c:pt idx="897">
                  <c:v>-14.880403466497</c:v>
                </c:pt>
                <c:pt idx="898">
                  <c:v>-14.8940963000622</c:v>
                </c:pt>
                <c:pt idx="899">
                  <c:v>-14.9077891720535</c:v>
                </c:pt>
                <c:pt idx="900">
                  <c:v>-14.9214820824703</c:v>
                </c:pt>
                <c:pt idx="901">
                  <c:v>-14.9351750313124</c:v>
                </c:pt>
                <c:pt idx="902">
                  <c:v>-14.9488680185792</c:v>
                </c:pt>
                <c:pt idx="903">
                  <c:v>-14.9625610442705</c:v>
                </c:pt>
                <c:pt idx="904">
                  <c:v>-14.9762541083857</c:v>
                </c:pt>
                <c:pt idx="905">
                  <c:v>-14.9899472109246</c:v>
                </c:pt>
                <c:pt idx="906">
                  <c:v>-15.0036403518866</c:v>
                </c:pt>
                <c:pt idx="907">
                  <c:v>-15.0173335312713</c:v>
                </c:pt>
                <c:pt idx="908">
                  <c:v>-15.0310267490784</c:v>
                </c:pt>
                <c:pt idx="909">
                  <c:v>-15.0447200053075</c:v>
                </c:pt>
                <c:pt idx="910">
                  <c:v>-15.0584132999581</c:v>
                </c:pt>
                <c:pt idx="911">
                  <c:v>-15.0721066330298</c:v>
                </c:pt>
                <c:pt idx="912">
                  <c:v>-15.0858000045222</c:v>
                </c:pt>
                <c:pt idx="913">
                  <c:v>-15.099493414435</c:v>
                </c:pt>
                <c:pt idx="914">
                  <c:v>-15.1131868627676</c:v>
                </c:pt>
                <c:pt idx="915">
                  <c:v>-15.1268803495198</c:v>
                </c:pt>
                <c:pt idx="916">
                  <c:v>-15.140573874691</c:v>
                </c:pt>
                <c:pt idx="917">
                  <c:v>-15.1542674382809</c:v>
                </c:pt>
                <c:pt idx="918">
                  <c:v>-15.1679610402891</c:v>
                </c:pt>
                <c:pt idx="919">
                  <c:v>-15.1816546807151</c:v>
                </c:pt>
                <c:pt idx="920">
                  <c:v>-15.1953483595586</c:v>
                </c:pt>
                <c:pt idx="921">
                  <c:v>-15.2090420768191</c:v>
                </c:pt>
                <c:pt idx="922">
                  <c:v>-15.2227358324963</c:v>
                </c:pt>
                <c:pt idx="923">
                  <c:v>-15.2364296265897</c:v>
                </c:pt>
                <c:pt idx="924">
                  <c:v>-15.2501234590989</c:v>
                </c:pt>
                <c:pt idx="925">
                  <c:v>-15.2638173300235</c:v>
                </c:pt>
                <c:pt idx="926">
                  <c:v>-15.2775112393631</c:v>
                </c:pt>
                <c:pt idx="927">
                  <c:v>-15.2912051871172</c:v>
                </c:pt>
                <c:pt idx="928">
                  <c:v>-15.3048991732856</c:v>
                </c:pt>
                <c:pt idx="929">
                  <c:v>-15.3185931978678</c:v>
                </c:pt>
                <c:pt idx="930">
                  <c:v>-15.3322872608633</c:v>
                </c:pt>
                <c:pt idx="931">
                  <c:v>-15.3459813622717</c:v>
                </c:pt>
                <c:pt idx="932">
                  <c:v>-15.3596755020927</c:v>
                </c:pt>
                <c:pt idx="933">
                  <c:v>-15.3733696803259</c:v>
                </c:pt>
                <c:pt idx="934">
                  <c:v>-15.3870638969708</c:v>
                </c:pt>
                <c:pt idx="935">
                  <c:v>-15.400758152027</c:v>
                </c:pt>
                <c:pt idx="936">
                  <c:v>-15.4144524454941</c:v>
                </c:pt>
                <c:pt idx="937">
                  <c:v>-15.4281467773717</c:v>
                </c:pt>
                <c:pt idx="938">
                  <c:v>-15.4418411476594</c:v>
                </c:pt>
                <c:pt idx="939">
                  <c:v>-15.4555355563568</c:v>
                </c:pt>
                <c:pt idx="940">
                  <c:v>-15.4692300034634</c:v>
                </c:pt>
                <c:pt idx="941">
                  <c:v>-15.482924488979</c:v>
                </c:pt>
                <c:pt idx="942">
                  <c:v>-15.496619012903</c:v>
                </c:pt>
                <c:pt idx="943">
                  <c:v>-15.510313575235</c:v>
                </c:pt>
                <c:pt idx="944">
                  <c:v>-15.5240081759747</c:v>
                </c:pt>
                <c:pt idx="945">
                  <c:v>-15.5377028151217</c:v>
                </c:pt>
                <c:pt idx="946">
                  <c:v>-15.5513974926754</c:v>
                </c:pt>
                <c:pt idx="947">
                  <c:v>-15.5650922086356</c:v>
                </c:pt>
                <c:pt idx="948">
                  <c:v>-15.5787869630018</c:v>
                </c:pt>
                <c:pt idx="949">
                  <c:v>-15.5924817557736</c:v>
                </c:pt>
                <c:pt idx="950">
                  <c:v>-15.6061765869505</c:v>
                </c:pt>
                <c:pt idx="951">
                  <c:v>-15.6198714565323</c:v>
                </c:pt>
                <c:pt idx="952">
                  <c:v>-15.6335663645184</c:v>
                </c:pt>
                <c:pt idx="953">
                  <c:v>-15.6472613109085</c:v>
                </c:pt>
                <c:pt idx="954">
                  <c:v>-15.6609562957022</c:v>
                </c:pt>
                <c:pt idx="955">
                  <c:v>-15.674651318899</c:v>
                </c:pt>
                <c:pt idx="956">
                  <c:v>-15.6883463804985</c:v>
                </c:pt>
                <c:pt idx="957">
                  <c:v>-15.7020414805004</c:v>
                </c:pt>
                <c:pt idx="958">
                  <c:v>-15.7157366189042</c:v>
                </c:pt>
                <c:pt idx="959">
                  <c:v>-15.7294317957095</c:v>
                </c:pt>
                <c:pt idx="960">
                  <c:v>-15.743127010916</c:v>
                </c:pt>
                <c:pt idx="961">
                  <c:v>-15.7568222645231</c:v>
                </c:pt>
                <c:pt idx="962">
                  <c:v>-15.7705175565305</c:v>
                </c:pt>
                <c:pt idx="963">
                  <c:v>-15.7842128869378</c:v>
                </c:pt>
                <c:pt idx="964">
                  <c:v>-15.7979082557445</c:v>
                </c:pt>
                <c:pt idx="965">
                  <c:v>-15.8116036629504</c:v>
                </c:pt>
                <c:pt idx="966">
                  <c:v>-15.8252991085548</c:v>
                </c:pt>
                <c:pt idx="967">
                  <c:v>-15.8389945925576</c:v>
                </c:pt>
                <c:pt idx="968">
                  <c:v>-15.8526901149581</c:v>
                </c:pt>
                <c:pt idx="969">
                  <c:v>-15.8663856757561</c:v>
                </c:pt>
                <c:pt idx="970">
                  <c:v>-15.8800812749511</c:v>
                </c:pt>
                <c:pt idx="971">
                  <c:v>-15.8937769125428</c:v>
                </c:pt>
                <c:pt idx="972">
                  <c:v>-15.9074725885306</c:v>
                </c:pt>
                <c:pt idx="973">
                  <c:v>-15.9211683029142</c:v>
                </c:pt>
                <c:pt idx="974">
                  <c:v>-15.9348640556932</c:v>
                </c:pt>
                <c:pt idx="975">
                  <c:v>-15.9485598468672</c:v>
                </c:pt>
                <c:pt idx="976">
                  <c:v>-15.9622556764358</c:v>
                </c:pt>
                <c:pt idx="977">
                  <c:v>-15.9759515443985</c:v>
                </c:pt>
                <c:pt idx="978">
                  <c:v>-15.989647450755</c:v>
                </c:pt>
                <c:pt idx="979">
                  <c:v>-16.0033433955048</c:v>
                </c:pt>
                <c:pt idx="980">
                  <c:v>-16.0170393786475</c:v>
                </c:pt>
                <c:pt idx="981">
                  <c:v>-16.0307354001828</c:v>
                </c:pt>
                <c:pt idx="982">
                  <c:v>-16.0444314601102</c:v>
                </c:pt>
                <c:pt idx="983">
                  <c:v>-16.0581275584293</c:v>
                </c:pt>
                <c:pt idx="984">
                  <c:v>-16.0718236951397</c:v>
                </c:pt>
                <c:pt idx="985">
                  <c:v>-16.085519870241</c:v>
                </c:pt>
                <c:pt idx="986">
                  <c:v>-16.0992160837328</c:v>
                </c:pt>
                <c:pt idx="987">
                  <c:v>-16.1129123356146</c:v>
                </c:pt>
                <c:pt idx="988">
                  <c:v>-16.1266086258862</c:v>
                </c:pt>
                <c:pt idx="989">
                  <c:v>-16.1403049545469</c:v>
                </c:pt>
                <c:pt idx="990">
                  <c:v>-16.1540013215966</c:v>
                </c:pt>
                <c:pt idx="991">
                  <c:v>-16.1676977270346</c:v>
                </c:pt>
                <c:pt idx="992">
                  <c:v>-16.1813941708607</c:v>
                </c:pt>
                <c:pt idx="993">
                  <c:v>-16.1950906530745</c:v>
                </c:pt>
                <c:pt idx="994">
                  <c:v>-16.2087871736754</c:v>
                </c:pt>
                <c:pt idx="995">
                  <c:v>-16.2224837326632</c:v>
                </c:pt>
                <c:pt idx="996">
                  <c:v>-16.2361803300373</c:v>
                </c:pt>
                <c:pt idx="997">
                  <c:v>-16.2498769657974</c:v>
                </c:pt>
                <c:pt idx="998">
                  <c:v>-16.2635736399432</c:v>
                </c:pt>
                <c:pt idx="999">
                  <c:v>-16.2772703524741</c:v>
                </c:pt>
                <c:pt idx="1000">
                  <c:v>-16.2909671033897</c:v>
                </c:pt>
              </c:numCache>
            </c:numRef>
          </c:yVal>
          <c:smooth val="1"/>
        </c:ser>
        <c:ser>
          <c:idx val="3"/>
          <c:order val="3"/>
          <c:tx>
            <c:strRef>
              <c:f>Trajecto!$B$108</c:f>
              <c:strCache>
                <c:ptCount val="1"/>
                <c:pt idx="0">
                  <c:v>Fusée sous parachute</c:v>
                </c:pt>
              </c:strCache>
            </c:strRef>
          </c:tx>
          <c:spPr>
            <a:solidFill>
              <a:srgbClr val="008000"/>
            </a:solidFill>
            <a:ln w="25560">
              <a:solidFill>
                <a:srgbClr val="008000"/>
              </a:solidFill>
              <a:round/>
            </a:ln>
          </c:spPr>
          <c:marker>
            <c:symbol val="none"/>
          </c:marker>
          <c:dPt>
            <c:idx val="1"/>
            <c:marker>
              <c:symbol val="none"/>
            </c:marker>
          </c:dPt>
          <c:dLbls>
            <c:dLbl>
              <c:idx val="1"/>
              <c:txPr>
                <a:bodyPr wrap="square"/>
                <a:lstStyle/>
                <a:p>
                  <a:pPr>
                    <a:defRPr b="1" sz="700" spc="-1" strike="noStrike">
                      <a:solidFill>
                        <a:srgbClr val="008000"/>
                      </a:solidFill>
                      <a:latin typeface="Arial"/>
                      <a:ea typeface="Arial"/>
                    </a:defRPr>
                  </a:pPr>
                </a:p>
              </c:txPr>
              <c:dLblPos val="t"/>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Trajecto!$B$131:$B$137</c:f>
              <c:numCache>
                <c:formatCode>General</c:formatCode>
                <c:ptCount val="7"/>
                <c:pt idx="0">
                  <c:v>16</c:v>
                </c:pt>
                <c:pt idx="1">
                  <c:v>100.957350007075</c:v>
                </c:pt>
                <c:pt idx="2">
                  <c:v>185.91470001415</c:v>
                </c:pt>
                <c:pt idx="3">
                  <c:v>184.436937688178</c:v>
                </c:pt>
                <c:pt idx="4">
                  <c:v>185.91470001415</c:v>
                </c:pt>
                <c:pt idx="5">
                  <c:v>180.866937688178</c:v>
                </c:pt>
                <c:pt idx="6">
                  <c:v>185.91470001415</c:v>
                </c:pt>
              </c:numCache>
            </c:numRef>
          </c:xVal>
          <c:yVal>
            <c:numRef>
              <c:f>Trajecto!$C$129:$C$135</c:f>
              <c:numCache>
                <c:formatCode>General</c:formatCode>
                <c:ptCount val="7"/>
                <c:pt idx="0">
                  <c:v>1414.34600412394</c:v>
                </c:pt>
                <c:pt idx="1">
                  <c:v>707.173002061972</c:v>
                </c:pt>
                <c:pt idx="2">
                  <c:v>0</c:v>
                </c:pt>
                <c:pt idx="3">
                  <c:v>39.8095841240571</c:v>
                </c:pt>
                <c:pt idx="4">
                  <c:v>0</c:v>
                </c:pt>
                <c:pt idx="5">
                  <c:v>14.8375224307329</c:v>
                </c:pt>
                <c:pt idx="6">
                  <c:v>0</c:v>
                </c:pt>
              </c:numCache>
            </c:numRef>
          </c:yVal>
          <c:smooth val="1"/>
        </c:ser>
        <c:ser>
          <c:idx val="4"/>
          <c:order val="4"/>
          <c:tx>
            <c:strRef>
              <c:f>Trajecto!$B$109</c:f>
              <c:strCache>
                <c:ptCount val="1"/>
                <c:pt idx="0">
                  <c:v/>
                </c:pt>
              </c:strCache>
            </c:strRef>
          </c:tx>
          <c:spPr>
            <a:solidFill>
              <a:srgbClr val="ff6600"/>
            </a:solidFill>
            <a:ln w="25560">
              <a:solidFill>
                <a:srgbClr val="ff6600"/>
              </a:solidFill>
              <a:round/>
            </a:ln>
          </c:spPr>
          <c:marker>
            <c:symbol val="none"/>
          </c:marker>
          <c:dPt>
            <c:idx val="1"/>
            <c:marker>
              <c:symbol val="none"/>
            </c:marker>
          </c:dPt>
          <c:dLbls>
            <c:dLbl>
              <c:idx val="1"/>
              <c:txPr>
                <a:bodyPr wrap="square"/>
                <a:lstStyle/>
                <a:p>
                  <a:pPr>
                    <a:defRPr b="1" sz="700" spc="-1" strike="noStrike">
                      <a:solidFill>
                        <a:srgbClr val="ff66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Trajecto!$B$148:$B$154</c:f>
              <c:numCache>
                <c:formatCode>General</c:formatCode>
                <c:ptCount val="7"/>
                <c:pt idx="0">
                  <c:v>0</c:v>
                </c:pt>
                <c:pt idx="1">
                  <c:v>0</c:v>
                </c:pt>
                <c:pt idx="2">
                  <c:v>0</c:v>
                </c:pt>
                <c:pt idx="3">
                  <c:v>0</c:v>
                </c:pt>
                <c:pt idx="4">
                  <c:v>0</c:v>
                </c:pt>
                <c:pt idx="5">
                  <c:v>0</c:v>
                </c:pt>
                <c:pt idx="6">
                  <c:v>0</c:v>
                </c:pt>
              </c:numCache>
            </c:numRef>
          </c:xVal>
          <c:yVal>
            <c:numRef>
              <c:f>Trajecto!$C$146:$C$152</c:f>
              <c:numCache>
                <c:formatCode>General</c:formatCode>
                <c:ptCount val="7"/>
                <c:pt idx="0">
                  <c:v>0</c:v>
                </c:pt>
                <c:pt idx="1">
                  <c:v>0</c:v>
                </c:pt>
                <c:pt idx="2">
                  <c:v>0</c:v>
                </c:pt>
                <c:pt idx="3">
                  <c:v>0</c:v>
                </c:pt>
                <c:pt idx="4">
                  <c:v>0</c:v>
                </c:pt>
                <c:pt idx="5">
                  <c:v>0</c:v>
                </c:pt>
                <c:pt idx="6">
                  <c:v>0</c:v>
                </c:pt>
              </c:numCache>
            </c:numRef>
          </c:yVal>
          <c:smooth val="1"/>
        </c:ser>
        <c:ser>
          <c:idx val="5"/>
          <c:order val="5"/>
          <c:tx>
            <c:strRef>
              <c:f>Trajecto!$B$106</c:f>
              <c:strCache>
                <c:ptCount val="1"/>
                <c:pt idx="0">
                  <c:v>Phase ascendante</c:v>
                </c:pt>
              </c:strCache>
            </c:strRef>
          </c:tx>
          <c:spPr>
            <a:solidFill>
              <a:srgbClr val="000080"/>
            </a:solidFill>
            <a:ln w="25560">
              <a:solidFill>
                <a:srgbClr val="00008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34.8000000000002</c:v>
                </c:pt>
                <c:pt idx="709">
                  <c:v>34.9000000000002</c:v>
                </c:pt>
                <c:pt idx="710">
                  <c:v>35.0000000000002</c:v>
                </c:pt>
                <c:pt idx="711">
                  <c:v>35.1000000000002</c:v>
                </c:pt>
                <c:pt idx="712">
                  <c:v>35.2000000000002</c:v>
                </c:pt>
                <c:pt idx="713">
                  <c:v>35.3000000000002</c:v>
                </c:pt>
                <c:pt idx="714">
                  <c:v>35.4000000000002</c:v>
                </c:pt>
                <c:pt idx="715">
                  <c:v>35.5000000000002</c:v>
                </c:pt>
                <c:pt idx="716">
                  <c:v>35.6000000000002</c:v>
                </c:pt>
                <c:pt idx="717">
                  <c:v>35.7000000000002</c:v>
                </c:pt>
                <c:pt idx="718">
                  <c:v>35.7001000000002</c:v>
                </c:pt>
                <c:pt idx="719">
                  <c:v>35.7002000000002</c:v>
                </c:pt>
                <c:pt idx="720">
                  <c:v>35.7003000000002</c:v>
                </c:pt>
                <c:pt idx="721">
                  <c:v>35.7004000000002</c:v>
                </c:pt>
                <c:pt idx="722">
                  <c:v>35.7005000000002</c:v>
                </c:pt>
                <c:pt idx="723">
                  <c:v>35.7006000000002</c:v>
                </c:pt>
                <c:pt idx="724">
                  <c:v>35.7007000000002</c:v>
                </c:pt>
                <c:pt idx="725">
                  <c:v>35.7008000000002</c:v>
                </c:pt>
                <c:pt idx="726">
                  <c:v>35.7009000000002</c:v>
                </c:pt>
                <c:pt idx="727">
                  <c:v>35.7010000000002</c:v>
                </c:pt>
                <c:pt idx="728">
                  <c:v>35.7011000000002</c:v>
                </c:pt>
                <c:pt idx="729">
                  <c:v>35.7012000000002</c:v>
                </c:pt>
                <c:pt idx="730">
                  <c:v>35.7013000000002</c:v>
                </c:pt>
                <c:pt idx="731">
                  <c:v>35.7014000000002</c:v>
                </c:pt>
                <c:pt idx="732">
                  <c:v>35.7015000000002</c:v>
                </c:pt>
                <c:pt idx="733">
                  <c:v>35.7016000000003</c:v>
                </c:pt>
                <c:pt idx="734">
                  <c:v>35.7017000000003</c:v>
                </c:pt>
                <c:pt idx="735">
                  <c:v>35.7018000000003</c:v>
                </c:pt>
                <c:pt idx="736">
                  <c:v>35.7019000000003</c:v>
                </c:pt>
                <c:pt idx="737">
                  <c:v>35.7020000000003</c:v>
                </c:pt>
                <c:pt idx="738">
                  <c:v>35.7021000000003</c:v>
                </c:pt>
                <c:pt idx="739">
                  <c:v>35.7022000000003</c:v>
                </c:pt>
                <c:pt idx="740">
                  <c:v>35.7023000000003</c:v>
                </c:pt>
                <c:pt idx="741">
                  <c:v>35.7024000000003</c:v>
                </c:pt>
                <c:pt idx="742">
                  <c:v>35.7025000000003</c:v>
                </c:pt>
                <c:pt idx="743">
                  <c:v>35.7026000000003</c:v>
                </c:pt>
                <c:pt idx="744">
                  <c:v>35.7027000000003</c:v>
                </c:pt>
                <c:pt idx="745">
                  <c:v>35.7028000000003</c:v>
                </c:pt>
                <c:pt idx="746">
                  <c:v>35.7029000000003</c:v>
                </c:pt>
                <c:pt idx="747">
                  <c:v>35.7030000000003</c:v>
                </c:pt>
                <c:pt idx="748">
                  <c:v>35.7031000000003</c:v>
                </c:pt>
                <c:pt idx="749">
                  <c:v>35.7032000000003</c:v>
                </c:pt>
                <c:pt idx="750">
                  <c:v>35.7033000000003</c:v>
                </c:pt>
                <c:pt idx="751">
                  <c:v>35.7034000000003</c:v>
                </c:pt>
                <c:pt idx="752">
                  <c:v>35.7035000000003</c:v>
                </c:pt>
                <c:pt idx="753">
                  <c:v>35.7036000000003</c:v>
                </c:pt>
                <c:pt idx="754">
                  <c:v>35.7037000000003</c:v>
                </c:pt>
                <c:pt idx="755">
                  <c:v>35.7038000000003</c:v>
                </c:pt>
                <c:pt idx="756">
                  <c:v>35.7039000000003</c:v>
                </c:pt>
                <c:pt idx="757">
                  <c:v>35.7040000000003</c:v>
                </c:pt>
                <c:pt idx="758">
                  <c:v>35.7041000000003</c:v>
                </c:pt>
                <c:pt idx="759">
                  <c:v>35.7042000000003</c:v>
                </c:pt>
                <c:pt idx="760">
                  <c:v>35.7043000000003</c:v>
                </c:pt>
                <c:pt idx="761">
                  <c:v>35.7044000000003</c:v>
                </c:pt>
                <c:pt idx="762">
                  <c:v>35.7045000000003</c:v>
                </c:pt>
                <c:pt idx="763">
                  <c:v>35.7046000000004</c:v>
                </c:pt>
                <c:pt idx="764">
                  <c:v>35.7047000000004</c:v>
                </c:pt>
                <c:pt idx="765">
                  <c:v>35.7048000000004</c:v>
                </c:pt>
                <c:pt idx="766">
                  <c:v>35.7049000000004</c:v>
                </c:pt>
                <c:pt idx="767">
                  <c:v>35.7050000000004</c:v>
                </c:pt>
                <c:pt idx="768">
                  <c:v>35.7051000000004</c:v>
                </c:pt>
                <c:pt idx="769">
                  <c:v>35.7052000000004</c:v>
                </c:pt>
                <c:pt idx="770">
                  <c:v>35.7053000000004</c:v>
                </c:pt>
                <c:pt idx="771">
                  <c:v>35.7054000000004</c:v>
                </c:pt>
                <c:pt idx="772">
                  <c:v>35.7055000000004</c:v>
                </c:pt>
                <c:pt idx="773">
                  <c:v>35.7056000000004</c:v>
                </c:pt>
                <c:pt idx="774">
                  <c:v>35.7057000000004</c:v>
                </c:pt>
                <c:pt idx="775">
                  <c:v>35.7058000000004</c:v>
                </c:pt>
                <c:pt idx="776">
                  <c:v>35.7059000000004</c:v>
                </c:pt>
                <c:pt idx="777">
                  <c:v>35.7060000000004</c:v>
                </c:pt>
                <c:pt idx="778">
                  <c:v>35.7061000000004</c:v>
                </c:pt>
                <c:pt idx="779">
                  <c:v>35.7062000000004</c:v>
                </c:pt>
                <c:pt idx="780">
                  <c:v>35.7063000000004</c:v>
                </c:pt>
                <c:pt idx="781">
                  <c:v>35.7064000000004</c:v>
                </c:pt>
                <c:pt idx="782">
                  <c:v>35.7065000000004</c:v>
                </c:pt>
                <c:pt idx="783">
                  <c:v>35.7066000000004</c:v>
                </c:pt>
                <c:pt idx="784">
                  <c:v>35.7067000000004</c:v>
                </c:pt>
                <c:pt idx="785">
                  <c:v>35.7068000000004</c:v>
                </c:pt>
                <c:pt idx="786">
                  <c:v>35.7069000000004</c:v>
                </c:pt>
                <c:pt idx="787">
                  <c:v>35.7070000000004</c:v>
                </c:pt>
                <c:pt idx="788">
                  <c:v>35.7071000000004</c:v>
                </c:pt>
                <c:pt idx="789">
                  <c:v>35.7072000000004</c:v>
                </c:pt>
                <c:pt idx="790">
                  <c:v>35.7073000000004</c:v>
                </c:pt>
                <c:pt idx="791">
                  <c:v>35.7074000000004</c:v>
                </c:pt>
                <c:pt idx="792">
                  <c:v>35.7075000000004</c:v>
                </c:pt>
                <c:pt idx="793">
                  <c:v>35.7076000000005</c:v>
                </c:pt>
                <c:pt idx="794">
                  <c:v>35.7077000000005</c:v>
                </c:pt>
                <c:pt idx="795">
                  <c:v>35.7078000000005</c:v>
                </c:pt>
                <c:pt idx="796">
                  <c:v>35.7079000000005</c:v>
                </c:pt>
                <c:pt idx="797">
                  <c:v>35.7080000000005</c:v>
                </c:pt>
                <c:pt idx="798">
                  <c:v>35.7081000000005</c:v>
                </c:pt>
                <c:pt idx="799">
                  <c:v>35.7082000000005</c:v>
                </c:pt>
                <c:pt idx="800">
                  <c:v>35.7083000000005</c:v>
                </c:pt>
                <c:pt idx="801">
                  <c:v>35.7084000000005</c:v>
                </c:pt>
                <c:pt idx="802">
                  <c:v>35.7085000000005</c:v>
                </c:pt>
                <c:pt idx="803">
                  <c:v>35.7086000000005</c:v>
                </c:pt>
                <c:pt idx="804">
                  <c:v>35.7087000000005</c:v>
                </c:pt>
                <c:pt idx="805">
                  <c:v>35.7088000000005</c:v>
                </c:pt>
                <c:pt idx="806">
                  <c:v>35.7089000000005</c:v>
                </c:pt>
                <c:pt idx="807">
                  <c:v>35.7090000000005</c:v>
                </c:pt>
                <c:pt idx="808">
                  <c:v>35.7091000000005</c:v>
                </c:pt>
                <c:pt idx="809">
                  <c:v>35.7092000000005</c:v>
                </c:pt>
                <c:pt idx="810">
                  <c:v>35.7093000000005</c:v>
                </c:pt>
                <c:pt idx="811">
                  <c:v>35.7094000000005</c:v>
                </c:pt>
                <c:pt idx="812">
                  <c:v>35.7095000000005</c:v>
                </c:pt>
                <c:pt idx="813">
                  <c:v>35.7096000000005</c:v>
                </c:pt>
                <c:pt idx="814">
                  <c:v>35.7097000000005</c:v>
                </c:pt>
                <c:pt idx="815">
                  <c:v>35.7098000000005</c:v>
                </c:pt>
                <c:pt idx="816">
                  <c:v>35.7099000000005</c:v>
                </c:pt>
                <c:pt idx="817">
                  <c:v>35.7100000000005</c:v>
                </c:pt>
                <c:pt idx="818">
                  <c:v>35.7101000000005</c:v>
                </c:pt>
                <c:pt idx="819">
                  <c:v>35.7102000000005</c:v>
                </c:pt>
                <c:pt idx="820">
                  <c:v>35.7103000000005</c:v>
                </c:pt>
                <c:pt idx="821">
                  <c:v>35.7104000000005</c:v>
                </c:pt>
                <c:pt idx="822">
                  <c:v>35.7105000000005</c:v>
                </c:pt>
                <c:pt idx="823">
                  <c:v>35.7106000000006</c:v>
                </c:pt>
                <c:pt idx="824">
                  <c:v>35.7107000000006</c:v>
                </c:pt>
                <c:pt idx="825">
                  <c:v>35.7108000000006</c:v>
                </c:pt>
                <c:pt idx="826">
                  <c:v>35.7109000000006</c:v>
                </c:pt>
                <c:pt idx="827">
                  <c:v>35.7110000000006</c:v>
                </c:pt>
                <c:pt idx="828">
                  <c:v>35.7111000000006</c:v>
                </c:pt>
                <c:pt idx="829">
                  <c:v>35.7112000000006</c:v>
                </c:pt>
                <c:pt idx="830">
                  <c:v>35.7113000000006</c:v>
                </c:pt>
                <c:pt idx="831">
                  <c:v>35.7114000000006</c:v>
                </c:pt>
                <c:pt idx="832">
                  <c:v>35.7115000000006</c:v>
                </c:pt>
                <c:pt idx="833">
                  <c:v>35.7116000000006</c:v>
                </c:pt>
                <c:pt idx="834">
                  <c:v>35.7117000000006</c:v>
                </c:pt>
                <c:pt idx="835">
                  <c:v>35.7118000000006</c:v>
                </c:pt>
                <c:pt idx="836">
                  <c:v>35.7119000000006</c:v>
                </c:pt>
                <c:pt idx="837">
                  <c:v>35.7120000000006</c:v>
                </c:pt>
                <c:pt idx="838">
                  <c:v>35.7121000000006</c:v>
                </c:pt>
                <c:pt idx="839">
                  <c:v>35.7122000000006</c:v>
                </c:pt>
                <c:pt idx="840">
                  <c:v>35.7123000000006</c:v>
                </c:pt>
                <c:pt idx="841">
                  <c:v>35.7124000000006</c:v>
                </c:pt>
                <c:pt idx="842">
                  <c:v>35.7125000000006</c:v>
                </c:pt>
                <c:pt idx="843">
                  <c:v>35.7126000000006</c:v>
                </c:pt>
                <c:pt idx="844">
                  <c:v>35.7127000000006</c:v>
                </c:pt>
                <c:pt idx="845">
                  <c:v>35.7128000000006</c:v>
                </c:pt>
                <c:pt idx="846">
                  <c:v>35.7129000000006</c:v>
                </c:pt>
                <c:pt idx="847">
                  <c:v>35.7130000000006</c:v>
                </c:pt>
                <c:pt idx="848">
                  <c:v>35.7131000000006</c:v>
                </c:pt>
                <c:pt idx="849">
                  <c:v>35.7132000000006</c:v>
                </c:pt>
                <c:pt idx="850">
                  <c:v>35.7133000000006</c:v>
                </c:pt>
                <c:pt idx="851">
                  <c:v>35.7134000000006</c:v>
                </c:pt>
                <c:pt idx="852">
                  <c:v>35.7135000000006</c:v>
                </c:pt>
                <c:pt idx="853">
                  <c:v>35.7136000000006</c:v>
                </c:pt>
                <c:pt idx="854">
                  <c:v>35.7137000000007</c:v>
                </c:pt>
                <c:pt idx="855">
                  <c:v>35.7138000000007</c:v>
                </c:pt>
                <c:pt idx="856">
                  <c:v>35.7139000000007</c:v>
                </c:pt>
                <c:pt idx="857">
                  <c:v>35.7140000000007</c:v>
                </c:pt>
                <c:pt idx="858">
                  <c:v>35.7141000000007</c:v>
                </c:pt>
                <c:pt idx="859">
                  <c:v>35.7142000000007</c:v>
                </c:pt>
                <c:pt idx="860">
                  <c:v>35.7143000000007</c:v>
                </c:pt>
                <c:pt idx="861">
                  <c:v>35.7144000000007</c:v>
                </c:pt>
                <c:pt idx="862">
                  <c:v>35.7145000000007</c:v>
                </c:pt>
                <c:pt idx="863">
                  <c:v>35.7146000000007</c:v>
                </c:pt>
                <c:pt idx="864">
                  <c:v>35.7147000000007</c:v>
                </c:pt>
                <c:pt idx="865">
                  <c:v>35.7148000000007</c:v>
                </c:pt>
                <c:pt idx="866">
                  <c:v>35.7149000000007</c:v>
                </c:pt>
                <c:pt idx="867">
                  <c:v>35.7150000000007</c:v>
                </c:pt>
                <c:pt idx="868">
                  <c:v>35.7151000000007</c:v>
                </c:pt>
                <c:pt idx="869">
                  <c:v>35.7152000000007</c:v>
                </c:pt>
                <c:pt idx="870">
                  <c:v>35.7153000000007</c:v>
                </c:pt>
                <c:pt idx="871">
                  <c:v>35.7154000000007</c:v>
                </c:pt>
                <c:pt idx="872">
                  <c:v>35.7155000000007</c:v>
                </c:pt>
                <c:pt idx="873">
                  <c:v>35.7156000000007</c:v>
                </c:pt>
                <c:pt idx="874">
                  <c:v>35.7157000000007</c:v>
                </c:pt>
                <c:pt idx="875">
                  <c:v>35.7158000000007</c:v>
                </c:pt>
                <c:pt idx="876">
                  <c:v>35.7159000000007</c:v>
                </c:pt>
                <c:pt idx="877">
                  <c:v>35.7160000000007</c:v>
                </c:pt>
                <c:pt idx="878">
                  <c:v>35.7161000000007</c:v>
                </c:pt>
                <c:pt idx="879">
                  <c:v>35.7162000000007</c:v>
                </c:pt>
                <c:pt idx="880">
                  <c:v>35.7163000000007</c:v>
                </c:pt>
                <c:pt idx="881">
                  <c:v>35.7164000000007</c:v>
                </c:pt>
                <c:pt idx="882">
                  <c:v>35.7165000000007</c:v>
                </c:pt>
                <c:pt idx="883">
                  <c:v>35.7166000000007</c:v>
                </c:pt>
                <c:pt idx="884">
                  <c:v>35.7167000000008</c:v>
                </c:pt>
                <c:pt idx="885">
                  <c:v>35.7168000000008</c:v>
                </c:pt>
                <c:pt idx="886">
                  <c:v>35.7169000000008</c:v>
                </c:pt>
                <c:pt idx="887">
                  <c:v>35.7170000000008</c:v>
                </c:pt>
                <c:pt idx="888">
                  <c:v>35.7171000000008</c:v>
                </c:pt>
                <c:pt idx="889">
                  <c:v>35.7172000000008</c:v>
                </c:pt>
                <c:pt idx="890">
                  <c:v>35.7173000000008</c:v>
                </c:pt>
                <c:pt idx="891">
                  <c:v>35.7174000000008</c:v>
                </c:pt>
                <c:pt idx="892">
                  <c:v>35.7175000000008</c:v>
                </c:pt>
                <c:pt idx="893">
                  <c:v>35.7176000000008</c:v>
                </c:pt>
                <c:pt idx="894">
                  <c:v>35.7177000000008</c:v>
                </c:pt>
                <c:pt idx="895">
                  <c:v>35.7178000000008</c:v>
                </c:pt>
                <c:pt idx="896">
                  <c:v>35.7179000000008</c:v>
                </c:pt>
                <c:pt idx="897">
                  <c:v>35.7180000000008</c:v>
                </c:pt>
                <c:pt idx="898">
                  <c:v>35.7181000000008</c:v>
                </c:pt>
                <c:pt idx="899">
                  <c:v>35.7182000000008</c:v>
                </c:pt>
                <c:pt idx="900">
                  <c:v>35.7183000000008</c:v>
                </c:pt>
                <c:pt idx="901">
                  <c:v>35.7184000000008</c:v>
                </c:pt>
                <c:pt idx="902">
                  <c:v>35.7185000000008</c:v>
                </c:pt>
                <c:pt idx="903">
                  <c:v>35.7186000000008</c:v>
                </c:pt>
                <c:pt idx="904">
                  <c:v>35.7187000000008</c:v>
                </c:pt>
                <c:pt idx="905">
                  <c:v>35.7188000000008</c:v>
                </c:pt>
                <c:pt idx="906">
                  <c:v>35.7189000000008</c:v>
                </c:pt>
                <c:pt idx="907">
                  <c:v>35.7190000000008</c:v>
                </c:pt>
                <c:pt idx="908">
                  <c:v>35.7191000000008</c:v>
                </c:pt>
                <c:pt idx="909">
                  <c:v>35.7192000000008</c:v>
                </c:pt>
                <c:pt idx="910">
                  <c:v>35.7193000000008</c:v>
                </c:pt>
                <c:pt idx="911">
                  <c:v>35.7194000000008</c:v>
                </c:pt>
                <c:pt idx="912">
                  <c:v>35.7195000000008</c:v>
                </c:pt>
                <c:pt idx="913">
                  <c:v>35.7196000000008</c:v>
                </c:pt>
                <c:pt idx="914">
                  <c:v>35.7197000000009</c:v>
                </c:pt>
                <c:pt idx="915">
                  <c:v>35.7198000000009</c:v>
                </c:pt>
                <c:pt idx="916">
                  <c:v>35.7199000000009</c:v>
                </c:pt>
                <c:pt idx="917">
                  <c:v>35.7200000000009</c:v>
                </c:pt>
                <c:pt idx="918">
                  <c:v>35.7201000000009</c:v>
                </c:pt>
                <c:pt idx="919">
                  <c:v>35.7202000000009</c:v>
                </c:pt>
                <c:pt idx="920">
                  <c:v>35.7203000000009</c:v>
                </c:pt>
                <c:pt idx="921">
                  <c:v>35.7204000000009</c:v>
                </c:pt>
                <c:pt idx="922">
                  <c:v>35.7205000000009</c:v>
                </c:pt>
                <c:pt idx="923">
                  <c:v>35.7206000000009</c:v>
                </c:pt>
                <c:pt idx="924">
                  <c:v>35.7207000000009</c:v>
                </c:pt>
                <c:pt idx="925">
                  <c:v>35.7208000000009</c:v>
                </c:pt>
                <c:pt idx="926">
                  <c:v>35.7209000000009</c:v>
                </c:pt>
                <c:pt idx="927">
                  <c:v>35.7210000000009</c:v>
                </c:pt>
                <c:pt idx="928">
                  <c:v>35.7211000000009</c:v>
                </c:pt>
                <c:pt idx="929">
                  <c:v>35.7212000000009</c:v>
                </c:pt>
                <c:pt idx="930">
                  <c:v>35.7213000000009</c:v>
                </c:pt>
                <c:pt idx="931">
                  <c:v>35.7214000000009</c:v>
                </c:pt>
                <c:pt idx="932">
                  <c:v>35.7215000000009</c:v>
                </c:pt>
                <c:pt idx="933">
                  <c:v>35.7216000000009</c:v>
                </c:pt>
                <c:pt idx="934">
                  <c:v>35.7217000000009</c:v>
                </c:pt>
                <c:pt idx="935">
                  <c:v>35.7218000000009</c:v>
                </c:pt>
                <c:pt idx="936">
                  <c:v>35.7219000000009</c:v>
                </c:pt>
                <c:pt idx="937">
                  <c:v>35.7220000000009</c:v>
                </c:pt>
                <c:pt idx="938">
                  <c:v>35.7221000000009</c:v>
                </c:pt>
                <c:pt idx="939">
                  <c:v>35.7222000000009</c:v>
                </c:pt>
                <c:pt idx="940">
                  <c:v>35.7223000000009</c:v>
                </c:pt>
                <c:pt idx="941">
                  <c:v>35.7224000000009</c:v>
                </c:pt>
                <c:pt idx="942">
                  <c:v>35.7225000000009</c:v>
                </c:pt>
                <c:pt idx="943">
                  <c:v>35.7226000000009</c:v>
                </c:pt>
                <c:pt idx="944">
                  <c:v>35.722700000001</c:v>
                </c:pt>
                <c:pt idx="945">
                  <c:v>35.722800000001</c:v>
                </c:pt>
                <c:pt idx="946">
                  <c:v>35.722900000001</c:v>
                </c:pt>
                <c:pt idx="947">
                  <c:v>35.723000000001</c:v>
                </c:pt>
                <c:pt idx="948">
                  <c:v>35.723100000001</c:v>
                </c:pt>
                <c:pt idx="949">
                  <c:v>35.723200000001</c:v>
                </c:pt>
                <c:pt idx="950">
                  <c:v>35.723300000001</c:v>
                </c:pt>
                <c:pt idx="951">
                  <c:v>35.723400000001</c:v>
                </c:pt>
                <c:pt idx="952">
                  <c:v>35.723500000001</c:v>
                </c:pt>
                <c:pt idx="953">
                  <c:v>35.723600000001</c:v>
                </c:pt>
                <c:pt idx="954">
                  <c:v>35.723700000001</c:v>
                </c:pt>
                <c:pt idx="955">
                  <c:v>35.723800000001</c:v>
                </c:pt>
                <c:pt idx="956">
                  <c:v>35.723900000001</c:v>
                </c:pt>
                <c:pt idx="957">
                  <c:v>35.724000000001</c:v>
                </c:pt>
                <c:pt idx="958">
                  <c:v>35.724100000001</c:v>
                </c:pt>
                <c:pt idx="959">
                  <c:v>35.724200000001</c:v>
                </c:pt>
                <c:pt idx="960">
                  <c:v>35.724300000001</c:v>
                </c:pt>
                <c:pt idx="961">
                  <c:v>35.724400000001</c:v>
                </c:pt>
                <c:pt idx="962">
                  <c:v>35.724500000001</c:v>
                </c:pt>
                <c:pt idx="963">
                  <c:v>35.724600000001</c:v>
                </c:pt>
                <c:pt idx="964">
                  <c:v>35.724700000001</c:v>
                </c:pt>
                <c:pt idx="965">
                  <c:v>35.724800000001</c:v>
                </c:pt>
                <c:pt idx="966">
                  <c:v>35.724900000001</c:v>
                </c:pt>
                <c:pt idx="967">
                  <c:v>35.725000000001</c:v>
                </c:pt>
                <c:pt idx="968">
                  <c:v>35.725100000001</c:v>
                </c:pt>
                <c:pt idx="969">
                  <c:v>35.725200000001</c:v>
                </c:pt>
                <c:pt idx="970">
                  <c:v>35.725300000001</c:v>
                </c:pt>
                <c:pt idx="971">
                  <c:v>35.725400000001</c:v>
                </c:pt>
                <c:pt idx="972">
                  <c:v>35.725500000001</c:v>
                </c:pt>
                <c:pt idx="973">
                  <c:v>35.725600000001</c:v>
                </c:pt>
                <c:pt idx="974">
                  <c:v>35.7257000000011</c:v>
                </c:pt>
                <c:pt idx="975">
                  <c:v>35.7258000000011</c:v>
                </c:pt>
                <c:pt idx="976">
                  <c:v>35.7259000000011</c:v>
                </c:pt>
                <c:pt idx="977">
                  <c:v>35.7260000000011</c:v>
                </c:pt>
                <c:pt idx="978">
                  <c:v>35.7261000000011</c:v>
                </c:pt>
                <c:pt idx="979">
                  <c:v>35.7262000000011</c:v>
                </c:pt>
                <c:pt idx="980">
                  <c:v>35.7263000000011</c:v>
                </c:pt>
                <c:pt idx="981">
                  <c:v>35.7264000000011</c:v>
                </c:pt>
                <c:pt idx="982">
                  <c:v>35.7265000000011</c:v>
                </c:pt>
                <c:pt idx="983">
                  <c:v>35.7266000000011</c:v>
                </c:pt>
                <c:pt idx="984">
                  <c:v>35.7267000000011</c:v>
                </c:pt>
                <c:pt idx="985">
                  <c:v>35.7268000000011</c:v>
                </c:pt>
                <c:pt idx="986">
                  <c:v>35.7269000000011</c:v>
                </c:pt>
                <c:pt idx="987">
                  <c:v>35.7270000000011</c:v>
                </c:pt>
                <c:pt idx="988">
                  <c:v>35.7271000000011</c:v>
                </c:pt>
                <c:pt idx="989">
                  <c:v>35.7272000000011</c:v>
                </c:pt>
                <c:pt idx="990">
                  <c:v>35.7273000000011</c:v>
                </c:pt>
                <c:pt idx="991">
                  <c:v>35.7274000000011</c:v>
                </c:pt>
                <c:pt idx="992">
                  <c:v>35.7275000000011</c:v>
                </c:pt>
                <c:pt idx="993">
                  <c:v>35.7276000000011</c:v>
                </c:pt>
                <c:pt idx="994">
                  <c:v>35.7277000000011</c:v>
                </c:pt>
                <c:pt idx="995">
                  <c:v>35.7278000000011</c:v>
                </c:pt>
                <c:pt idx="996">
                  <c:v>35.7279000000011</c:v>
                </c:pt>
                <c:pt idx="997">
                  <c:v>35.7280000000011</c:v>
                </c:pt>
                <c:pt idx="998">
                  <c:v>35.7281000000011</c:v>
                </c:pt>
                <c:pt idx="999">
                  <c:v>35.7282000000011</c:v>
                </c:pt>
                <c:pt idx="1000">
                  <c:v>35.7283000000011</c:v>
                </c:pt>
              </c:numCache>
            </c:numRef>
          </c:xVal>
          <c:yVal>
            <c:numRef>
              <c:f>Calculs!$AE$4:$AE$1004</c:f>
              <c:numCache>
                <c:formatCode>General</c:formatCode>
                <c:ptCount val="1001"/>
                <c:pt idx="0">
                  <c:v>0</c:v>
                </c:pt>
                <c:pt idx="1">
                  <c:v>0</c:v>
                </c:pt>
                <c:pt idx="2">
                  <c:v>0.000886599299514683</c:v>
                </c:pt>
                <c:pt idx="3">
                  <c:v>0.00445512822990102</c:v>
                </c:pt>
                <c:pt idx="4">
                  <c:v>0.0125237609457696</c:v>
                </c:pt>
                <c:pt idx="5">
                  <c:v>0.0269123436636311</c:v>
                </c:pt>
                <c:pt idx="6">
                  <c:v>0.0489825233463651</c:v>
                </c:pt>
                <c:pt idx="7">
                  <c:v>0.0791768355144557</c:v>
                </c:pt>
                <c:pt idx="8">
                  <c:v>0.117477831691603</c:v>
                </c:pt>
                <c:pt idx="9">
                  <c:v>0.163867999950866</c:v>
                </c:pt>
                <c:pt idx="10">
                  <c:v>0.218329765130187</c:v>
                </c:pt>
                <c:pt idx="11">
                  <c:v>0.28084548904954</c:v>
                </c:pt>
                <c:pt idx="12">
                  <c:v>0.351397470729712</c:v>
                </c:pt>
                <c:pt idx="13">
                  <c:v>0.429967946612676</c:v>
                </c:pt>
                <c:pt idx="14">
                  <c:v>0.516539090783578</c:v>
                </c:pt>
                <c:pt idx="15">
                  <c:v>0.61109301519429</c:v>
                </c:pt>
                <c:pt idx="16">
                  <c:v>0.713611769888542</c:v>
                </c:pt>
                <c:pt idx="17">
                  <c:v>0.824077343228604</c:v>
                </c:pt>
                <c:pt idx="18">
                  <c:v>0.942471662123513</c:v>
                </c:pt>
                <c:pt idx="19">
                  <c:v>1.06877659225883</c:v>
                </c:pt>
                <c:pt idx="20">
                  <c:v>1.20297393832791</c:v>
                </c:pt>
                <c:pt idx="21">
                  <c:v>1.34504544426469</c:v>
                </c:pt>
                <c:pt idx="22">
                  <c:v>1.4949727934779</c:v>
                </c:pt>
                <c:pt idx="23">
                  <c:v>1.65273760908688</c:v>
                </c:pt>
                <c:pt idx="24">
                  <c:v>1.81832145415871</c:v>
                </c:pt>
                <c:pt idx="25">
                  <c:v>1.99170583194687</c:v>
                </c:pt>
                <c:pt idx="26">
                  <c:v>2.17287218613136</c:v>
                </c:pt>
                <c:pt idx="27">
                  <c:v>2.36180190106013</c:v>
                </c:pt>
                <c:pt idx="28">
                  <c:v>2.55847630199202</c:v>
                </c:pt>
                <c:pt idx="29">
                  <c:v>2.76287665534105</c:v>
                </c:pt>
                <c:pt idx="30">
                  <c:v>2.97498416892209</c:v>
                </c:pt>
                <c:pt idx="31">
                  <c:v>3.19477999219785</c:v>
                </c:pt>
                <c:pt idx="32">
                  <c:v>3.42224521652733</c:v>
                </c:pt>
                <c:pt idx="33">
                  <c:v>3.65736087541546</c:v>
                </c:pt>
                <c:pt idx="34">
                  <c:v>3.90010794476418</c:v>
                </c:pt>
                <c:pt idx="35">
                  <c:v>4.15046734312471</c:v>
                </c:pt>
                <c:pt idx="36">
                  <c:v>4.40840513511947</c:v>
                </c:pt>
                <c:pt idx="37">
                  <c:v>4.67388685351736</c:v>
                </c:pt>
                <c:pt idx="38">
                  <c:v>4.94689230160397</c:v>
                </c:pt>
                <c:pt idx="39">
                  <c:v>5.22740124334607</c:v>
                </c:pt>
                <c:pt idx="40">
                  <c:v>5.51539340956389</c:v>
                </c:pt>
                <c:pt idx="41">
                  <c:v>5.8108484971669</c:v>
                </c:pt>
                <c:pt idx="42">
                  <c:v>6.11374616846535</c:v>
                </c:pt>
                <c:pt idx="43">
                  <c:v>6.42406605055037</c:v>
                </c:pt>
                <c:pt idx="44">
                  <c:v>6.7417877347362</c:v>
                </c:pt>
                <c:pt idx="45">
                  <c:v>7.06689077605901</c:v>
                </c:pt>
                <c:pt idx="46">
                  <c:v>7.39935469282721</c:v>
                </c:pt>
                <c:pt idx="47">
                  <c:v>7.73915896621884</c:v>
                </c:pt>
                <c:pt idx="48">
                  <c:v>8.08628303992209</c:v>
                </c:pt>
                <c:pt idx="49">
                  <c:v>8.44070631981545</c:v>
                </c:pt>
                <c:pt idx="50">
                  <c:v>8.80240817368416</c:v>
                </c:pt>
                <c:pt idx="51">
                  <c:v>9.17137034682917</c:v>
                </c:pt>
                <c:pt idx="52">
                  <c:v>9.54757938061544</c:v>
                </c:pt>
                <c:pt idx="53">
                  <c:v>9.93102420059173</c:v>
                </c:pt>
                <c:pt idx="54">
                  <c:v>10.321693701672</c:v>
                </c:pt>
                <c:pt idx="55">
                  <c:v>10.7195767478822</c:v>
                </c:pt>
                <c:pt idx="56">
                  <c:v>11.1246621721265</c:v>
                </c:pt>
                <c:pt idx="57">
                  <c:v>11.5369387759725</c:v>
                </c:pt>
                <c:pt idx="58">
                  <c:v>11.9563953294543</c:v>
                </c:pt>
                <c:pt idx="59">
                  <c:v>12.3830205708915</c:v>
                </c:pt>
                <c:pt idx="60">
                  <c:v>12.816803206723</c:v>
                </c:pt>
                <c:pt idx="61">
                  <c:v>13.2577319113566</c:v>
                </c:pt>
                <c:pt idx="62">
                  <c:v>13.7057953270311</c:v>
                </c:pt>
                <c:pt idx="63">
                  <c:v>14.1609820636909</c:v>
                </c:pt>
                <c:pt idx="64">
                  <c:v>14.623280698874</c:v>
                </c:pt>
                <c:pt idx="65">
                  <c:v>15.0926797776097</c:v>
                </c:pt>
                <c:pt idx="66">
                  <c:v>15.569167812328</c:v>
                </c:pt>
                <c:pt idx="67">
                  <c:v>16.0527332827793</c:v>
                </c:pt>
                <c:pt idx="68">
                  <c:v>16.5433646359626</c:v>
                </c:pt>
                <c:pt idx="69">
                  <c:v>17.0410502860639</c:v>
                </c:pt>
                <c:pt idx="70">
                  <c:v>17.545778614403</c:v>
                </c:pt>
                <c:pt idx="71">
                  <c:v>18.0575379693877</c:v>
                </c:pt>
                <c:pt idx="72">
                  <c:v>18.576316666477</c:v>
                </c:pt>
                <c:pt idx="73">
                  <c:v>19.1021029881506</c:v>
                </c:pt>
                <c:pt idx="74">
                  <c:v>19.6348851838865</c:v>
                </c:pt>
                <c:pt idx="75">
                  <c:v>20.1746514701443</c:v>
                </c:pt>
                <c:pt idx="76">
                  <c:v>20.7213900303556</c:v>
                </c:pt>
                <c:pt idx="77">
                  <c:v>21.2750890149206</c:v>
                </c:pt>
                <c:pt idx="78">
                  <c:v>21.8357365412097</c:v>
                </c:pt>
                <c:pt idx="79">
                  <c:v>22.4033206935719</c:v>
                </c:pt>
                <c:pt idx="80">
                  <c:v>22.9778295233478</c:v>
                </c:pt>
                <c:pt idx="81">
                  <c:v>23.5592510488876</c:v>
                </c:pt>
                <c:pt idx="82">
                  <c:v>24.1475732555747</c:v>
                </c:pt>
                <c:pt idx="83">
                  <c:v>24.7427840958536</c:v>
                </c:pt>
                <c:pt idx="84">
                  <c:v>25.3448714892622</c:v>
                </c:pt>
                <c:pt idx="85">
                  <c:v>25.9538233224689</c:v>
                </c:pt>
                <c:pt idx="86">
                  <c:v>26.5696274493133</c:v>
                </c:pt>
                <c:pt idx="87">
                  <c:v>27.1922716908518</c:v>
                </c:pt>
                <c:pt idx="88">
                  <c:v>27.821743835406</c:v>
                </c:pt>
                <c:pt idx="89">
                  <c:v>28.4580316386156</c:v>
                </c:pt>
                <c:pt idx="90">
                  <c:v>29.1011228234948</c:v>
                </c:pt>
                <c:pt idx="91">
                  <c:v>29.7510050804919</c:v>
                </c:pt>
                <c:pt idx="92">
                  <c:v>30.4076660675523</c:v>
                </c:pt>
                <c:pt idx="93">
                  <c:v>31.0710934101852</c:v>
                </c:pt>
                <c:pt idx="94">
                  <c:v>31.7412747015326</c:v>
                </c:pt>
                <c:pt idx="95">
                  <c:v>32.418197502442</c:v>
                </c:pt>
                <c:pt idx="96">
                  <c:v>33.1018493415417</c:v>
                </c:pt>
                <c:pt idx="97">
                  <c:v>33.7922177153192</c:v>
                </c:pt>
                <c:pt idx="98">
                  <c:v>34.4892900882017</c:v>
                </c:pt>
                <c:pt idx="99">
                  <c:v>35.19305389264</c:v>
                </c:pt>
                <c:pt idx="100">
                  <c:v>35.9034965291947</c:v>
                </c:pt>
                <c:pt idx="101">
                  <c:v>36.6206042580729</c:v>
                </c:pt>
                <c:pt idx="102">
                  <c:v>37.3443610895686</c:v>
                </c:pt>
                <c:pt idx="103">
                  <c:v>38.0747498912897</c:v>
                </c:pt>
                <c:pt idx="104">
                  <c:v>38.8117534965204</c:v>
                </c:pt>
                <c:pt idx="105">
                  <c:v>39.5553547043826</c:v>
                </c:pt>
                <c:pt idx="106">
                  <c:v>40.3055362799993</c:v>
                </c:pt>
                <c:pt idx="107">
                  <c:v>41.0622809546605</c:v>
                </c:pt>
                <c:pt idx="108">
                  <c:v>41.825571425991</c:v>
                </c:pt>
                <c:pt idx="109">
                  <c:v>42.5953903581207</c:v>
                </c:pt>
                <c:pt idx="110">
                  <c:v>43.3717203818559</c:v>
                </c:pt>
                <c:pt idx="111">
                  <c:v>44.1545440948537</c:v>
                </c:pt>
                <c:pt idx="112">
                  <c:v>44.9438440617979</c:v>
                </c:pt>
                <c:pt idx="113">
                  <c:v>45.7396028145756</c:v>
                </c:pt>
                <c:pt idx="114">
                  <c:v>46.5418028524577</c:v>
                </c:pt>
                <c:pt idx="115">
                  <c:v>47.3504266422788</c:v>
                </c:pt>
                <c:pt idx="116">
                  <c:v>48.1654566186204</c:v>
                </c:pt>
                <c:pt idx="117">
                  <c:v>48.9868751839951</c:v>
                </c:pt>
                <c:pt idx="118">
                  <c:v>49.8146647090317</c:v>
                </c:pt>
                <c:pt idx="119">
                  <c:v>50.6488075326633</c:v>
                </c:pt>
                <c:pt idx="120">
                  <c:v>51.4892859623152</c:v>
                </c:pt>
                <c:pt idx="121">
                  <c:v>52.3360822740953</c:v>
                </c:pt>
                <c:pt idx="122">
                  <c:v>53.1891787129853</c:v>
                </c:pt>
                <c:pt idx="123">
                  <c:v>54.0485574930335</c:v>
                </c:pt>
                <c:pt idx="124">
                  <c:v>54.9142007975487</c:v>
                </c:pt>
                <c:pt idx="125">
                  <c:v>55.7860907792954</c:v>
                </c:pt>
                <c:pt idx="126">
                  <c:v>56.6642095606902</c:v>
                </c:pt>
                <c:pt idx="127">
                  <c:v>57.5485392339992</c:v>
                </c:pt>
                <c:pt idx="128">
                  <c:v>58.4390618615367</c:v>
                </c:pt>
                <c:pt idx="129">
                  <c:v>59.3357594758647</c:v>
                </c:pt>
                <c:pt idx="130">
                  <c:v>60.2386140799942</c:v>
                </c:pt>
                <c:pt idx="131">
                  <c:v>61.1476076475863</c:v>
                </c:pt>
                <c:pt idx="132">
                  <c:v>62.0627221231552</c:v>
                </c:pt>
                <c:pt idx="133">
                  <c:v>62.9839394222718</c:v>
                </c:pt>
                <c:pt idx="134">
                  <c:v>63.9112414317686</c:v>
                </c:pt>
                <c:pt idx="135">
                  <c:v>64.8446100099444</c:v>
                </c:pt>
                <c:pt idx="136">
                  <c:v>65.7840269867716</c:v>
                </c:pt>
                <c:pt idx="137">
                  <c:v>66.7294741641023</c:v>
                </c:pt>
                <c:pt idx="138">
                  <c:v>67.6809333158771</c:v>
                </c:pt>
                <c:pt idx="139">
                  <c:v>68.6383861883332</c:v>
                </c:pt>
                <c:pt idx="140">
                  <c:v>69.601814500214</c:v>
                </c:pt>
                <c:pt idx="141">
                  <c:v>70.5711999429793</c:v>
                </c:pt>
                <c:pt idx="142">
                  <c:v>71.5465241810161</c:v>
                </c:pt>
                <c:pt idx="143">
                  <c:v>72.5277688518498</c:v>
                </c:pt>
                <c:pt idx="144">
                  <c:v>73.5149155663568</c:v>
                </c:pt>
                <c:pt idx="145">
                  <c:v>74.5079459089767</c:v>
                </c:pt>
                <c:pt idx="146">
                  <c:v>75.506841437926</c:v>
                </c:pt>
                <c:pt idx="147">
                  <c:v>76.5115836854117</c:v>
                </c:pt>
                <c:pt idx="148">
                  <c:v>77.5221541578458</c:v>
                </c:pt>
                <c:pt idx="149">
                  <c:v>78.5385343360602</c:v>
                </c:pt>
                <c:pt idx="150">
                  <c:v>79.5607056755223</c:v>
                </c:pt>
                <c:pt idx="151">
                  <c:v>80.5886499822593</c:v>
                </c:pt>
                <c:pt idx="152">
                  <c:v>81.6223497890387</c:v>
                </c:pt>
                <c:pt idx="153">
                  <c:v>82.6617879801364</c:v>
                </c:pt>
                <c:pt idx="154">
                  <c:v>83.7069474158421</c:v>
                </c:pt>
                <c:pt idx="155">
                  <c:v>84.7578109326538</c:v>
                </c:pt>
                <c:pt idx="156">
                  <c:v>85.8143613434748</c:v>
                </c:pt>
                <c:pt idx="157">
                  <c:v>86.876581437809</c:v>
                </c:pt>
                <c:pt idx="158">
                  <c:v>87.9444539819586</c:v>
                </c:pt>
                <c:pt idx="159">
                  <c:v>89.0179617192205</c:v>
                </c:pt>
                <c:pt idx="160">
                  <c:v>90.0970873700843</c:v>
                </c:pt>
                <c:pt idx="161">
                  <c:v>91.1818136324295</c:v>
                </c:pt>
                <c:pt idx="162">
                  <c:v>92.2721231817242</c:v>
                </c:pt>
                <c:pt idx="163">
                  <c:v>93.3679986712229</c:v>
                </c:pt>
                <c:pt idx="164">
                  <c:v>94.4694227321655</c:v>
                </c:pt>
                <c:pt idx="165">
                  <c:v>95.5763779739763</c:v>
                </c:pt>
                <c:pt idx="166">
                  <c:v>96.6888469844628</c:v>
                </c:pt>
                <c:pt idx="167">
                  <c:v>97.8068123300154</c:v>
                </c:pt>
                <c:pt idx="168">
                  <c:v>98.9302565558071</c:v>
                </c:pt>
                <c:pt idx="169">
                  <c:v>100.059162185993</c:v>
                </c:pt>
                <c:pt idx="170">
                  <c:v>101.19351172391</c:v>
                </c:pt>
                <c:pt idx="171">
                  <c:v>102.333287652279</c:v>
                </c:pt>
                <c:pt idx="172">
                  <c:v>103.478472433402</c:v>
                </c:pt>
                <c:pt idx="173">
                  <c:v>104.629048509364</c:v>
                </c:pt>
                <c:pt idx="174">
                  <c:v>105.784998302236</c:v>
                </c:pt>
                <c:pt idx="175">
                  <c:v>106.946304214273</c:v>
                </c:pt>
                <c:pt idx="176">
                  <c:v>108.112948628113</c:v>
                </c:pt>
                <c:pt idx="177">
                  <c:v>109.284913906984</c:v>
                </c:pt>
                <c:pt idx="178">
                  <c:v>110.4621823949</c:v>
                </c:pt>
                <c:pt idx="179">
                  <c:v>111.644736416862</c:v>
                </c:pt>
                <c:pt idx="180">
                  <c:v>112.832558279062</c:v>
                </c:pt>
                <c:pt idx="181">
                  <c:v>114.025630269084</c:v>
                </c:pt>
                <c:pt idx="182">
                  <c:v>115.223934656101</c:v>
                </c:pt>
                <c:pt idx="183">
                  <c:v>116.427453691083</c:v>
                </c:pt>
                <c:pt idx="184">
                  <c:v>117.636169606991</c:v>
                </c:pt>
                <c:pt idx="185">
                  <c:v>118.850064618984</c:v>
                </c:pt>
                <c:pt idx="186">
                  <c:v>120.069120924616</c:v>
                </c:pt>
                <c:pt idx="187">
                  <c:v>121.29332070404</c:v>
                </c:pt>
                <c:pt idx="188">
                  <c:v>122.522646120209</c:v>
                </c:pt>
                <c:pt idx="189">
                  <c:v>123.757079319074</c:v>
                </c:pt>
                <c:pt idx="190">
                  <c:v>124.996602429788</c:v>
                </c:pt>
                <c:pt idx="191">
                  <c:v>126.241197564907</c:v>
                </c:pt>
                <c:pt idx="192">
                  <c:v>127.490846820588</c:v>
                </c:pt>
                <c:pt idx="193">
                  <c:v>128.745532276794</c:v>
                </c:pt>
                <c:pt idx="194">
                  <c:v>130.00523599749</c:v>
                </c:pt>
                <c:pt idx="195">
                  <c:v>131.269940030847</c:v>
                </c:pt>
                <c:pt idx="196">
                  <c:v>132.53962640944</c:v>
                </c:pt>
                <c:pt idx="197">
                  <c:v>133.814277150449</c:v>
                </c:pt>
                <c:pt idx="198">
                  <c:v>135.093874255861</c:v>
                </c:pt>
                <c:pt idx="199">
                  <c:v>136.378399712667</c:v>
                </c:pt>
                <c:pt idx="200">
                  <c:v>137.667835493061</c:v>
                </c:pt>
                <c:pt idx="201">
                  <c:v>138.962163554646</c:v>
                </c:pt>
                <c:pt idx="202">
                  <c:v>140.261365840624</c:v>
                </c:pt>
                <c:pt idx="203">
                  <c:v>141.565424280003</c:v>
                </c:pt>
                <c:pt idx="204">
                  <c:v>142.87432078779</c:v>
                </c:pt>
                <c:pt idx="205">
                  <c:v>144.188037265196</c:v>
                </c:pt>
                <c:pt idx="206">
                  <c:v>145.506555599828</c:v>
                </c:pt>
                <c:pt idx="207">
                  <c:v>146.829857665891</c:v>
                </c:pt>
                <c:pt idx="208">
                  <c:v>148.157925324385</c:v>
                </c:pt>
                <c:pt idx="209">
                  <c:v>149.490740423305</c:v>
                </c:pt>
                <c:pt idx="210">
                  <c:v>150.828284797831</c:v>
                </c:pt>
                <c:pt idx="211">
                  <c:v>152.170540270537</c:v>
                </c:pt>
                <c:pt idx="212">
                  <c:v>153.517488651576</c:v>
                </c:pt>
                <c:pt idx="213">
                  <c:v>154.869111738885</c:v>
                </c:pt>
                <c:pt idx="214">
                  <c:v>156.225391318377</c:v>
                </c:pt>
                <c:pt idx="215">
                  <c:v>157.586309164138</c:v>
                </c:pt>
                <c:pt idx="216">
                  <c:v>158.951847038622</c:v>
                </c:pt>
                <c:pt idx="217">
                  <c:v>160.32198669285</c:v>
                </c:pt>
                <c:pt idx="218">
                  <c:v>161.696709866598</c:v>
                </c:pt>
                <c:pt idx="219">
                  <c:v>163.075998288599</c:v>
                </c:pt>
                <c:pt idx="220">
                  <c:v>164.459833676732</c:v>
                </c:pt>
                <c:pt idx="221">
                  <c:v>165.848197738218</c:v>
                </c:pt>
                <c:pt idx="222">
                  <c:v>167.241072169814</c:v>
                </c:pt>
                <c:pt idx="223">
                  <c:v>168.638438658005</c:v>
                </c:pt>
                <c:pt idx="224">
                  <c:v>170.040278879197</c:v>
                </c:pt>
                <c:pt idx="225">
                  <c:v>171.446574499911</c:v>
                </c:pt>
                <c:pt idx="226">
                  <c:v>172.857307176971</c:v>
                </c:pt>
                <c:pt idx="227">
                  <c:v>174.272458557701</c:v>
                </c:pt>
                <c:pt idx="228">
                  <c:v>175.692010280111</c:v>
                </c:pt>
                <c:pt idx="229">
                  <c:v>177.115943973092</c:v>
                </c:pt>
                <c:pt idx="230">
                  <c:v>178.544241256601</c:v>
                </c:pt>
                <c:pt idx="231">
                  <c:v>179.976883741859</c:v>
                </c:pt>
                <c:pt idx="232">
                  <c:v>181.41385303153</c:v>
                </c:pt>
                <c:pt idx="233">
                  <c:v>182.85513071992</c:v>
                </c:pt>
                <c:pt idx="234">
                  <c:v>184.300698393158</c:v>
                </c:pt>
                <c:pt idx="235">
                  <c:v>185.750537629389</c:v>
                </c:pt>
                <c:pt idx="236">
                  <c:v>187.204629998958</c:v>
                </c:pt>
                <c:pt idx="237">
                  <c:v>188.662957064599</c:v>
                </c:pt>
                <c:pt idx="238">
                  <c:v>190.125500381621</c:v>
                </c:pt>
                <c:pt idx="239">
                  <c:v>191.592241498094</c:v>
                </c:pt>
                <c:pt idx="240">
                  <c:v>193.063161955036</c:v>
                </c:pt>
                <c:pt idx="241">
                  <c:v>194.538243286595</c:v>
                </c:pt>
                <c:pt idx="242">
                  <c:v>196.017467020237</c:v>
                </c:pt>
                <c:pt idx="243">
                  <c:v>197.500814676927</c:v>
                </c:pt>
                <c:pt idx="244">
                  <c:v>198.988267771316</c:v>
                </c:pt>
                <c:pt idx="245">
                  <c:v>200.479807811919</c:v>
                </c:pt>
                <c:pt idx="246">
                  <c:v>201.975416301304</c:v>
                </c:pt>
                <c:pt idx="247">
                  <c:v>203.475074736266</c:v>
                </c:pt>
                <c:pt idx="248">
                  <c:v>204.978764608017</c:v>
                </c:pt>
                <c:pt idx="249">
                  <c:v>206.486467402359</c:v>
                </c:pt>
                <c:pt idx="250">
                  <c:v>207.998164599869</c:v>
                </c:pt>
                <c:pt idx="251">
                  <c:v>209.513836066762</c:v>
                </c:pt>
                <c:pt idx="252">
                  <c:v>211.033458445619</c:v>
                </c:pt>
                <c:pt idx="253">
                  <c:v>212.557006765485</c:v>
                </c:pt>
                <c:pt idx="254">
                  <c:v>214.084456052128</c:v>
                </c:pt>
                <c:pt idx="255">
                  <c:v>215.615781328299</c:v>
                </c:pt>
                <c:pt idx="256">
                  <c:v>217.150957613994</c:v>
                </c:pt>
                <c:pt idx="257">
                  <c:v>218.68995992671</c:v>
                </c:pt>
                <c:pt idx="258">
                  <c:v>220.232763281703</c:v>
                </c:pt>
                <c:pt idx="259">
                  <c:v>221.779342692243</c:v>
                </c:pt>
                <c:pt idx="260">
                  <c:v>223.32967316987</c:v>
                </c:pt>
                <c:pt idx="261">
                  <c:v>224.883729724647</c:v>
                </c:pt>
                <c:pt idx="262">
                  <c:v>226.441487365412</c:v>
                </c:pt>
                <c:pt idx="263">
                  <c:v>228.002921100029</c:v>
                </c:pt>
                <c:pt idx="264">
                  <c:v>229.568005935641</c:v>
                </c:pt>
                <c:pt idx="265">
                  <c:v>231.136716878913</c:v>
                </c:pt>
                <c:pt idx="266">
                  <c:v>232.709028936287</c:v>
                </c:pt>
                <c:pt idx="267">
                  <c:v>234.284917114222</c:v>
                </c:pt>
                <c:pt idx="268">
                  <c:v>235.864356419442</c:v>
                </c:pt>
                <c:pt idx="269">
                  <c:v>237.447321859181</c:v>
                </c:pt>
                <c:pt idx="270">
                  <c:v>239.033788441425</c:v>
                </c:pt>
                <c:pt idx="271">
                  <c:v>240.623731175152</c:v>
                </c:pt>
                <c:pt idx="272">
                  <c:v>242.217125070574</c:v>
                </c:pt>
                <c:pt idx="273">
                  <c:v>243.813945139375</c:v>
                </c:pt>
                <c:pt idx="274">
                  <c:v>245.414166394952</c:v>
                </c:pt>
                <c:pt idx="275">
                  <c:v>247.017763852646</c:v>
                </c:pt>
                <c:pt idx="276">
                  <c:v>248.624712529983</c:v>
                </c:pt>
                <c:pt idx="277">
                  <c:v>250.234987446904</c:v>
                </c:pt>
                <c:pt idx="278">
                  <c:v>251.848563626</c:v>
                </c:pt>
                <c:pt idx="279">
                  <c:v>253.465416092741</c:v>
                </c:pt>
                <c:pt idx="280">
                  <c:v>255.085519875712</c:v>
                </c:pt>
                <c:pt idx="281">
                  <c:v>256.708850006834</c:v>
                </c:pt>
                <c:pt idx="282">
                  <c:v>258.335381521598</c:v>
                </c:pt>
                <c:pt idx="283">
                  <c:v>259.965089459288</c:v>
                </c:pt>
                <c:pt idx="284">
                  <c:v>261.597948863208</c:v>
                </c:pt>
                <c:pt idx="285">
                  <c:v>263.233934780904</c:v>
                </c:pt>
                <c:pt idx="286">
                  <c:v>264.873022264387</c:v>
                </c:pt>
                <c:pt idx="287">
                  <c:v>266.515186370356</c:v>
                </c:pt>
                <c:pt idx="288">
                  <c:v>268.160402160416</c:v>
                </c:pt>
                <c:pt idx="289">
                  <c:v>269.808644701295</c:v>
                </c:pt>
                <c:pt idx="290">
                  <c:v>271.459889065065</c:v>
                </c:pt>
                <c:pt idx="291">
                  <c:v>273.114110329355</c:v>
                </c:pt>
                <c:pt idx="292">
                  <c:v>274.771283577567</c:v>
                </c:pt>
                <c:pt idx="293">
                  <c:v>276.431383899089</c:v>
                </c:pt>
                <c:pt idx="294">
                  <c:v>278.094386389504</c:v>
                </c:pt>
                <c:pt idx="295">
                  <c:v>279.760266150806</c:v>
                </c:pt>
                <c:pt idx="296">
                  <c:v>281.428998291605</c:v>
                </c:pt>
                <c:pt idx="297">
                  <c:v>283.100557927335</c:v>
                </c:pt>
                <c:pt idx="298">
                  <c:v>284.774902571347</c:v>
                </c:pt>
                <c:pt idx="299">
                  <c:v>286.451954530458</c:v>
                </c:pt>
                <c:pt idx="300">
                  <c:v>288.13161853087</c:v>
                </c:pt>
                <c:pt idx="301">
                  <c:v>289.813799340406</c:v>
                </c:pt>
                <c:pt idx="302">
                  <c:v>291.498401770284</c:v>
                </c:pt>
                <c:pt idx="303">
                  <c:v>293.185330676862</c:v>
                </c:pt>
                <c:pt idx="304">
                  <c:v>294.874490963368</c:v>
                </c:pt>
                <c:pt idx="305">
                  <c:v>296.565787581617</c:v>
                </c:pt>
                <c:pt idx="306">
                  <c:v>298.259125533696</c:v>
                </c:pt>
                <c:pt idx="307">
                  <c:v>299.954409873646</c:v>
                </c:pt>
                <c:pt idx="308">
                  <c:v>301.651545709113</c:v>
                </c:pt>
                <c:pt idx="309">
                  <c:v>303.350438202983</c:v>
                </c:pt>
                <c:pt idx="310">
                  <c:v>305.050992575007</c:v>
                </c:pt>
                <c:pt idx="311">
                  <c:v>306.75311410339</c:v>
                </c:pt>
                <c:pt idx="312">
                  <c:v>308.456708126379</c:v>
                </c:pt>
                <c:pt idx="313">
                  <c:v>310.161680043819</c:v>
                </c:pt>
                <c:pt idx="314">
                  <c:v>311.867935318694</c:v>
                </c:pt>
                <c:pt idx="315">
                  <c:v>313.575379478655</c:v>
                </c:pt>
                <c:pt idx="316">
                  <c:v>315.283918117518</c:v>
                </c:pt>
                <c:pt idx="317">
                  <c:v>316.99345689675</c:v>
                </c:pt>
                <c:pt idx="318">
                  <c:v>318.703901546938</c:v>
                </c:pt>
                <c:pt idx="319">
                  <c:v>320.415157869228</c:v>
                </c:pt>
                <c:pt idx="320">
                  <c:v>322.127131736761</c:v>
                </c:pt>
                <c:pt idx="321">
                  <c:v>323.839736089868</c:v>
                </c:pt>
                <c:pt idx="322">
                  <c:v>325.552897926152</c:v>
                </c:pt>
                <c:pt idx="323">
                  <c:v>327.266551296349</c:v>
                </c:pt>
                <c:pt idx="324">
                  <c:v>328.980630304944</c:v>
                </c:pt>
                <c:pt idx="325">
                  <c:v>330.695069110826</c:v>
                </c:pt>
                <c:pt idx="326">
                  <c:v>332.409801927942</c:v>
                </c:pt>
                <c:pt idx="327">
                  <c:v>334.124763025925</c:v>
                </c:pt>
                <c:pt idx="328">
                  <c:v>335.839886730737</c:v>
                </c:pt>
                <c:pt idx="329">
                  <c:v>337.555107425276</c:v>
                </c:pt>
                <c:pt idx="330">
                  <c:v>339.270359549995</c:v>
                </c:pt>
                <c:pt idx="331">
                  <c:v>340.985577603502</c:v>
                </c:pt>
                <c:pt idx="332">
                  <c:v>342.700696143148</c:v>
                </c:pt>
                <c:pt idx="333">
                  <c:v>344.415649785616</c:v>
                </c:pt>
                <c:pt idx="334">
                  <c:v>346.130373207487</c:v>
                </c:pt>
                <c:pt idx="335">
                  <c:v>347.844801145811</c:v>
                </c:pt>
                <c:pt idx="336">
                  <c:v>349.55886839866</c:v>
                </c:pt>
                <c:pt idx="337">
                  <c:v>351.272509825671</c:v>
                </c:pt>
                <c:pt idx="338">
                  <c:v>352.985660348588</c:v>
                </c:pt>
                <c:pt idx="339">
                  <c:v>354.698254951783</c:v>
                </c:pt>
                <c:pt idx="340">
                  <c:v>356.410228682782</c:v>
                </c:pt>
                <c:pt idx="341">
                  <c:v>358.121516652768</c:v>
                </c:pt>
                <c:pt idx="342">
                  <c:v>359.832054037085</c:v>
                </c:pt>
                <c:pt idx="343">
                  <c:v>361.541776075727</c:v>
                </c:pt>
                <c:pt idx="344">
                  <c:v>363.250618073825</c:v>
                </c:pt>
                <c:pt idx="345">
                  <c:v>364.958515402112</c:v>
                </c:pt>
                <c:pt idx="346">
                  <c:v>366.665403497398</c:v>
                </c:pt>
                <c:pt idx="347">
                  <c:v>368.371217863017</c:v>
                </c:pt>
                <c:pt idx="348">
                  <c:v>370.075894822603</c:v>
                </c:pt>
                <c:pt idx="349">
                  <c:v>371.779372273042</c:v>
                </c:pt>
                <c:pt idx="350">
                  <c:v>373.481588929917</c:v>
                </c:pt>
                <c:pt idx="351">
                  <c:v>375.182483573755</c:v>
                </c:pt>
                <c:pt idx="352">
                  <c:v>376.881995050387</c:v>
                </c:pt>
                <c:pt idx="353">
                  <c:v>378.580062271306</c:v>
                </c:pt>
                <c:pt idx="354">
                  <c:v>380.276624214016</c:v>
                </c:pt>
                <c:pt idx="355">
                  <c:v>381.971619922372</c:v>
                </c:pt>
                <c:pt idx="356">
                  <c:v>383.664988506916</c:v>
                </c:pt>
                <c:pt idx="357">
                  <c:v>385.3566691452</c:v>
                </c:pt>
                <c:pt idx="358">
                  <c:v>387.046601082107</c:v>
                </c:pt>
                <c:pt idx="359">
                  <c:v>388.734723630157</c:v>
                </c:pt>
                <c:pt idx="360">
                  <c:v>390.420991830062</c:v>
                </c:pt>
                <c:pt idx="361">
                  <c:v>392.105392092282</c:v>
                </c:pt>
                <c:pt idx="362">
                  <c:v>393.787926500163</c:v>
                </c:pt>
                <c:pt idx="363">
                  <c:v>395.468597131911</c:v>
                </c:pt>
                <c:pt idx="364">
                  <c:v>397.147406060611</c:v>
                </c:pt>
                <c:pt idx="365">
                  <c:v>398.824355354241</c:v>
                </c:pt>
                <c:pt idx="366">
                  <c:v>400.499447075689</c:v>
                </c:pt>
                <c:pt idx="367">
                  <c:v>402.17268328277</c:v>
                </c:pt>
                <c:pt idx="368">
                  <c:v>403.84406602824</c:v>
                </c:pt>
                <c:pt idx="369">
                  <c:v>405.513597359812</c:v>
                </c:pt>
                <c:pt idx="370">
                  <c:v>407.181279320173</c:v>
                </c:pt>
                <c:pt idx="371">
                  <c:v>408.847113947</c:v>
                </c:pt>
                <c:pt idx="372">
                  <c:v>410.511103272972</c:v>
                </c:pt>
                <c:pt idx="373">
                  <c:v>412.173249325792</c:v>
                </c:pt>
                <c:pt idx="374">
                  <c:v>413.833554128195</c:v>
                </c:pt>
                <c:pt idx="375">
                  <c:v>415.492019697971</c:v>
                </c:pt>
                <c:pt idx="376">
                  <c:v>417.148648047974</c:v>
                </c:pt>
                <c:pt idx="377">
                  <c:v>418.803441186141</c:v>
                </c:pt>
                <c:pt idx="378">
                  <c:v>420.456401115506</c:v>
                </c:pt>
                <c:pt idx="379">
                  <c:v>422.107529834216</c:v>
                </c:pt>
                <c:pt idx="380">
                  <c:v>423.756829335546</c:v>
                </c:pt>
                <c:pt idx="381">
                  <c:v>425.404301607912</c:v>
                </c:pt>
                <c:pt idx="382">
                  <c:v>427.04994863489</c:v>
                </c:pt>
                <c:pt idx="383">
                  <c:v>428.693772395227</c:v>
                </c:pt>
                <c:pt idx="384">
                  <c:v>430.335774862858</c:v>
                </c:pt>
                <c:pt idx="385">
                  <c:v>431.975958006923</c:v>
                </c:pt>
                <c:pt idx="386">
                  <c:v>433.614323791775</c:v>
                </c:pt>
                <c:pt idx="387">
                  <c:v>435.250874177002</c:v>
                </c:pt>
                <c:pt idx="388">
                  <c:v>436.885611117438</c:v>
                </c:pt>
                <c:pt idx="389">
                  <c:v>438.51853656318</c:v>
                </c:pt>
                <c:pt idx="390">
                  <c:v>440.149652459597</c:v>
                </c:pt>
                <c:pt idx="391">
                  <c:v>441.778960747352</c:v>
                </c:pt>
                <c:pt idx="392">
                  <c:v>443.406463362412</c:v>
                </c:pt>
                <c:pt idx="393">
                  <c:v>445.032162236063</c:v>
                </c:pt>
                <c:pt idx="394">
                  <c:v>446.656059294923</c:v>
                </c:pt>
                <c:pt idx="395">
                  <c:v>448.278156460961</c:v>
                </c:pt>
                <c:pt idx="396">
                  <c:v>449.898455651507</c:v>
                </c:pt>
                <c:pt idx="397">
                  <c:v>451.516958779265</c:v>
                </c:pt>
                <c:pt idx="398">
                  <c:v>453.133667752332</c:v>
                </c:pt>
                <c:pt idx="399">
                  <c:v>454.748584474209</c:v>
                </c:pt>
                <c:pt idx="400">
                  <c:v>456.361710843814</c:v>
                </c:pt>
                <c:pt idx="401">
                  <c:v>472.394651925885</c:v>
                </c:pt>
                <c:pt idx="402">
                  <c:v>488.249779599886</c:v>
                </c:pt>
                <c:pt idx="403">
                  <c:v>503.928947125683</c:v>
                </c:pt>
                <c:pt idx="404">
                  <c:v>519.433963826796</c:v>
                </c:pt>
                <c:pt idx="405">
                  <c:v>534.766596395646</c:v>
                </c:pt>
                <c:pt idx="406">
                  <c:v>549.928570149135</c:v>
                </c:pt>
                <c:pt idx="407">
                  <c:v>564.921570236802</c:v>
                </c:pt>
                <c:pt idx="408">
                  <c:v>579.747242803692</c:v>
                </c:pt>
                <c:pt idx="409">
                  <c:v>594.407196109961</c:v>
                </c:pt>
                <c:pt idx="410">
                  <c:v>608.903001609113</c:v>
                </c:pt>
                <c:pt idx="411">
                  <c:v>623.236194986719</c:v>
                </c:pt>
                <c:pt idx="412">
                  <c:v>637.408277161302</c:v>
                </c:pt>
                <c:pt idx="413">
                  <c:v>651.420715249054</c:v>
                </c:pt>
                <c:pt idx="414">
                  <c:v>665.27494349392</c:v>
                </c:pt>
                <c:pt idx="415">
                  <c:v>678.972364164529</c:v>
                </c:pt>
                <c:pt idx="416">
                  <c:v>692.514348419381</c:v>
                </c:pt>
                <c:pt idx="417">
                  <c:v>705.902237141607</c:v>
                </c:pt>
                <c:pt idx="418">
                  <c:v>719.13734174458</c:v>
                </c:pt>
                <c:pt idx="419">
                  <c:v>732.220944949586</c:v>
                </c:pt>
                <c:pt idx="420">
                  <c:v>745.154301536688</c:v>
                </c:pt>
                <c:pt idx="421">
                  <c:v>757.938639069888</c:v>
                </c:pt>
                <c:pt idx="422">
                  <c:v>770.575158597618</c:v>
                </c:pt>
                <c:pt idx="423">
                  <c:v>783.065035329567</c:v>
                </c:pt>
                <c:pt idx="424">
                  <c:v>795.409419290757</c:v>
                </c:pt>
                <c:pt idx="425">
                  <c:v>807.609435953807</c:v>
                </c:pt>
                <c:pt idx="426">
                  <c:v>819.666186850216</c:v>
                </c:pt>
                <c:pt idx="427">
                  <c:v>831.580750161487</c:v>
                </c:pt>
                <c:pt idx="428">
                  <c:v>843.354181290892</c:v>
                </c:pt>
                <c:pt idx="429">
                  <c:v>854.987513416598</c:v>
                </c:pt>
                <c:pt idx="430">
                  <c:v>866.481758026892</c:v>
                </c:pt>
                <c:pt idx="431">
                  <c:v>877.837905438159</c:v>
                </c:pt>
                <c:pt idx="432">
                  <c:v>889.056925296292</c:v>
                </c:pt>
                <c:pt idx="433">
                  <c:v>900.139767062129</c:v>
                </c:pt>
                <c:pt idx="434">
                  <c:v>911.08736048153</c:v>
                </c:pt>
                <c:pt idx="435">
                  <c:v>921.900616040654</c:v>
                </c:pt>
                <c:pt idx="436">
                  <c:v>932.580425406976</c:v>
                </c:pt>
                <c:pt idx="437">
                  <c:v>943.127661856576</c:v>
                </c:pt>
                <c:pt idx="438">
                  <c:v>953.543180688191</c:v>
                </c:pt>
                <c:pt idx="439">
                  <c:v>963.827819624497</c:v>
                </c:pt>
                <c:pt idx="440">
                  <c:v>973.982399201103</c:v>
                </c:pt>
                <c:pt idx="441">
                  <c:v>984.007723143668</c:v>
                </c:pt>
                <c:pt idx="442">
                  <c:v>993.904578733576</c:v>
                </c:pt>
                <c:pt idx="443">
                  <c:v>1003.67373716257</c:v>
                </c:pt>
                <c:pt idx="444">
                  <c:v>1013.3159538767</c:v>
                </c:pt>
                <c:pt idx="445">
                  <c:v>1022.83196891007</c:v>
                </c:pt>
                <c:pt idx="446">
                  <c:v>1032.22250720851</c:v>
                </c:pt>
                <c:pt idx="447">
                  <c:v>1041.48827894377</c:v>
                </c:pt>
                <c:pt idx="448">
                  <c:v>1050.62997981842</c:v>
                </c:pt>
                <c:pt idx="449">
                  <c:v>1059.64829136178</c:v>
                </c:pt>
                <c:pt idx="450">
                  <c:v>1068.54388121718</c:v>
                </c:pt>
                <c:pt idx="451">
                  <c:v>1077.31740342096</c:v>
                </c:pt>
                <c:pt idx="452">
                  <c:v>1085.96949867323</c:v>
                </c:pt>
                <c:pt idx="453">
                  <c:v>1094.50079460097</c:v>
                </c:pt>
                <c:pt idx="454">
                  <c:v>1102.91190601349</c:v>
                </c:pt>
                <c:pt idx="455">
                  <c:v>1111.2034351506</c:v>
                </c:pt>
                <c:pt idx="456">
                  <c:v>1119.37597192372</c:v>
                </c:pt>
                <c:pt idx="457">
                  <c:v>1127.43009415016</c:v>
                </c:pt>
                <c:pt idx="458">
                  <c:v>1135.36636778077</c:v>
                </c:pt>
                <c:pt idx="459">
                  <c:v>1143.18534712119</c:v>
                </c:pt>
                <c:pt idx="460">
                  <c:v>1150.88757504695</c:v>
                </c:pt>
                <c:pt idx="461">
                  <c:v>1158.47358321248</c:v>
                </c:pt>
                <c:pt idx="462">
                  <c:v>1165.94389225442</c:v>
                </c:pt>
                <c:pt idx="463">
                  <c:v>1173.29901198928</c:v>
                </c:pt>
                <c:pt idx="464">
                  <c:v>1180.53944160563</c:v>
                </c:pt>
                <c:pt idx="465">
                  <c:v>1187.66566985108</c:v>
                </c:pt>
                <c:pt idx="466">
                  <c:v>1194.67817521414</c:v>
                </c:pt>
                <c:pt idx="467">
                  <c:v>1201.57742610115</c:v>
                </c:pt>
                <c:pt idx="468">
                  <c:v>1208.36388100848</c:v>
                </c:pt>
                <c:pt idx="469">
                  <c:v>1215.03798869005</c:v>
                </c:pt>
                <c:pt idx="470">
                  <c:v>1221.60018832045</c:v>
                </c:pt>
                <c:pt idx="471">
                  <c:v>1228.05090965369</c:v>
                </c:pt>
                <c:pt idx="472">
                  <c:v>1234.39057317785</c:v>
                </c:pt>
                <c:pt idx="473">
                  <c:v>1240.61959026558</c:v>
                </c:pt>
                <c:pt idx="474">
                  <c:v>1246.73836332082</c:v>
                </c:pt>
                <c:pt idx="475">
                  <c:v>1252.74728592165</c:v>
                </c:pt>
                <c:pt idx="476">
                  <c:v>1258.64674295962</c:v>
                </c:pt>
                <c:pt idx="477">
                  <c:v>1264.43711077547</c:v>
                </c:pt>
                <c:pt idx="478">
                  <c:v>1270.11875729153</c:v>
                </c:pt>
                <c:pt idx="479">
                  <c:v>1275.69204214088</c:v>
                </c:pt>
                <c:pt idx="480">
                  <c:v>1281.15731679333</c:v>
                </c:pt>
                <c:pt idx="481">
                  <c:v>1286.51492467846</c:v>
                </c:pt>
                <c:pt idx="482">
                  <c:v>1291.76520130575</c:v>
                </c:pt>
                <c:pt idx="483">
                  <c:v>1296.90847438199</c:v>
                </c:pt>
                <c:pt idx="484">
                  <c:v>1301.94506392602</c:v>
                </c:pt>
                <c:pt idx="485">
                  <c:v>1306.87528238102</c:v>
                </c:pt>
                <c:pt idx="486">
                  <c:v>1311.69943472441</c:v>
                </c:pt>
                <c:pt idx="487">
                  <c:v>1316.4178185755</c:v>
                </c:pt>
                <c:pt idx="488">
                  <c:v>1321.03072430105</c:v>
                </c:pt>
                <c:pt idx="489">
                  <c:v>1325.53843511886</c:v>
                </c:pt>
                <c:pt idx="490">
                  <c:v>1329.9412271995</c:v>
                </c:pt>
                <c:pt idx="491">
                  <c:v>1334.23936976642</c:v>
                </c:pt>
                <c:pt idx="492">
                  <c:v>1338.43312519442</c:v>
                </c:pt>
                <c:pt idx="493">
                  <c:v>1342.52274910688</c:v>
                </c:pt>
                <c:pt idx="494">
                  <c:v>1346.50849047162</c:v>
                </c:pt>
                <c:pt idx="495">
                  <c:v>1350.39059169583</c:v>
                </c:pt>
                <c:pt idx="496">
                  <c:v>1354.16928872009</c:v>
                </c:pt>
                <c:pt idx="497">
                  <c:v>1357.84481111169</c:v>
                </c:pt>
                <c:pt idx="498">
                  <c:v>1361.41738215752</c:v>
                </c:pt>
                <c:pt idx="499">
                  <c:v>1364.88721895664</c:v>
                </c:pt>
                <c:pt idx="500">
                  <c:v>1368.25453251286</c:v>
                </c:pt>
                <c:pt idx="501">
                  <c:v>1371.51952782747</c:v>
                </c:pt>
                <c:pt idx="502">
                  <c:v>1374.68240399244</c:v>
                </c:pt>
                <c:pt idx="503">
                  <c:v>1377.74335428434</c:v>
                </c:pt>
                <c:pt idx="504">
                  <c:v>1380.70256625926</c:v>
                </c:pt>
                <c:pt idx="505">
                  <c:v>1383.56022184903</c:v>
                </c:pt>
                <c:pt idx="506">
                  <c:v>1386.31649745907</c:v>
                </c:pt>
                <c:pt idx="507">
                  <c:v>1388.97156406826</c:v>
                </c:pt>
                <c:pt idx="508">
                  <c:v>1391.52558733108</c:v>
                </c:pt>
                <c:pt idx="509">
                  <c:v>1393.97872768251</c:v>
                </c:pt>
                <c:pt idx="510">
                  <c:v>1396.33114044608</c:v>
                </c:pt>
                <c:pt idx="511">
                  <c:v>1398.5829759454</c:v>
                </c:pt>
                <c:pt idx="512">
                  <c:v>1400.73437961973</c:v>
                </c:pt>
                <c:pt idx="513">
                  <c:v>1402.78549214398</c:v>
                </c:pt>
                <c:pt idx="514">
                  <c:v>1404.73644955357</c:v>
                </c:pt>
                <c:pt idx="515">
                  <c:v>1406.58738337473</c:v>
                </c:pt>
                <c:pt idx="516">
                  <c:v>1408.33842076058</c:v>
                </c:pt>
                <c:pt idx="517">
                  <c:v>1409.9896846336</c:v>
                </c:pt>
                <c:pt idx="518">
                  <c:v>1411.54129383475</c:v>
                </c:pt>
                <c:pt idx="519">
                  <c:v>1412.99336327994</c:v>
                </c:pt>
                <c:pt idx="520">
                  <c:v>1414.34600412394</c:v>
                </c:pt>
              </c:numCache>
            </c:numRef>
          </c:yVal>
          <c:smooth val="1"/>
        </c:ser>
        <c:ser>
          <c:idx val="6"/>
          <c:order val="6"/>
          <c:tx>
            <c:strRef>
              <c:f>Trajecto!$B$106</c:f>
              <c:strCache>
                <c:ptCount val="1"/>
                <c:pt idx="0">
                  <c:v>Phase ascendante</c:v>
                </c:pt>
              </c:strCache>
            </c:strRef>
          </c:tx>
          <c:spPr>
            <a:solidFill>
              <a:srgbClr val="99ccff"/>
            </a:solidFill>
            <a:ln w="28440">
              <a:noFill/>
            </a:ln>
          </c:spPr>
          <c:marker>
            <c:symbol val="none"/>
          </c:marker>
          <c:dLbls>
            <c:txPr>
              <a:bodyPr wrap="square"/>
              <a:lstStyle/>
              <a:p>
                <a:pPr>
                  <a:defRPr b="1" sz="700" spc="-1" strike="noStrike">
                    <a:solidFill>
                      <a:srgbClr val="000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Trajecto!$B$157</c:f>
              <c:numCache>
                <c:formatCode>General</c:formatCode>
                <c:ptCount val="1"/>
                <c:pt idx="0">
                  <c:v>4</c:v>
                </c:pt>
              </c:numCache>
            </c:numRef>
          </c:xVal>
          <c:yVal>
            <c:numRef>
              <c:f>Trajecto!$C$155</c:f>
              <c:numCache>
                <c:formatCode>General</c:formatCode>
                <c:ptCount val="1"/>
                <c:pt idx="0">
                  <c:v>707.173002061972</c:v>
                </c:pt>
              </c:numCache>
            </c:numRef>
          </c:yVal>
          <c:smooth val="1"/>
        </c:ser>
        <c:ser>
          <c:idx val="7"/>
          <c:order val="7"/>
          <c:tx>
            <c:strRef>
              <c:f>Trajecto!$B$107</c:f>
              <c:strCache>
                <c:ptCount val="1"/>
                <c:pt idx="0">
                  <c:v>Descente balistique</c:v>
                </c:pt>
              </c:strCache>
            </c:strRef>
          </c:tx>
          <c:spPr>
            <a:solidFill>
              <a:srgbClr val="99ccff"/>
            </a:solidFill>
            <a:ln w="28440">
              <a:noFill/>
            </a:ln>
          </c:spPr>
          <c:marker>
            <c:symbol val="none"/>
          </c:marker>
          <c:dLbls>
            <c:txPr>
              <a:bodyPr wrap="square"/>
              <a:lstStyle/>
              <a:p>
                <a:pPr>
                  <a:defRPr b="1" sz="700" spc="-1" strike="noStrike">
                    <a:solidFill>
                      <a:srgbClr val="808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Trajecto!$B$158</c:f>
              <c:numCache>
                <c:formatCode>General</c:formatCode>
                <c:ptCount val="1"/>
                <c:pt idx="0">
                  <c:v>26.5000000000001</c:v>
                </c:pt>
              </c:numCache>
            </c:numRef>
          </c:xVal>
          <c:yVal>
            <c:numRef>
              <c:f>Trajecto!$C$156</c:f>
              <c:numCache>
                <c:formatCode>General</c:formatCode>
                <c:ptCount val="1"/>
                <c:pt idx="0">
                  <c:v>711.463614970238</c:v>
                </c:pt>
              </c:numCache>
            </c:numRef>
          </c:yVal>
          <c:smooth val="1"/>
        </c:ser>
        <c:axId val="19053826"/>
        <c:axId val="82637263"/>
      </c:scatterChart>
      <c:valAx>
        <c:axId val="19053826"/>
        <c:scaling>
          <c:orientation val="minMax"/>
          <c:min val="0"/>
        </c:scaling>
        <c:delete val="0"/>
        <c:axPos val="b"/>
        <c:majorGridlines>
          <c:spPr>
            <a:ln w="3240">
              <a:solidFill>
                <a:srgbClr val="000000"/>
              </a:solidFill>
              <a:prstDash val="sysDash"/>
              <a:round/>
            </a:ln>
          </c:spPr>
        </c:majorGridlines>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Temps [s]</a:t>
                </a:r>
              </a:p>
            </c:rich>
          </c:tx>
          <c:layout>
            <c:manualLayout>
              <c:xMode val="edge"/>
              <c:yMode val="edge"/>
              <c:x val="0.605617041532786"/>
              <c:y val="0.851275450503159"/>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82637263"/>
        <c:crosses val="autoZero"/>
        <c:crossBetween val="midCat"/>
      </c:valAx>
      <c:valAx>
        <c:axId val="82637263"/>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800" spc="-1" strike="noStrike">
                    <a:solidFill>
                      <a:srgbClr val="0000ff"/>
                    </a:solidFill>
                    <a:latin typeface="Arial"/>
                    <a:ea typeface="Arial"/>
                  </a:defRPr>
                </a:pPr>
                <a:r>
                  <a:rPr b="1" lang="fr-FR" sz="800" spc="-1" strike="noStrike">
                    <a:solidFill>
                      <a:srgbClr val="0000ff"/>
                    </a:solidFill>
                    <a:latin typeface="Arial"/>
                    <a:ea typeface="Arial"/>
                  </a:rPr>
                  <a:t>Altitude z [m]</a:t>
                </a:r>
              </a:p>
            </c:rich>
          </c:tx>
          <c:layout>
            <c:manualLayout>
              <c:xMode val="edge"/>
              <c:yMode val="edge"/>
              <c:x val="0.0899678686183506"/>
              <c:y val="0.0679850222326235"/>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19053826"/>
        <c:crosses val="autoZero"/>
        <c:crossBetween val="midCat"/>
      </c:valAx>
      <c:spPr>
        <a:gradFill>
          <a:gsLst>
            <a:gs pos="0">
              <a:srgbClr val="99ccff"/>
            </a:gs>
            <a:gs pos="100000">
              <a:srgbClr val="ffffff"/>
            </a:gs>
          </a:gsLst>
          <a:lin ang="5400000"/>
        </a:gradFill>
        <a:ln w="12600">
          <a:solidFill>
            <a:srgbClr val="808080"/>
          </a:solidFill>
          <a:round/>
        </a:ln>
      </c:spPr>
    </c:plotArea>
    <c:plotVisOnly val="0"/>
    <c:dispBlanksAs val="gap"/>
  </c:chart>
  <c:spPr>
    <a:solidFill>
      <a:srgbClr val="ffffff"/>
    </a:solidFill>
    <a:ln w="3240">
      <a:solidFill>
        <a:srgbClr val="000000"/>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Forces</a:t>
            </a:r>
          </a:p>
        </c:rich>
      </c:tx>
      <c:overlay val="0"/>
      <c:spPr>
        <a:noFill/>
        <a:ln w="0">
          <a:noFill/>
        </a:ln>
      </c:spPr>
    </c:title>
    <c:autoTitleDeleted val="0"/>
    <c:plotArea>
      <c:layout>
        <c:manualLayout>
          <c:layoutTarget val="inner"/>
          <c:xMode val="edge"/>
          <c:yMode val="edge"/>
          <c:x val="0.116723795778459"/>
          <c:y val="0.094750656167979"/>
          <c:w val="0.86433339346924"/>
          <c:h val="0.741732283464567"/>
        </c:manualLayout>
      </c:layout>
      <c:scatterChart>
        <c:scatterStyle val="line"/>
        <c:varyColors val="0"/>
        <c:ser>
          <c:idx val="0"/>
          <c:order val="0"/>
          <c:tx>
            <c:strRef>
              <c:f>Courbes!$B$134</c:f>
              <c:strCache>
                <c:ptCount val="1"/>
                <c:pt idx="0">
                  <c:v>Poussée</c:v>
                </c:pt>
              </c:strCache>
            </c:strRef>
          </c:tx>
          <c:spPr>
            <a:solidFill>
              <a:srgbClr val="008000"/>
            </a:solidFill>
            <a:ln w="25560">
              <a:solidFill>
                <a:srgbClr val="008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34.8000000000002</c:v>
                </c:pt>
                <c:pt idx="709">
                  <c:v>34.9000000000002</c:v>
                </c:pt>
                <c:pt idx="710">
                  <c:v>35.0000000000002</c:v>
                </c:pt>
                <c:pt idx="711">
                  <c:v>35.1000000000002</c:v>
                </c:pt>
                <c:pt idx="712">
                  <c:v>35.2000000000002</c:v>
                </c:pt>
                <c:pt idx="713">
                  <c:v>35.3000000000002</c:v>
                </c:pt>
                <c:pt idx="714">
                  <c:v>35.4000000000002</c:v>
                </c:pt>
                <c:pt idx="715">
                  <c:v>35.5000000000002</c:v>
                </c:pt>
                <c:pt idx="716">
                  <c:v>35.6000000000002</c:v>
                </c:pt>
                <c:pt idx="717">
                  <c:v>35.7000000000002</c:v>
                </c:pt>
                <c:pt idx="718">
                  <c:v>35.7001000000002</c:v>
                </c:pt>
                <c:pt idx="719">
                  <c:v>35.7002000000002</c:v>
                </c:pt>
                <c:pt idx="720">
                  <c:v>35.7003000000002</c:v>
                </c:pt>
                <c:pt idx="721">
                  <c:v>35.7004000000002</c:v>
                </c:pt>
                <c:pt idx="722">
                  <c:v>35.7005000000002</c:v>
                </c:pt>
                <c:pt idx="723">
                  <c:v>35.7006000000002</c:v>
                </c:pt>
                <c:pt idx="724">
                  <c:v>35.7007000000002</c:v>
                </c:pt>
                <c:pt idx="725">
                  <c:v>35.7008000000002</c:v>
                </c:pt>
                <c:pt idx="726">
                  <c:v>35.7009000000002</c:v>
                </c:pt>
                <c:pt idx="727">
                  <c:v>35.7010000000002</c:v>
                </c:pt>
                <c:pt idx="728">
                  <c:v>35.7011000000002</c:v>
                </c:pt>
                <c:pt idx="729">
                  <c:v>35.7012000000002</c:v>
                </c:pt>
                <c:pt idx="730">
                  <c:v>35.7013000000002</c:v>
                </c:pt>
                <c:pt idx="731">
                  <c:v>35.7014000000002</c:v>
                </c:pt>
                <c:pt idx="732">
                  <c:v>35.7015000000002</c:v>
                </c:pt>
                <c:pt idx="733">
                  <c:v>35.7016000000003</c:v>
                </c:pt>
                <c:pt idx="734">
                  <c:v>35.7017000000003</c:v>
                </c:pt>
                <c:pt idx="735">
                  <c:v>35.7018000000003</c:v>
                </c:pt>
                <c:pt idx="736">
                  <c:v>35.7019000000003</c:v>
                </c:pt>
                <c:pt idx="737">
                  <c:v>35.7020000000003</c:v>
                </c:pt>
                <c:pt idx="738">
                  <c:v>35.7021000000003</c:v>
                </c:pt>
                <c:pt idx="739">
                  <c:v>35.7022000000003</c:v>
                </c:pt>
                <c:pt idx="740">
                  <c:v>35.7023000000003</c:v>
                </c:pt>
                <c:pt idx="741">
                  <c:v>35.7024000000003</c:v>
                </c:pt>
                <c:pt idx="742">
                  <c:v>35.7025000000003</c:v>
                </c:pt>
                <c:pt idx="743">
                  <c:v>35.7026000000003</c:v>
                </c:pt>
                <c:pt idx="744">
                  <c:v>35.7027000000003</c:v>
                </c:pt>
                <c:pt idx="745">
                  <c:v>35.7028000000003</c:v>
                </c:pt>
                <c:pt idx="746">
                  <c:v>35.7029000000003</c:v>
                </c:pt>
                <c:pt idx="747">
                  <c:v>35.7030000000003</c:v>
                </c:pt>
                <c:pt idx="748">
                  <c:v>35.7031000000003</c:v>
                </c:pt>
                <c:pt idx="749">
                  <c:v>35.7032000000003</c:v>
                </c:pt>
                <c:pt idx="750">
                  <c:v>35.7033000000003</c:v>
                </c:pt>
                <c:pt idx="751">
                  <c:v>35.7034000000003</c:v>
                </c:pt>
                <c:pt idx="752">
                  <c:v>35.7035000000003</c:v>
                </c:pt>
                <c:pt idx="753">
                  <c:v>35.7036000000003</c:v>
                </c:pt>
                <c:pt idx="754">
                  <c:v>35.7037000000003</c:v>
                </c:pt>
                <c:pt idx="755">
                  <c:v>35.7038000000003</c:v>
                </c:pt>
                <c:pt idx="756">
                  <c:v>35.7039000000003</c:v>
                </c:pt>
                <c:pt idx="757">
                  <c:v>35.7040000000003</c:v>
                </c:pt>
                <c:pt idx="758">
                  <c:v>35.7041000000003</c:v>
                </c:pt>
                <c:pt idx="759">
                  <c:v>35.7042000000003</c:v>
                </c:pt>
                <c:pt idx="760">
                  <c:v>35.7043000000003</c:v>
                </c:pt>
                <c:pt idx="761">
                  <c:v>35.7044000000003</c:v>
                </c:pt>
                <c:pt idx="762">
                  <c:v>35.7045000000003</c:v>
                </c:pt>
                <c:pt idx="763">
                  <c:v>35.7046000000004</c:v>
                </c:pt>
                <c:pt idx="764">
                  <c:v>35.7047000000004</c:v>
                </c:pt>
                <c:pt idx="765">
                  <c:v>35.7048000000004</c:v>
                </c:pt>
                <c:pt idx="766">
                  <c:v>35.7049000000004</c:v>
                </c:pt>
                <c:pt idx="767">
                  <c:v>35.7050000000004</c:v>
                </c:pt>
                <c:pt idx="768">
                  <c:v>35.7051000000004</c:v>
                </c:pt>
                <c:pt idx="769">
                  <c:v>35.7052000000004</c:v>
                </c:pt>
                <c:pt idx="770">
                  <c:v>35.7053000000004</c:v>
                </c:pt>
                <c:pt idx="771">
                  <c:v>35.7054000000004</c:v>
                </c:pt>
                <c:pt idx="772">
                  <c:v>35.7055000000004</c:v>
                </c:pt>
                <c:pt idx="773">
                  <c:v>35.7056000000004</c:v>
                </c:pt>
                <c:pt idx="774">
                  <c:v>35.7057000000004</c:v>
                </c:pt>
                <c:pt idx="775">
                  <c:v>35.7058000000004</c:v>
                </c:pt>
                <c:pt idx="776">
                  <c:v>35.7059000000004</c:v>
                </c:pt>
                <c:pt idx="777">
                  <c:v>35.7060000000004</c:v>
                </c:pt>
                <c:pt idx="778">
                  <c:v>35.7061000000004</c:v>
                </c:pt>
                <c:pt idx="779">
                  <c:v>35.7062000000004</c:v>
                </c:pt>
                <c:pt idx="780">
                  <c:v>35.7063000000004</c:v>
                </c:pt>
                <c:pt idx="781">
                  <c:v>35.7064000000004</c:v>
                </c:pt>
                <c:pt idx="782">
                  <c:v>35.7065000000004</c:v>
                </c:pt>
                <c:pt idx="783">
                  <c:v>35.7066000000004</c:v>
                </c:pt>
                <c:pt idx="784">
                  <c:v>35.7067000000004</c:v>
                </c:pt>
                <c:pt idx="785">
                  <c:v>35.7068000000004</c:v>
                </c:pt>
                <c:pt idx="786">
                  <c:v>35.7069000000004</c:v>
                </c:pt>
                <c:pt idx="787">
                  <c:v>35.7070000000004</c:v>
                </c:pt>
                <c:pt idx="788">
                  <c:v>35.7071000000004</c:v>
                </c:pt>
                <c:pt idx="789">
                  <c:v>35.7072000000004</c:v>
                </c:pt>
                <c:pt idx="790">
                  <c:v>35.7073000000004</c:v>
                </c:pt>
                <c:pt idx="791">
                  <c:v>35.7074000000004</c:v>
                </c:pt>
                <c:pt idx="792">
                  <c:v>35.7075000000004</c:v>
                </c:pt>
                <c:pt idx="793">
                  <c:v>35.7076000000005</c:v>
                </c:pt>
                <c:pt idx="794">
                  <c:v>35.7077000000005</c:v>
                </c:pt>
                <c:pt idx="795">
                  <c:v>35.7078000000005</c:v>
                </c:pt>
                <c:pt idx="796">
                  <c:v>35.7079000000005</c:v>
                </c:pt>
                <c:pt idx="797">
                  <c:v>35.7080000000005</c:v>
                </c:pt>
                <c:pt idx="798">
                  <c:v>35.7081000000005</c:v>
                </c:pt>
                <c:pt idx="799">
                  <c:v>35.7082000000005</c:v>
                </c:pt>
                <c:pt idx="800">
                  <c:v>35.7083000000005</c:v>
                </c:pt>
                <c:pt idx="801">
                  <c:v>35.7084000000005</c:v>
                </c:pt>
                <c:pt idx="802">
                  <c:v>35.7085000000005</c:v>
                </c:pt>
                <c:pt idx="803">
                  <c:v>35.7086000000005</c:v>
                </c:pt>
                <c:pt idx="804">
                  <c:v>35.7087000000005</c:v>
                </c:pt>
                <c:pt idx="805">
                  <c:v>35.7088000000005</c:v>
                </c:pt>
                <c:pt idx="806">
                  <c:v>35.7089000000005</c:v>
                </c:pt>
                <c:pt idx="807">
                  <c:v>35.7090000000005</c:v>
                </c:pt>
                <c:pt idx="808">
                  <c:v>35.7091000000005</c:v>
                </c:pt>
                <c:pt idx="809">
                  <c:v>35.7092000000005</c:v>
                </c:pt>
                <c:pt idx="810">
                  <c:v>35.7093000000005</c:v>
                </c:pt>
                <c:pt idx="811">
                  <c:v>35.7094000000005</c:v>
                </c:pt>
                <c:pt idx="812">
                  <c:v>35.7095000000005</c:v>
                </c:pt>
                <c:pt idx="813">
                  <c:v>35.7096000000005</c:v>
                </c:pt>
                <c:pt idx="814">
                  <c:v>35.7097000000005</c:v>
                </c:pt>
                <c:pt idx="815">
                  <c:v>35.7098000000005</c:v>
                </c:pt>
                <c:pt idx="816">
                  <c:v>35.7099000000005</c:v>
                </c:pt>
                <c:pt idx="817">
                  <c:v>35.7100000000005</c:v>
                </c:pt>
                <c:pt idx="818">
                  <c:v>35.7101000000005</c:v>
                </c:pt>
                <c:pt idx="819">
                  <c:v>35.7102000000005</c:v>
                </c:pt>
                <c:pt idx="820">
                  <c:v>35.7103000000005</c:v>
                </c:pt>
                <c:pt idx="821">
                  <c:v>35.7104000000005</c:v>
                </c:pt>
                <c:pt idx="822">
                  <c:v>35.7105000000005</c:v>
                </c:pt>
                <c:pt idx="823">
                  <c:v>35.7106000000006</c:v>
                </c:pt>
                <c:pt idx="824">
                  <c:v>35.7107000000006</c:v>
                </c:pt>
                <c:pt idx="825">
                  <c:v>35.7108000000006</c:v>
                </c:pt>
                <c:pt idx="826">
                  <c:v>35.7109000000006</c:v>
                </c:pt>
                <c:pt idx="827">
                  <c:v>35.7110000000006</c:v>
                </c:pt>
                <c:pt idx="828">
                  <c:v>35.7111000000006</c:v>
                </c:pt>
                <c:pt idx="829">
                  <c:v>35.7112000000006</c:v>
                </c:pt>
                <c:pt idx="830">
                  <c:v>35.7113000000006</c:v>
                </c:pt>
                <c:pt idx="831">
                  <c:v>35.7114000000006</c:v>
                </c:pt>
                <c:pt idx="832">
                  <c:v>35.7115000000006</c:v>
                </c:pt>
                <c:pt idx="833">
                  <c:v>35.7116000000006</c:v>
                </c:pt>
                <c:pt idx="834">
                  <c:v>35.7117000000006</c:v>
                </c:pt>
                <c:pt idx="835">
                  <c:v>35.7118000000006</c:v>
                </c:pt>
                <c:pt idx="836">
                  <c:v>35.7119000000006</c:v>
                </c:pt>
                <c:pt idx="837">
                  <c:v>35.7120000000006</c:v>
                </c:pt>
                <c:pt idx="838">
                  <c:v>35.7121000000006</c:v>
                </c:pt>
                <c:pt idx="839">
                  <c:v>35.7122000000006</c:v>
                </c:pt>
                <c:pt idx="840">
                  <c:v>35.7123000000006</c:v>
                </c:pt>
                <c:pt idx="841">
                  <c:v>35.7124000000006</c:v>
                </c:pt>
                <c:pt idx="842">
                  <c:v>35.7125000000006</c:v>
                </c:pt>
                <c:pt idx="843">
                  <c:v>35.7126000000006</c:v>
                </c:pt>
                <c:pt idx="844">
                  <c:v>35.7127000000006</c:v>
                </c:pt>
                <c:pt idx="845">
                  <c:v>35.7128000000006</c:v>
                </c:pt>
                <c:pt idx="846">
                  <c:v>35.7129000000006</c:v>
                </c:pt>
                <c:pt idx="847">
                  <c:v>35.7130000000006</c:v>
                </c:pt>
                <c:pt idx="848">
                  <c:v>35.7131000000006</c:v>
                </c:pt>
                <c:pt idx="849">
                  <c:v>35.7132000000006</c:v>
                </c:pt>
                <c:pt idx="850">
                  <c:v>35.7133000000006</c:v>
                </c:pt>
                <c:pt idx="851">
                  <c:v>35.7134000000006</c:v>
                </c:pt>
                <c:pt idx="852">
                  <c:v>35.7135000000006</c:v>
                </c:pt>
                <c:pt idx="853">
                  <c:v>35.7136000000006</c:v>
                </c:pt>
                <c:pt idx="854">
                  <c:v>35.7137000000007</c:v>
                </c:pt>
                <c:pt idx="855">
                  <c:v>35.7138000000007</c:v>
                </c:pt>
                <c:pt idx="856">
                  <c:v>35.7139000000007</c:v>
                </c:pt>
                <c:pt idx="857">
                  <c:v>35.7140000000007</c:v>
                </c:pt>
                <c:pt idx="858">
                  <c:v>35.7141000000007</c:v>
                </c:pt>
                <c:pt idx="859">
                  <c:v>35.7142000000007</c:v>
                </c:pt>
                <c:pt idx="860">
                  <c:v>35.7143000000007</c:v>
                </c:pt>
                <c:pt idx="861">
                  <c:v>35.7144000000007</c:v>
                </c:pt>
                <c:pt idx="862">
                  <c:v>35.7145000000007</c:v>
                </c:pt>
                <c:pt idx="863">
                  <c:v>35.7146000000007</c:v>
                </c:pt>
                <c:pt idx="864">
                  <c:v>35.7147000000007</c:v>
                </c:pt>
                <c:pt idx="865">
                  <c:v>35.7148000000007</c:v>
                </c:pt>
                <c:pt idx="866">
                  <c:v>35.7149000000007</c:v>
                </c:pt>
                <c:pt idx="867">
                  <c:v>35.7150000000007</c:v>
                </c:pt>
                <c:pt idx="868">
                  <c:v>35.7151000000007</c:v>
                </c:pt>
                <c:pt idx="869">
                  <c:v>35.7152000000007</c:v>
                </c:pt>
                <c:pt idx="870">
                  <c:v>35.7153000000007</c:v>
                </c:pt>
                <c:pt idx="871">
                  <c:v>35.7154000000007</c:v>
                </c:pt>
                <c:pt idx="872">
                  <c:v>35.7155000000007</c:v>
                </c:pt>
                <c:pt idx="873">
                  <c:v>35.7156000000007</c:v>
                </c:pt>
                <c:pt idx="874">
                  <c:v>35.7157000000007</c:v>
                </c:pt>
                <c:pt idx="875">
                  <c:v>35.7158000000007</c:v>
                </c:pt>
                <c:pt idx="876">
                  <c:v>35.7159000000007</c:v>
                </c:pt>
                <c:pt idx="877">
                  <c:v>35.7160000000007</c:v>
                </c:pt>
                <c:pt idx="878">
                  <c:v>35.7161000000007</c:v>
                </c:pt>
                <c:pt idx="879">
                  <c:v>35.7162000000007</c:v>
                </c:pt>
                <c:pt idx="880">
                  <c:v>35.7163000000007</c:v>
                </c:pt>
                <c:pt idx="881">
                  <c:v>35.7164000000007</c:v>
                </c:pt>
                <c:pt idx="882">
                  <c:v>35.7165000000007</c:v>
                </c:pt>
                <c:pt idx="883">
                  <c:v>35.7166000000007</c:v>
                </c:pt>
                <c:pt idx="884">
                  <c:v>35.7167000000008</c:v>
                </c:pt>
                <c:pt idx="885">
                  <c:v>35.7168000000008</c:v>
                </c:pt>
                <c:pt idx="886">
                  <c:v>35.7169000000008</c:v>
                </c:pt>
                <c:pt idx="887">
                  <c:v>35.7170000000008</c:v>
                </c:pt>
                <c:pt idx="888">
                  <c:v>35.7171000000008</c:v>
                </c:pt>
                <c:pt idx="889">
                  <c:v>35.7172000000008</c:v>
                </c:pt>
                <c:pt idx="890">
                  <c:v>35.7173000000008</c:v>
                </c:pt>
                <c:pt idx="891">
                  <c:v>35.7174000000008</c:v>
                </c:pt>
                <c:pt idx="892">
                  <c:v>35.7175000000008</c:v>
                </c:pt>
                <c:pt idx="893">
                  <c:v>35.7176000000008</c:v>
                </c:pt>
                <c:pt idx="894">
                  <c:v>35.7177000000008</c:v>
                </c:pt>
                <c:pt idx="895">
                  <c:v>35.7178000000008</c:v>
                </c:pt>
                <c:pt idx="896">
                  <c:v>35.7179000000008</c:v>
                </c:pt>
                <c:pt idx="897">
                  <c:v>35.7180000000008</c:v>
                </c:pt>
                <c:pt idx="898">
                  <c:v>35.7181000000008</c:v>
                </c:pt>
                <c:pt idx="899">
                  <c:v>35.7182000000008</c:v>
                </c:pt>
                <c:pt idx="900">
                  <c:v>35.7183000000008</c:v>
                </c:pt>
                <c:pt idx="901">
                  <c:v>35.7184000000008</c:v>
                </c:pt>
                <c:pt idx="902">
                  <c:v>35.7185000000008</c:v>
                </c:pt>
                <c:pt idx="903">
                  <c:v>35.7186000000008</c:v>
                </c:pt>
                <c:pt idx="904">
                  <c:v>35.7187000000008</c:v>
                </c:pt>
                <c:pt idx="905">
                  <c:v>35.7188000000008</c:v>
                </c:pt>
                <c:pt idx="906">
                  <c:v>35.7189000000008</c:v>
                </c:pt>
                <c:pt idx="907">
                  <c:v>35.7190000000008</c:v>
                </c:pt>
                <c:pt idx="908">
                  <c:v>35.7191000000008</c:v>
                </c:pt>
                <c:pt idx="909">
                  <c:v>35.7192000000008</c:v>
                </c:pt>
                <c:pt idx="910">
                  <c:v>35.7193000000008</c:v>
                </c:pt>
                <c:pt idx="911">
                  <c:v>35.7194000000008</c:v>
                </c:pt>
                <c:pt idx="912">
                  <c:v>35.7195000000008</c:v>
                </c:pt>
                <c:pt idx="913">
                  <c:v>35.7196000000008</c:v>
                </c:pt>
                <c:pt idx="914">
                  <c:v>35.7197000000009</c:v>
                </c:pt>
                <c:pt idx="915">
                  <c:v>35.7198000000009</c:v>
                </c:pt>
                <c:pt idx="916">
                  <c:v>35.7199000000009</c:v>
                </c:pt>
                <c:pt idx="917">
                  <c:v>35.7200000000009</c:v>
                </c:pt>
                <c:pt idx="918">
                  <c:v>35.7201000000009</c:v>
                </c:pt>
                <c:pt idx="919">
                  <c:v>35.7202000000009</c:v>
                </c:pt>
                <c:pt idx="920">
                  <c:v>35.7203000000009</c:v>
                </c:pt>
                <c:pt idx="921">
                  <c:v>35.7204000000009</c:v>
                </c:pt>
                <c:pt idx="922">
                  <c:v>35.7205000000009</c:v>
                </c:pt>
                <c:pt idx="923">
                  <c:v>35.7206000000009</c:v>
                </c:pt>
                <c:pt idx="924">
                  <c:v>35.7207000000009</c:v>
                </c:pt>
                <c:pt idx="925">
                  <c:v>35.7208000000009</c:v>
                </c:pt>
                <c:pt idx="926">
                  <c:v>35.7209000000009</c:v>
                </c:pt>
                <c:pt idx="927">
                  <c:v>35.7210000000009</c:v>
                </c:pt>
                <c:pt idx="928">
                  <c:v>35.7211000000009</c:v>
                </c:pt>
                <c:pt idx="929">
                  <c:v>35.7212000000009</c:v>
                </c:pt>
                <c:pt idx="930">
                  <c:v>35.7213000000009</c:v>
                </c:pt>
                <c:pt idx="931">
                  <c:v>35.7214000000009</c:v>
                </c:pt>
                <c:pt idx="932">
                  <c:v>35.7215000000009</c:v>
                </c:pt>
                <c:pt idx="933">
                  <c:v>35.7216000000009</c:v>
                </c:pt>
                <c:pt idx="934">
                  <c:v>35.7217000000009</c:v>
                </c:pt>
                <c:pt idx="935">
                  <c:v>35.7218000000009</c:v>
                </c:pt>
                <c:pt idx="936">
                  <c:v>35.7219000000009</c:v>
                </c:pt>
                <c:pt idx="937">
                  <c:v>35.7220000000009</c:v>
                </c:pt>
                <c:pt idx="938">
                  <c:v>35.7221000000009</c:v>
                </c:pt>
                <c:pt idx="939">
                  <c:v>35.7222000000009</c:v>
                </c:pt>
                <c:pt idx="940">
                  <c:v>35.7223000000009</c:v>
                </c:pt>
                <c:pt idx="941">
                  <c:v>35.7224000000009</c:v>
                </c:pt>
                <c:pt idx="942">
                  <c:v>35.7225000000009</c:v>
                </c:pt>
                <c:pt idx="943">
                  <c:v>35.7226000000009</c:v>
                </c:pt>
                <c:pt idx="944">
                  <c:v>35.722700000001</c:v>
                </c:pt>
                <c:pt idx="945">
                  <c:v>35.722800000001</c:v>
                </c:pt>
                <c:pt idx="946">
                  <c:v>35.722900000001</c:v>
                </c:pt>
                <c:pt idx="947">
                  <c:v>35.723000000001</c:v>
                </c:pt>
                <c:pt idx="948">
                  <c:v>35.723100000001</c:v>
                </c:pt>
                <c:pt idx="949">
                  <c:v>35.723200000001</c:v>
                </c:pt>
                <c:pt idx="950">
                  <c:v>35.723300000001</c:v>
                </c:pt>
                <c:pt idx="951">
                  <c:v>35.723400000001</c:v>
                </c:pt>
                <c:pt idx="952">
                  <c:v>35.723500000001</c:v>
                </c:pt>
                <c:pt idx="953">
                  <c:v>35.723600000001</c:v>
                </c:pt>
                <c:pt idx="954">
                  <c:v>35.723700000001</c:v>
                </c:pt>
                <c:pt idx="955">
                  <c:v>35.723800000001</c:v>
                </c:pt>
                <c:pt idx="956">
                  <c:v>35.723900000001</c:v>
                </c:pt>
                <c:pt idx="957">
                  <c:v>35.724000000001</c:v>
                </c:pt>
                <c:pt idx="958">
                  <c:v>35.724100000001</c:v>
                </c:pt>
                <c:pt idx="959">
                  <c:v>35.724200000001</c:v>
                </c:pt>
                <c:pt idx="960">
                  <c:v>35.724300000001</c:v>
                </c:pt>
                <c:pt idx="961">
                  <c:v>35.724400000001</c:v>
                </c:pt>
                <c:pt idx="962">
                  <c:v>35.724500000001</c:v>
                </c:pt>
                <c:pt idx="963">
                  <c:v>35.724600000001</c:v>
                </c:pt>
                <c:pt idx="964">
                  <c:v>35.724700000001</c:v>
                </c:pt>
                <c:pt idx="965">
                  <c:v>35.724800000001</c:v>
                </c:pt>
                <c:pt idx="966">
                  <c:v>35.724900000001</c:v>
                </c:pt>
                <c:pt idx="967">
                  <c:v>35.725000000001</c:v>
                </c:pt>
                <c:pt idx="968">
                  <c:v>35.725100000001</c:v>
                </c:pt>
                <c:pt idx="969">
                  <c:v>35.725200000001</c:v>
                </c:pt>
                <c:pt idx="970">
                  <c:v>35.725300000001</c:v>
                </c:pt>
                <c:pt idx="971">
                  <c:v>35.725400000001</c:v>
                </c:pt>
                <c:pt idx="972">
                  <c:v>35.725500000001</c:v>
                </c:pt>
                <c:pt idx="973">
                  <c:v>35.725600000001</c:v>
                </c:pt>
                <c:pt idx="974">
                  <c:v>35.7257000000011</c:v>
                </c:pt>
                <c:pt idx="975">
                  <c:v>35.7258000000011</c:v>
                </c:pt>
                <c:pt idx="976">
                  <c:v>35.7259000000011</c:v>
                </c:pt>
                <c:pt idx="977">
                  <c:v>35.7260000000011</c:v>
                </c:pt>
                <c:pt idx="978">
                  <c:v>35.7261000000011</c:v>
                </c:pt>
                <c:pt idx="979">
                  <c:v>35.7262000000011</c:v>
                </c:pt>
                <c:pt idx="980">
                  <c:v>35.7263000000011</c:v>
                </c:pt>
                <c:pt idx="981">
                  <c:v>35.7264000000011</c:v>
                </c:pt>
                <c:pt idx="982">
                  <c:v>35.7265000000011</c:v>
                </c:pt>
                <c:pt idx="983">
                  <c:v>35.7266000000011</c:v>
                </c:pt>
                <c:pt idx="984">
                  <c:v>35.7267000000011</c:v>
                </c:pt>
                <c:pt idx="985">
                  <c:v>35.7268000000011</c:v>
                </c:pt>
                <c:pt idx="986">
                  <c:v>35.7269000000011</c:v>
                </c:pt>
                <c:pt idx="987">
                  <c:v>35.7270000000011</c:v>
                </c:pt>
                <c:pt idx="988">
                  <c:v>35.7271000000011</c:v>
                </c:pt>
                <c:pt idx="989">
                  <c:v>35.7272000000011</c:v>
                </c:pt>
                <c:pt idx="990">
                  <c:v>35.7273000000011</c:v>
                </c:pt>
                <c:pt idx="991">
                  <c:v>35.7274000000011</c:v>
                </c:pt>
                <c:pt idx="992">
                  <c:v>35.7275000000011</c:v>
                </c:pt>
                <c:pt idx="993">
                  <c:v>35.7276000000011</c:v>
                </c:pt>
                <c:pt idx="994">
                  <c:v>35.7277000000011</c:v>
                </c:pt>
                <c:pt idx="995">
                  <c:v>35.7278000000011</c:v>
                </c:pt>
                <c:pt idx="996">
                  <c:v>35.7279000000011</c:v>
                </c:pt>
                <c:pt idx="997">
                  <c:v>35.7280000000011</c:v>
                </c:pt>
                <c:pt idx="998">
                  <c:v>35.7281000000011</c:v>
                </c:pt>
                <c:pt idx="999">
                  <c:v>35.7282000000011</c:v>
                </c:pt>
                <c:pt idx="1000">
                  <c:v>35.7283000000011</c:v>
                </c:pt>
              </c:numCache>
            </c:numRef>
          </c:xVal>
          <c:yVal>
            <c:numRef>
              <c:f>Calculs!$Q$4:$Q$1004</c:f>
              <c:numCache>
                <c:formatCode>General</c:formatCode>
                <c:ptCount val="1001"/>
                <c:pt idx="1">
                  <c:v>89.3</c:v>
                </c:pt>
                <c:pt idx="2">
                  <c:v>267.9</c:v>
                </c:pt>
                <c:pt idx="3">
                  <c:v>446.5</c:v>
                </c:pt>
                <c:pt idx="4">
                  <c:v>625.1</c:v>
                </c:pt>
                <c:pt idx="5">
                  <c:v>803.7</c:v>
                </c:pt>
                <c:pt idx="6">
                  <c:v>891.944444444445</c:v>
                </c:pt>
                <c:pt idx="7">
                  <c:v>889.833333333333</c:v>
                </c:pt>
                <c:pt idx="8">
                  <c:v>887.722222222222</c:v>
                </c:pt>
                <c:pt idx="9">
                  <c:v>885.611111111111</c:v>
                </c:pt>
                <c:pt idx="10">
                  <c:v>883.5</c:v>
                </c:pt>
                <c:pt idx="11">
                  <c:v>881.388888888889</c:v>
                </c:pt>
                <c:pt idx="12">
                  <c:v>879.277777777778</c:v>
                </c:pt>
                <c:pt idx="13">
                  <c:v>877.166666666667</c:v>
                </c:pt>
                <c:pt idx="14">
                  <c:v>875.055555555556</c:v>
                </c:pt>
                <c:pt idx="15">
                  <c:v>872.944444444445</c:v>
                </c:pt>
                <c:pt idx="16">
                  <c:v>870.833333333333</c:v>
                </c:pt>
                <c:pt idx="17">
                  <c:v>868.722222222222</c:v>
                </c:pt>
                <c:pt idx="18">
                  <c:v>866.611111111111</c:v>
                </c:pt>
                <c:pt idx="19">
                  <c:v>864.5</c:v>
                </c:pt>
                <c:pt idx="20">
                  <c:v>862.388888888889</c:v>
                </c:pt>
                <c:pt idx="21">
                  <c:v>860.277777777778</c:v>
                </c:pt>
                <c:pt idx="22">
                  <c:v>858.166666666667</c:v>
                </c:pt>
                <c:pt idx="23">
                  <c:v>856.055555555556</c:v>
                </c:pt>
                <c:pt idx="24">
                  <c:v>853.944444444445</c:v>
                </c:pt>
                <c:pt idx="25">
                  <c:v>851.833333333333</c:v>
                </c:pt>
                <c:pt idx="26">
                  <c:v>849.722222222222</c:v>
                </c:pt>
                <c:pt idx="27">
                  <c:v>847.611111111111</c:v>
                </c:pt>
                <c:pt idx="28">
                  <c:v>845.5</c:v>
                </c:pt>
                <c:pt idx="29">
                  <c:v>843.388888888889</c:v>
                </c:pt>
                <c:pt idx="30">
                  <c:v>841.277777777778</c:v>
                </c:pt>
                <c:pt idx="31">
                  <c:v>839.166666666667</c:v>
                </c:pt>
                <c:pt idx="32">
                  <c:v>837.055555555556</c:v>
                </c:pt>
                <c:pt idx="33">
                  <c:v>834.944444444445</c:v>
                </c:pt>
                <c:pt idx="34">
                  <c:v>832.833333333333</c:v>
                </c:pt>
                <c:pt idx="35">
                  <c:v>830.722222222222</c:v>
                </c:pt>
                <c:pt idx="36">
                  <c:v>828.611111111111</c:v>
                </c:pt>
                <c:pt idx="37">
                  <c:v>826.5</c:v>
                </c:pt>
                <c:pt idx="38">
                  <c:v>824.388888888889</c:v>
                </c:pt>
                <c:pt idx="39">
                  <c:v>822.277777777778</c:v>
                </c:pt>
                <c:pt idx="40">
                  <c:v>820.166666666667</c:v>
                </c:pt>
                <c:pt idx="41">
                  <c:v>818.055555555556</c:v>
                </c:pt>
                <c:pt idx="42">
                  <c:v>815.944444444444</c:v>
                </c:pt>
                <c:pt idx="43">
                  <c:v>813.833333333333</c:v>
                </c:pt>
                <c:pt idx="44">
                  <c:v>811.722222222222</c:v>
                </c:pt>
                <c:pt idx="45">
                  <c:v>809.611111111111</c:v>
                </c:pt>
                <c:pt idx="46">
                  <c:v>807.5</c:v>
                </c:pt>
                <c:pt idx="47">
                  <c:v>805.388888888889</c:v>
                </c:pt>
                <c:pt idx="48">
                  <c:v>803.277777777778</c:v>
                </c:pt>
                <c:pt idx="49">
                  <c:v>801.166666666667</c:v>
                </c:pt>
                <c:pt idx="50">
                  <c:v>799.055555555556</c:v>
                </c:pt>
                <c:pt idx="51">
                  <c:v>797.41</c:v>
                </c:pt>
                <c:pt idx="52">
                  <c:v>796.23</c:v>
                </c:pt>
                <c:pt idx="53">
                  <c:v>795.05</c:v>
                </c:pt>
                <c:pt idx="54">
                  <c:v>793.87</c:v>
                </c:pt>
                <c:pt idx="55">
                  <c:v>792.69</c:v>
                </c:pt>
                <c:pt idx="56">
                  <c:v>791.51</c:v>
                </c:pt>
                <c:pt idx="57">
                  <c:v>790.33</c:v>
                </c:pt>
                <c:pt idx="58">
                  <c:v>789.15</c:v>
                </c:pt>
                <c:pt idx="59">
                  <c:v>787.97</c:v>
                </c:pt>
                <c:pt idx="60">
                  <c:v>786.79</c:v>
                </c:pt>
                <c:pt idx="61">
                  <c:v>785.61</c:v>
                </c:pt>
                <c:pt idx="62">
                  <c:v>784.43</c:v>
                </c:pt>
                <c:pt idx="63">
                  <c:v>783.25</c:v>
                </c:pt>
                <c:pt idx="64">
                  <c:v>782.07</c:v>
                </c:pt>
                <c:pt idx="65">
                  <c:v>780.89</c:v>
                </c:pt>
                <c:pt idx="66">
                  <c:v>779.71</c:v>
                </c:pt>
                <c:pt idx="67">
                  <c:v>778.53</c:v>
                </c:pt>
                <c:pt idx="68">
                  <c:v>777.35</c:v>
                </c:pt>
                <c:pt idx="69">
                  <c:v>776.17</c:v>
                </c:pt>
                <c:pt idx="70">
                  <c:v>774.99</c:v>
                </c:pt>
                <c:pt idx="71">
                  <c:v>773.81</c:v>
                </c:pt>
                <c:pt idx="72">
                  <c:v>772.63</c:v>
                </c:pt>
                <c:pt idx="73">
                  <c:v>771.45</c:v>
                </c:pt>
                <c:pt idx="74">
                  <c:v>770.27</c:v>
                </c:pt>
                <c:pt idx="75">
                  <c:v>769.09</c:v>
                </c:pt>
                <c:pt idx="76">
                  <c:v>767.91</c:v>
                </c:pt>
                <c:pt idx="77">
                  <c:v>766.73</c:v>
                </c:pt>
                <c:pt idx="78">
                  <c:v>765.55</c:v>
                </c:pt>
                <c:pt idx="79">
                  <c:v>764.37</c:v>
                </c:pt>
                <c:pt idx="80">
                  <c:v>763.19</c:v>
                </c:pt>
                <c:pt idx="81">
                  <c:v>762.01</c:v>
                </c:pt>
                <c:pt idx="82">
                  <c:v>760.83</c:v>
                </c:pt>
                <c:pt idx="83">
                  <c:v>759.65</c:v>
                </c:pt>
                <c:pt idx="84">
                  <c:v>758.47</c:v>
                </c:pt>
                <c:pt idx="85">
                  <c:v>757.29</c:v>
                </c:pt>
                <c:pt idx="86">
                  <c:v>756.11</c:v>
                </c:pt>
                <c:pt idx="87">
                  <c:v>754.93</c:v>
                </c:pt>
                <c:pt idx="88">
                  <c:v>753.75</c:v>
                </c:pt>
                <c:pt idx="89">
                  <c:v>752.57</c:v>
                </c:pt>
                <c:pt idx="90">
                  <c:v>751.39</c:v>
                </c:pt>
                <c:pt idx="91">
                  <c:v>750.21</c:v>
                </c:pt>
                <c:pt idx="92">
                  <c:v>749.03</c:v>
                </c:pt>
                <c:pt idx="93">
                  <c:v>747.85</c:v>
                </c:pt>
                <c:pt idx="94">
                  <c:v>746.67</c:v>
                </c:pt>
                <c:pt idx="95">
                  <c:v>745.49</c:v>
                </c:pt>
                <c:pt idx="96">
                  <c:v>744.31</c:v>
                </c:pt>
                <c:pt idx="97">
                  <c:v>743.13</c:v>
                </c:pt>
                <c:pt idx="98">
                  <c:v>741.95</c:v>
                </c:pt>
                <c:pt idx="99">
                  <c:v>740.77</c:v>
                </c:pt>
                <c:pt idx="100">
                  <c:v>739.59</c:v>
                </c:pt>
                <c:pt idx="101">
                  <c:v>738.2</c:v>
                </c:pt>
                <c:pt idx="102">
                  <c:v>736.6</c:v>
                </c:pt>
                <c:pt idx="103">
                  <c:v>735</c:v>
                </c:pt>
                <c:pt idx="104">
                  <c:v>733.4</c:v>
                </c:pt>
                <c:pt idx="105">
                  <c:v>731.8</c:v>
                </c:pt>
                <c:pt idx="106">
                  <c:v>730.2</c:v>
                </c:pt>
                <c:pt idx="107">
                  <c:v>728.6</c:v>
                </c:pt>
                <c:pt idx="108">
                  <c:v>727</c:v>
                </c:pt>
                <c:pt idx="109">
                  <c:v>725.4</c:v>
                </c:pt>
                <c:pt idx="110">
                  <c:v>723.8</c:v>
                </c:pt>
                <c:pt idx="111">
                  <c:v>722.2</c:v>
                </c:pt>
                <c:pt idx="112">
                  <c:v>720.6</c:v>
                </c:pt>
                <c:pt idx="113">
                  <c:v>719</c:v>
                </c:pt>
                <c:pt idx="114">
                  <c:v>717.4</c:v>
                </c:pt>
                <c:pt idx="115">
                  <c:v>715.8</c:v>
                </c:pt>
                <c:pt idx="116">
                  <c:v>714.2</c:v>
                </c:pt>
                <c:pt idx="117">
                  <c:v>712.6</c:v>
                </c:pt>
                <c:pt idx="118">
                  <c:v>711</c:v>
                </c:pt>
                <c:pt idx="119">
                  <c:v>709.4</c:v>
                </c:pt>
                <c:pt idx="120">
                  <c:v>707.8</c:v>
                </c:pt>
                <c:pt idx="121">
                  <c:v>706.2</c:v>
                </c:pt>
                <c:pt idx="122">
                  <c:v>704.6</c:v>
                </c:pt>
                <c:pt idx="123">
                  <c:v>703</c:v>
                </c:pt>
                <c:pt idx="124">
                  <c:v>701.4</c:v>
                </c:pt>
                <c:pt idx="125">
                  <c:v>699.8</c:v>
                </c:pt>
                <c:pt idx="126">
                  <c:v>698.2</c:v>
                </c:pt>
                <c:pt idx="127">
                  <c:v>696.6</c:v>
                </c:pt>
                <c:pt idx="128">
                  <c:v>695</c:v>
                </c:pt>
                <c:pt idx="129">
                  <c:v>693.4</c:v>
                </c:pt>
                <c:pt idx="130">
                  <c:v>691.8</c:v>
                </c:pt>
                <c:pt idx="131">
                  <c:v>690.2</c:v>
                </c:pt>
                <c:pt idx="132">
                  <c:v>688.6</c:v>
                </c:pt>
                <c:pt idx="133">
                  <c:v>687</c:v>
                </c:pt>
                <c:pt idx="134">
                  <c:v>685.4</c:v>
                </c:pt>
                <c:pt idx="135">
                  <c:v>683.8</c:v>
                </c:pt>
                <c:pt idx="136">
                  <c:v>682.2</c:v>
                </c:pt>
                <c:pt idx="137">
                  <c:v>680.6</c:v>
                </c:pt>
                <c:pt idx="138">
                  <c:v>679</c:v>
                </c:pt>
                <c:pt idx="139">
                  <c:v>677.4</c:v>
                </c:pt>
                <c:pt idx="140">
                  <c:v>675.8</c:v>
                </c:pt>
                <c:pt idx="141">
                  <c:v>674.2</c:v>
                </c:pt>
                <c:pt idx="142">
                  <c:v>672.6</c:v>
                </c:pt>
                <c:pt idx="143">
                  <c:v>671</c:v>
                </c:pt>
                <c:pt idx="144">
                  <c:v>669.4</c:v>
                </c:pt>
                <c:pt idx="145">
                  <c:v>667.8</c:v>
                </c:pt>
                <c:pt idx="146">
                  <c:v>666.2</c:v>
                </c:pt>
                <c:pt idx="147">
                  <c:v>664.6</c:v>
                </c:pt>
                <c:pt idx="148">
                  <c:v>663</c:v>
                </c:pt>
                <c:pt idx="149">
                  <c:v>661.4</c:v>
                </c:pt>
                <c:pt idx="150">
                  <c:v>659.8</c:v>
                </c:pt>
                <c:pt idx="151">
                  <c:v>658.27</c:v>
                </c:pt>
                <c:pt idx="152">
                  <c:v>656.81</c:v>
                </c:pt>
                <c:pt idx="153">
                  <c:v>655.35</c:v>
                </c:pt>
                <c:pt idx="154">
                  <c:v>653.89</c:v>
                </c:pt>
                <c:pt idx="155">
                  <c:v>652.43</c:v>
                </c:pt>
                <c:pt idx="156">
                  <c:v>650.97</c:v>
                </c:pt>
                <c:pt idx="157">
                  <c:v>649.51</c:v>
                </c:pt>
                <c:pt idx="158">
                  <c:v>648.05</c:v>
                </c:pt>
                <c:pt idx="159">
                  <c:v>646.59</c:v>
                </c:pt>
                <c:pt idx="160">
                  <c:v>645.13</c:v>
                </c:pt>
                <c:pt idx="161">
                  <c:v>643.67</c:v>
                </c:pt>
                <c:pt idx="162">
                  <c:v>642.21</c:v>
                </c:pt>
                <c:pt idx="163">
                  <c:v>640.75</c:v>
                </c:pt>
                <c:pt idx="164">
                  <c:v>639.29</c:v>
                </c:pt>
                <c:pt idx="165">
                  <c:v>637.83</c:v>
                </c:pt>
                <c:pt idx="166">
                  <c:v>636.37</c:v>
                </c:pt>
                <c:pt idx="167">
                  <c:v>634.91</c:v>
                </c:pt>
                <c:pt idx="168">
                  <c:v>633.45</c:v>
                </c:pt>
                <c:pt idx="169">
                  <c:v>631.99</c:v>
                </c:pt>
                <c:pt idx="170">
                  <c:v>630.53</c:v>
                </c:pt>
                <c:pt idx="171">
                  <c:v>629.07</c:v>
                </c:pt>
                <c:pt idx="172">
                  <c:v>627.61</c:v>
                </c:pt>
                <c:pt idx="173">
                  <c:v>626.15</c:v>
                </c:pt>
                <c:pt idx="174">
                  <c:v>624.69</c:v>
                </c:pt>
                <c:pt idx="175">
                  <c:v>623.23</c:v>
                </c:pt>
                <c:pt idx="176">
                  <c:v>621.77</c:v>
                </c:pt>
                <c:pt idx="177">
                  <c:v>620.31</c:v>
                </c:pt>
                <c:pt idx="178">
                  <c:v>618.85</c:v>
                </c:pt>
                <c:pt idx="179">
                  <c:v>617.39</c:v>
                </c:pt>
                <c:pt idx="180">
                  <c:v>615.93</c:v>
                </c:pt>
                <c:pt idx="181">
                  <c:v>614.47</c:v>
                </c:pt>
                <c:pt idx="182">
                  <c:v>613.01</c:v>
                </c:pt>
                <c:pt idx="183">
                  <c:v>611.55</c:v>
                </c:pt>
                <c:pt idx="184">
                  <c:v>610.09</c:v>
                </c:pt>
                <c:pt idx="185">
                  <c:v>608.63</c:v>
                </c:pt>
                <c:pt idx="186">
                  <c:v>607.17</c:v>
                </c:pt>
                <c:pt idx="187">
                  <c:v>605.71</c:v>
                </c:pt>
                <c:pt idx="188">
                  <c:v>604.25</c:v>
                </c:pt>
                <c:pt idx="189">
                  <c:v>602.79</c:v>
                </c:pt>
                <c:pt idx="190">
                  <c:v>601.33</c:v>
                </c:pt>
                <c:pt idx="191">
                  <c:v>599.87</c:v>
                </c:pt>
                <c:pt idx="192">
                  <c:v>598.41</c:v>
                </c:pt>
                <c:pt idx="193">
                  <c:v>596.95</c:v>
                </c:pt>
                <c:pt idx="194">
                  <c:v>595.49</c:v>
                </c:pt>
                <c:pt idx="195">
                  <c:v>594.03</c:v>
                </c:pt>
                <c:pt idx="196">
                  <c:v>592.57</c:v>
                </c:pt>
                <c:pt idx="197">
                  <c:v>591.11</c:v>
                </c:pt>
                <c:pt idx="198">
                  <c:v>589.65</c:v>
                </c:pt>
                <c:pt idx="199">
                  <c:v>588.19</c:v>
                </c:pt>
                <c:pt idx="200">
                  <c:v>586.73</c:v>
                </c:pt>
                <c:pt idx="201">
                  <c:v>585.27</c:v>
                </c:pt>
                <c:pt idx="202">
                  <c:v>583.81</c:v>
                </c:pt>
                <c:pt idx="203">
                  <c:v>582.35</c:v>
                </c:pt>
                <c:pt idx="204">
                  <c:v>580.89</c:v>
                </c:pt>
                <c:pt idx="205">
                  <c:v>579.43</c:v>
                </c:pt>
                <c:pt idx="206">
                  <c:v>577.97</c:v>
                </c:pt>
                <c:pt idx="207">
                  <c:v>576.51</c:v>
                </c:pt>
                <c:pt idx="208">
                  <c:v>575.05</c:v>
                </c:pt>
                <c:pt idx="209">
                  <c:v>573.59</c:v>
                </c:pt>
                <c:pt idx="210">
                  <c:v>572.13</c:v>
                </c:pt>
                <c:pt idx="211">
                  <c:v>570.67</c:v>
                </c:pt>
                <c:pt idx="212">
                  <c:v>569.21</c:v>
                </c:pt>
                <c:pt idx="213">
                  <c:v>567.75</c:v>
                </c:pt>
                <c:pt idx="214">
                  <c:v>566.29</c:v>
                </c:pt>
                <c:pt idx="215">
                  <c:v>564.83</c:v>
                </c:pt>
                <c:pt idx="216">
                  <c:v>563.37</c:v>
                </c:pt>
                <c:pt idx="217">
                  <c:v>561.91</c:v>
                </c:pt>
                <c:pt idx="218">
                  <c:v>560.45</c:v>
                </c:pt>
                <c:pt idx="219">
                  <c:v>558.99</c:v>
                </c:pt>
                <c:pt idx="220">
                  <c:v>557.53</c:v>
                </c:pt>
                <c:pt idx="221">
                  <c:v>556.07</c:v>
                </c:pt>
                <c:pt idx="222">
                  <c:v>554.610000000001</c:v>
                </c:pt>
                <c:pt idx="223">
                  <c:v>553.150000000001</c:v>
                </c:pt>
                <c:pt idx="224">
                  <c:v>551.690000000001</c:v>
                </c:pt>
                <c:pt idx="225">
                  <c:v>550.230000000001</c:v>
                </c:pt>
                <c:pt idx="226">
                  <c:v>548.770000000001</c:v>
                </c:pt>
                <c:pt idx="227">
                  <c:v>547.310000000001</c:v>
                </c:pt>
                <c:pt idx="228">
                  <c:v>545.850000000001</c:v>
                </c:pt>
                <c:pt idx="229">
                  <c:v>544.390000000001</c:v>
                </c:pt>
                <c:pt idx="230">
                  <c:v>542.930000000001</c:v>
                </c:pt>
                <c:pt idx="231">
                  <c:v>541.470000000001</c:v>
                </c:pt>
                <c:pt idx="232">
                  <c:v>540.010000000001</c:v>
                </c:pt>
                <c:pt idx="233">
                  <c:v>538.550000000001</c:v>
                </c:pt>
                <c:pt idx="234">
                  <c:v>537.090000000001</c:v>
                </c:pt>
                <c:pt idx="235">
                  <c:v>535.630000000001</c:v>
                </c:pt>
                <c:pt idx="236">
                  <c:v>534.170000000001</c:v>
                </c:pt>
                <c:pt idx="237">
                  <c:v>532.710000000001</c:v>
                </c:pt>
                <c:pt idx="238">
                  <c:v>531.250000000001</c:v>
                </c:pt>
                <c:pt idx="239">
                  <c:v>529.790000000001</c:v>
                </c:pt>
                <c:pt idx="240">
                  <c:v>528.330000000001</c:v>
                </c:pt>
                <c:pt idx="241">
                  <c:v>526.870000000001</c:v>
                </c:pt>
                <c:pt idx="242">
                  <c:v>525.410000000001</c:v>
                </c:pt>
                <c:pt idx="243">
                  <c:v>523.950000000001</c:v>
                </c:pt>
                <c:pt idx="244">
                  <c:v>522.490000000001</c:v>
                </c:pt>
                <c:pt idx="245">
                  <c:v>521.030000000001</c:v>
                </c:pt>
                <c:pt idx="246">
                  <c:v>519.570000000001</c:v>
                </c:pt>
                <c:pt idx="247">
                  <c:v>518.110000000001</c:v>
                </c:pt>
                <c:pt idx="248">
                  <c:v>516.650000000001</c:v>
                </c:pt>
                <c:pt idx="249">
                  <c:v>515.190000000001</c:v>
                </c:pt>
                <c:pt idx="250">
                  <c:v>513.730000000001</c:v>
                </c:pt>
                <c:pt idx="251">
                  <c:v>511.978723404257</c:v>
                </c:pt>
                <c:pt idx="252">
                  <c:v>509.936170212768</c:v>
                </c:pt>
                <c:pt idx="253">
                  <c:v>507.893617021279</c:v>
                </c:pt>
                <c:pt idx="254">
                  <c:v>505.851063829789</c:v>
                </c:pt>
                <c:pt idx="255">
                  <c:v>503.8085106383</c:v>
                </c:pt>
                <c:pt idx="256">
                  <c:v>501.765957446811</c:v>
                </c:pt>
                <c:pt idx="257">
                  <c:v>499.723404255321</c:v>
                </c:pt>
                <c:pt idx="258">
                  <c:v>497.680851063832</c:v>
                </c:pt>
                <c:pt idx="259">
                  <c:v>495.638297872343</c:v>
                </c:pt>
                <c:pt idx="260">
                  <c:v>493.595744680853</c:v>
                </c:pt>
                <c:pt idx="261">
                  <c:v>491.553191489364</c:v>
                </c:pt>
                <c:pt idx="262">
                  <c:v>489.510638297875</c:v>
                </c:pt>
                <c:pt idx="263">
                  <c:v>487.468085106385</c:v>
                </c:pt>
                <c:pt idx="264">
                  <c:v>485.425531914896</c:v>
                </c:pt>
                <c:pt idx="265">
                  <c:v>483.382978723407</c:v>
                </c:pt>
                <c:pt idx="266">
                  <c:v>481.340425531918</c:v>
                </c:pt>
                <c:pt idx="267">
                  <c:v>479.297872340428</c:v>
                </c:pt>
                <c:pt idx="268">
                  <c:v>477.255319148939</c:v>
                </c:pt>
                <c:pt idx="269">
                  <c:v>475.21276595745</c:v>
                </c:pt>
                <c:pt idx="270">
                  <c:v>473.17021276596</c:v>
                </c:pt>
                <c:pt idx="271">
                  <c:v>471.127659574471</c:v>
                </c:pt>
                <c:pt idx="272">
                  <c:v>469.085106382982</c:v>
                </c:pt>
                <c:pt idx="273">
                  <c:v>467.042553191492</c:v>
                </c:pt>
                <c:pt idx="274">
                  <c:v>465.000000000003</c:v>
                </c:pt>
                <c:pt idx="275">
                  <c:v>462.957446808514</c:v>
                </c:pt>
                <c:pt idx="276">
                  <c:v>460.914893617024</c:v>
                </c:pt>
                <c:pt idx="277">
                  <c:v>458.872340425535</c:v>
                </c:pt>
                <c:pt idx="278">
                  <c:v>456.829787234046</c:v>
                </c:pt>
                <c:pt idx="279">
                  <c:v>454.787234042556</c:v>
                </c:pt>
                <c:pt idx="280">
                  <c:v>452.744680851067</c:v>
                </c:pt>
                <c:pt idx="281">
                  <c:v>450.702127659578</c:v>
                </c:pt>
                <c:pt idx="282">
                  <c:v>448.659574468088</c:v>
                </c:pt>
                <c:pt idx="283">
                  <c:v>446.617021276599</c:v>
                </c:pt>
                <c:pt idx="284">
                  <c:v>444.57446808511</c:v>
                </c:pt>
                <c:pt idx="285">
                  <c:v>442.53191489362</c:v>
                </c:pt>
                <c:pt idx="286">
                  <c:v>440.489361702131</c:v>
                </c:pt>
                <c:pt idx="287">
                  <c:v>438.446808510642</c:v>
                </c:pt>
                <c:pt idx="288">
                  <c:v>436.404255319153</c:v>
                </c:pt>
                <c:pt idx="289">
                  <c:v>434.361702127663</c:v>
                </c:pt>
                <c:pt idx="290">
                  <c:v>432.319148936174</c:v>
                </c:pt>
                <c:pt idx="291">
                  <c:v>430.276595744685</c:v>
                </c:pt>
                <c:pt idx="292">
                  <c:v>428.234042553195</c:v>
                </c:pt>
                <c:pt idx="293">
                  <c:v>426.191489361706</c:v>
                </c:pt>
                <c:pt idx="294">
                  <c:v>424.148936170217</c:v>
                </c:pt>
                <c:pt idx="295">
                  <c:v>422.106382978727</c:v>
                </c:pt>
                <c:pt idx="296">
                  <c:v>420.063829787238</c:v>
                </c:pt>
                <c:pt idx="297">
                  <c:v>418.021276595749</c:v>
                </c:pt>
                <c:pt idx="298">
                  <c:v>412.826086956538</c:v>
                </c:pt>
                <c:pt idx="299">
                  <c:v>404.478260869582</c:v>
                </c:pt>
                <c:pt idx="300">
                  <c:v>396.130434782625</c:v>
                </c:pt>
                <c:pt idx="301">
                  <c:v>387.782608695669</c:v>
                </c:pt>
                <c:pt idx="302">
                  <c:v>379.434782608713</c:v>
                </c:pt>
                <c:pt idx="303">
                  <c:v>371.086956521756</c:v>
                </c:pt>
                <c:pt idx="304">
                  <c:v>362.7391304348</c:v>
                </c:pt>
                <c:pt idx="305">
                  <c:v>354.391304347844</c:v>
                </c:pt>
                <c:pt idx="306">
                  <c:v>346.043478260887</c:v>
                </c:pt>
                <c:pt idx="307">
                  <c:v>337.695652173931</c:v>
                </c:pt>
                <c:pt idx="308">
                  <c:v>329.347826086975</c:v>
                </c:pt>
                <c:pt idx="309">
                  <c:v>321.000000000018</c:v>
                </c:pt>
                <c:pt idx="310">
                  <c:v>312.652173913062</c:v>
                </c:pt>
                <c:pt idx="311">
                  <c:v>304.304347826106</c:v>
                </c:pt>
                <c:pt idx="312">
                  <c:v>295.956521739149</c:v>
                </c:pt>
                <c:pt idx="313">
                  <c:v>287.608695652193</c:v>
                </c:pt>
                <c:pt idx="314">
                  <c:v>279.260869565237</c:v>
                </c:pt>
                <c:pt idx="315">
                  <c:v>270.91304347828</c:v>
                </c:pt>
                <c:pt idx="316">
                  <c:v>262.565217391324</c:v>
                </c:pt>
                <c:pt idx="317">
                  <c:v>254.217391304368</c:v>
                </c:pt>
                <c:pt idx="318">
                  <c:v>245.869565217411</c:v>
                </c:pt>
                <c:pt idx="319">
                  <c:v>237.521739130455</c:v>
                </c:pt>
                <c:pt idx="320">
                  <c:v>229.173913043499</c:v>
                </c:pt>
                <c:pt idx="321">
                  <c:v>222.074074074088</c:v>
                </c:pt>
                <c:pt idx="322">
                  <c:v>216.222222222237</c:v>
                </c:pt>
                <c:pt idx="323">
                  <c:v>210.370370370385</c:v>
                </c:pt>
                <c:pt idx="324">
                  <c:v>204.518518518533</c:v>
                </c:pt>
                <c:pt idx="325">
                  <c:v>198.666666666682</c:v>
                </c:pt>
                <c:pt idx="326">
                  <c:v>192.81481481483</c:v>
                </c:pt>
                <c:pt idx="327">
                  <c:v>186.962962962978</c:v>
                </c:pt>
                <c:pt idx="328">
                  <c:v>181.111111111126</c:v>
                </c:pt>
                <c:pt idx="329">
                  <c:v>175.259259259275</c:v>
                </c:pt>
                <c:pt idx="330">
                  <c:v>169.407407407423</c:v>
                </c:pt>
                <c:pt idx="331">
                  <c:v>163.555555555571</c:v>
                </c:pt>
                <c:pt idx="332">
                  <c:v>157.703703703719</c:v>
                </c:pt>
                <c:pt idx="333">
                  <c:v>151.851851851868</c:v>
                </c:pt>
                <c:pt idx="334">
                  <c:v>146.000000000016</c:v>
                </c:pt>
                <c:pt idx="335">
                  <c:v>140.148148148164</c:v>
                </c:pt>
                <c:pt idx="336">
                  <c:v>134.296296296313</c:v>
                </c:pt>
                <c:pt idx="337">
                  <c:v>128.444444444461</c:v>
                </c:pt>
                <c:pt idx="338">
                  <c:v>122.592592592609</c:v>
                </c:pt>
                <c:pt idx="339">
                  <c:v>116.740740740757</c:v>
                </c:pt>
                <c:pt idx="340">
                  <c:v>110.888888888906</c:v>
                </c:pt>
                <c:pt idx="341">
                  <c:v>105.037037037054</c:v>
                </c:pt>
                <c:pt idx="342">
                  <c:v>99.1851851852022</c:v>
                </c:pt>
                <c:pt idx="343">
                  <c:v>93.3333333333505</c:v>
                </c:pt>
                <c:pt idx="344">
                  <c:v>87.4814814814987</c:v>
                </c:pt>
                <c:pt idx="345">
                  <c:v>81.629629629647</c:v>
                </c:pt>
                <c:pt idx="346">
                  <c:v>75.7777777777953</c:v>
                </c:pt>
                <c:pt idx="347">
                  <c:v>69.9259259259436</c:v>
                </c:pt>
                <c:pt idx="348">
                  <c:v>64.2083333333502</c:v>
                </c:pt>
                <c:pt idx="349">
                  <c:v>58.625000000017</c:v>
                </c:pt>
                <c:pt idx="350">
                  <c:v>53.0416666666838</c:v>
                </c:pt>
                <c:pt idx="351">
                  <c:v>47.4583333333506</c:v>
                </c:pt>
                <c:pt idx="352">
                  <c:v>41.8750000000173</c:v>
                </c:pt>
                <c:pt idx="353">
                  <c:v>36.2916666666841</c:v>
                </c:pt>
                <c:pt idx="354">
                  <c:v>30.7083333333509</c:v>
                </c:pt>
                <c:pt idx="355">
                  <c:v>25.1250000000176</c:v>
                </c:pt>
                <c:pt idx="356">
                  <c:v>19.5416666666844</c:v>
                </c:pt>
                <c:pt idx="357">
                  <c:v>13.9583333333512</c:v>
                </c:pt>
                <c:pt idx="358">
                  <c:v>8.37500000001795</c:v>
                </c:pt>
                <c:pt idx="359">
                  <c:v>2.79166666668472</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ser>
        <c:ser>
          <c:idx val="1"/>
          <c:order val="1"/>
          <c:tx>
            <c:strRef>
              <c:f>Courbes!$B$135</c:f>
              <c:strCache>
                <c:ptCount val="1"/>
                <c:pt idx="0">
                  <c:v>Poids</c:v>
                </c:pt>
              </c:strCache>
            </c:strRef>
          </c:tx>
          <c:spPr>
            <a:solidFill>
              <a:srgbClr val="0000ff"/>
            </a:solidFill>
            <a:ln w="25560">
              <a:solidFill>
                <a:srgbClr val="0000ff"/>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34.8000000000002</c:v>
                </c:pt>
                <c:pt idx="709">
                  <c:v>34.9000000000002</c:v>
                </c:pt>
                <c:pt idx="710">
                  <c:v>35.0000000000002</c:v>
                </c:pt>
                <c:pt idx="711">
                  <c:v>35.1000000000002</c:v>
                </c:pt>
                <c:pt idx="712">
                  <c:v>35.2000000000002</c:v>
                </c:pt>
                <c:pt idx="713">
                  <c:v>35.3000000000002</c:v>
                </c:pt>
                <c:pt idx="714">
                  <c:v>35.4000000000002</c:v>
                </c:pt>
                <c:pt idx="715">
                  <c:v>35.5000000000002</c:v>
                </c:pt>
                <c:pt idx="716">
                  <c:v>35.6000000000002</c:v>
                </c:pt>
                <c:pt idx="717">
                  <c:v>35.7000000000002</c:v>
                </c:pt>
                <c:pt idx="718">
                  <c:v>35.7001000000002</c:v>
                </c:pt>
                <c:pt idx="719">
                  <c:v>35.7002000000002</c:v>
                </c:pt>
                <c:pt idx="720">
                  <c:v>35.7003000000002</c:v>
                </c:pt>
                <c:pt idx="721">
                  <c:v>35.7004000000002</c:v>
                </c:pt>
                <c:pt idx="722">
                  <c:v>35.7005000000002</c:v>
                </c:pt>
                <c:pt idx="723">
                  <c:v>35.7006000000002</c:v>
                </c:pt>
                <c:pt idx="724">
                  <c:v>35.7007000000002</c:v>
                </c:pt>
                <c:pt idx="725">
                  <c:v>35.7008000000002</c:v>
                </c:pt>
                <c:pt idx="726">
                  <c:v>35.7009000000002</c:v>
                </c:pt>
                <c:pt idx="727">
                  <c:v>35.7010000000002</c:v>
                </c:pt>
                <c:pt idx="728">
                  <c:v>35.7011000000002</c:v>
                </c:pt>
                <c:pt idx="729">
                  <c:v>35.7012000000002</c:v>
                </c:pt>
                <c:pt idx="730">
                  <c:v>35.7013000000002</c:v>
                </c:pt>
                <c:pt idx="731">
                  <c:v>35.7014000000002</c:v>
                </c:pt>
                <c:pt idx="732">
                  <c:v>35.7015000000002</c:v>
                </c:pt>
                <c:pt idx="733">
                  <c:v>35.7016000000003</c:v>
                </c:pt>
                <c:pt idx="734">
                  <c:v>35.7017000000003</c:v>
                </c:pt>
                <c:pt idx="735">
                  <c:v>35.7018000000003</c:v>
                </c:pt>
                <c:pt idx="736">
                  <c:v>35.7019000000003</c:v>
                </c:pt>
                <c:pt idx="737">
                  <c:v>35.7020000000003</c:v>
                </c:pt>
                <c:pt idx="738">
                  <c:v>35.7021000000003</c:v>
                </c:pt>
                <c:pt idx="739">
                  <c:v>35.7022000000003</c:v>
                </c:pt>
                <c:pt idx="740">
                  <c:v>35.7023000000003</c:v>
                </c:pt>
                <c:pt idx="741">
                  <c:v>35.7024000000003</c:v>
                </c:pt>
                <c:pt idx="742">
                  <c:v>35.7025000000003</c:v>
                </c:pt>
                <c:pt idx="743">
                  <c:v>35.7026000000003</c:v>
                </c:pt>
                <c:pt idx="744">
                  <c:v>35.7027000000003</c:v>
                </c:pt>
                <c:pt idx="745">
                  <c:v>35.7028000000003</c:v>
                </c:pt>
                <c:pt idx="746">
                  <c:v>35.7029000000003</c:v>
                </c:pt>
                <c:pt idx="747">
                  <c:v>35.7030000000003</c:v>
                </c:pt>
                <c:pt idx="748">
                  <c:v>35.7031000000003</c:v>
                </c:pt>
                <c:pt idx="749">
                  <c:v>35.7032000000003</c:v>
                </c:pt>
                <c:pt idx="750">
                  <c:v>35.7033000000003</c:v>
                </c:pt>
                <c:pt idx="751">
                  <c:v>35.7034000000003</c:v>
                </c:pt>
                <c:pt idx="752">
                  <c:v>35.7035000000003</c:v>
                </c:pt>
                <c:pt idx="753">
                  <c:v>35.7036000000003</c:v>
                </c:pt>
                <c:pt idx="754">
                  <c:v>35.7037000000003</c:v>
                </c:pt>
                <c:pt idx="755">
                  <c:v>35.7038000000003</c:v>
                </c:pt>
                <c:pt idx="756">
                  <c:v>35.7039000000003</c:v>
                </c:pt>
                <c:pt idx="757">
                  <c:v>35.7040000000003</c:v>
                </c:pt>
                <c:pt idx="758">
                  <c:v>35.7041000000003</c:v>
                </c:pt>
                <c:pt idx="759">
                  <c:v>35.7042000000003</c:v>
                </c:pt>
                <c:pt idx="760">
                  <c:v>35.7043000000003</c:v>
                </c:pt>
                <c:pt idx="761">
                  <c:v>35.7044000000003</c:v>
                </c:pt>
                <c:pt idx="762">
                  <c:v>35.7045000000003</c:v>
                </c:pt>
                <c:pt idx="763">
                  <c:v>35.7046000000004</c:v>
                </c:pt>
                <c:pt idx="764">
                  <c:v>35.7047000000004</c:v>
                </c:pt>
                <c:pt idx="765">
                  <c:v>35.7048000000004</c:v>
                </c:pt>
                <c:pt idx="766">
                  <c:v>35.7049000000004</c:v>
                </c:pt>
                <c:pt idx="767">
                  <c:v>35.7050000000004</c:v>
                </c:pt>
                <c:pt idx="768">
                  <c:v>35.7051000000004</c:v>
                </c:pt>
                <c:pt idx="769">
                  <c:v>35.7052000000004</c:v>
                </c:pt>
                <c:pt idx="770">
                  <c:v>35.7053000000004</c:v>
                </c:pt>
                <c:pt idx="771">
                  <c:v>35.7054000000004</c:v>
                </c:pt>
                <c:pt idx="772">
                  <c:v>35.7055000000004</c:v>
                </c:pt>
                <c:pt idx="773">
                  <c:v>35.7056000000004</c:v>
                </c:pt>
                <c:pt idx="774">
                  <c:v>35.7057000000004</c:v>
                </c:pt>
                <c:pt idx="775">
                  <c:v>35.7058000000004</c:v>
                </c:pt>
                <c:pt idx="776">
                  <c:v>35.7059000000004</c:v>
                </c:pt>
                <c:pt idx="777">
                  <c:v>35.7060000000004</c:v>
                </c:pt>
                <c:pt idx="778">
                  <c:v>35.7061000000004</c:v>
                </c:pt>
                <c:pt idx="779">
                  <c:v>35.7062000000004</c:v>
                </c:pt>
                <c:pt idx="780">
                  <c:v>35.7063000000004</c:v>
                </c:pt>
                <c:pt idx="781">
                  <c:v>35.7064000000004</c:v>
                </c:pt>
                <c:pt idx="782">
                  <c:v>35.7065000000004</c:v>
                </c:pt>
                <c:pt idx="783">
                  <c:v>35.7066000000004</c:v>
                </c:pt>
                <c:pt idx="784">
                  <c:v>35.7067000000004</c:v>
                </c:pt>
                <c:pt idx="785">
                  <c:v>35.7068000000004</c:v>
                </c:pt>
                <c:pt idx="786">
                  <c:v>35.7069000000004</c:v>
                </c:pt>
                <c:pt idx="787">
                  <c:v>35.7070000000004</c:v>
                </c:pt>
                <c:pt idx="788">
                  <c:v>35.7071000000004</c:v>
                </c:pt>
                <c:pt idx="789">
                  <c:v>35.7072000000004</c:v>
                </c:pt>
                <c:pt idx="790">
                  <c:v>35.7073000000004</c:v>
                </c:pt>
                <c:pt idx="791">
                  <c:v>35.7074000000004</c:v>
                </c:pt>
                <c:pt idx="792">
                  <c:v>35.7075000000004</c:v>
                </c:pt>
                <c:pt idx="793">
                  <c:v>35.7076000000005</c:v>
                </c:pt>
                <c:pt idx="794">
                  <c:v>35.7077000000005</c:v>
                </c:pt>
                <c:pt idx="795">
                  <c:v>35.7078000000005</c:v>
                </c:pt>
                <c:pt idx="796">
                  <c:v>35.7079000000005</c:v>
                </c:pt>
                <c:pt idx="797">
                  <c:v>35.7080000000005</c:v>
                </c:pt>
                <c:pt idx="798">
                  <c:v>35.7081000000005</c:v>
                </c:pt>
                <c:pt idx="799">
                  <c:v>35.7082000000005</c:v>
                </c:pt>
                <c:pt idx="800">
                  <c:v>35.7083000000005</c:v>
                </c:pt>
                <c:pt idx="801">
                  <c:v>35.7084000000005</c:v>
                </c:pt>
                <c:pt idx="802">
                  <c:v>35.7085000000005</c:v>
                </c:pt>
                <c:pt idx="803">
                  <c:v>35.7086000000005</c:v>
                </c:pt>
                <c:pt idx="804">
                  <c:v>35.7087000000005</c:v>
                </c:pt>
                <c:pt idx="805">
                  <c:v>35.7088000000005</c:v>
                </c:pt>
                <c:pt idx="806">
                  <c:v>35.7089000000005</c:v>
                </c:pt>
                <c:pt idx="807">
                  <c:v>35.7090000000005</c:v>
                </c:pt>
                <c:pt idx="808">
                  <c:v>35.7091000000005</c:v>
                </c:pt>
                <c:pt idx="809">
                  <c:v>35.7092000000005</c:v>
                </c:pt>
                <c:pt idx="810">
                  <c:v>35.7093000000005</c:v>
                </c:pt>
                <c:pt idx="811">
                  <c:v>35.7094000000005</c:v>
                </c:pt>
                <c:pt idx="812">
                  <c:v>35.7095000000005</c:v>
                </c:pt>
                <c:pt idx="813">
                  <c:v>35.7096000000005</c:v>
                </c:pt>
                <c:pt idx="814">
                  <c:v>35.7097000000005</c:v>
                </c:pt>
                <c:pt idx="815">
                  <c:v>35.7098000000005</c:v>
                </c:pt>
                <c:pt idx="816">
                  <c:v>35.7099000000005</c:v>
                </c:pt>
                <c:pt idx="817">
                  <c:v>35.7100000000005</c:v>
                </c:pt>
                <c:pt idx="818">
                  <c:v>35.7101000000005</c:v>
                </c:pt>
                <c:pt idx="819">
                  <c:v>35.7102000000005</c:v>
                </c:pt>
                <c:pt idx="820">
                  <c:v>35.7103000000005</c:v>
                </c:pt>
                <c:pt idx="821">
                  <c:v>35.7104000000005</c:v>
                </c:pt>
                <c:pt idx="822">
                  <c:v>35.7105000000005</c:v>
                </c:pt>
                <c:pt idx="823">
                  <c:v>35.7106000000006</c:v>
                </c:pt>
                <c:pt idx="824">
                  <c:v>35.7107000000006</c:v>
                </c:pt>
                <c:pt idx="825">
                  <c:v>35.7108000000006</c:v>
                </c:pt>
                <c:pt idx="826">
                  <c:v>35.7109000000006</c:v>
                </c:pt>
                <c:pt idx="827">
                  <c:v>35.7110000000006</c:v>
                </c:pt>
                <c:pt idx="828">
                  <c:v>35.7111000000006</c:v>
                </c:pt>
                <c:pt idx="829">
                  <c:v>35.7112000000006</c:v>
                </c:pt>
                <c:pt idx="830">
                  <c:v>35.7113000000006</c:v>
                </c:pt>
                <c:pt idx="831">
                  <c:v>35.7114000000006</c:v>
                </c:pt>
                <c:pt idx="832">
                  <c:v>35.7115000000006</c:v>
                </c:pt>
                <c:pt idx="833">
                  <c:v>35.7116000000006</c:v>
                </c:pt>
                <c:pt idx="834">
                  <c:v>35.7117000000006</c:v>
                </c:pt>
                <c:pt idx="835">
                  <c:v>35.7118000000006</c:v>
                </c:pt>
                <c:pt idx="836">
                  <c:v>35.7119000000006</c:v>
                </c:pt>
                <c:pt idx="837">
                  <c:v>35.7120000000006</c:v>
                </c:pt>
                <c:pt idx="838">
                  <c:v>35.7121000000006</c:v>
                </c:pt>
                <c:pt idx="839">
                  <c:v>35.7122000000006</c:v>
                </c:pt>
                <c:pt idx="840">
                  <c:v>35.7123000000006</c:v>
                </c:pt>
                <c:pt idx="841">
                  <c:v>35.7124000000006</c:v>
                </c:pt>
                <c:pt idx="842">
                  <c:v>35.7125000000006</c:v>
                </c:pt>
                <c:pt idx="843">
                  <c:v>35.7126000000006</c:v>
                </c:pt>
                <c:pt idx="844">
                  <c:v>35.7127000000006</c:v>
                </c:pt>
                <c:pt idx="845">
                  <c:v>35.7128000000006</c:v>
                </c:pt>
                <c:pt idx="846">
                  <c:v>35.7129000000006</c:v>
                </c:pt>
                <c:pt idx="847">
                  <c:v>35.7130000000006</c:v>
                </c:pt>
                <c:pt idx="848">
                  <c:v>35.7131000000006</c:v>
                </c:pt>
                <c:pt idx="849">
                  <c:v>35.7132000000006</c:v>
                </c:pt>
                <c:pt idx="850">
                  <c:v>35.7133000000006</c:v>
                </c:pt>
                <c:pt idx="851">
                  <c:v>35.7134000000006</c:v>
                </c:pt>
                <c:pt idx="852">
                  <c:v>35.7135000000006</c:v>
                </c:pt>
                <c:pt idx="853">
                  <c:v>35.7136000000006</c:v>
                </c:pt>
                <c:pt idx="854">
                  <c:v>35.7137000000007</c:v>
                </c:pt>
                <c:pt idx="855">
                  <c:v>35.7138000000007</c:v>
                </c:pt>
                <c:pt idx="856">
                  <c:v>35.7139000000007</c:v>
                </c:pt>
                <c:pt idx="857">
                  <c:v>35.7140000000007</c:v>
                </c:pt>
                <c:pt idx="858">
                  <c:v>35.7141000000007</c:v>
                </c:pt>
                <c:pt idx="859">
                  <c:v>35.7142000000007</c:v>
                </c:pt>
                <c:pt idx="860">
                  <c:v>35.7143000000007</c:v>
                </c:pt>
                <c:pt idx="861">
                  <c:v>35.7144000000007</c:v>
                </c:pt>
                <c:pt idx="862">
                  <c:v>35.7145000000007</c:v>
                </c:pt>
                <c:pt idx="863">
                  <c:v>35.7146000000007</c:v>
                </c:pt>
                <c:pt idx="864">
                  <c:v>35.7147000000007</c:v>
                </c:pt>
                <c:pt idx="865">
                  <c:v>35.7148000000007</c:v>
                </c:pt>
                <c:pt idx="866">
                  <c:v>35.7149000000007</c:v>
                </c:pt>
                <c:pt idx="867">
                  <c:v>35.7150000000007</c:v>
                </c:pt>
                <c:pt idx="868">
                  <c:v>35.7151000000007</c:v>
                </c:pt>
                <c:pt idx="869">
                  <c:v>35.7152000000007</c:v>
                </c:pt>
                <c:pt idx="870">
                  <c:v>35.7153000000007</c:v>
                </c:pt>
                <c:pt idx="871">
                  <c:v>35.7154000000007</c:v>
                </c:pt>
                <c:pt idx="872">
                  <c:v>35.7155000000007</c:v>
                </c:pt>
                <c:pt idx="873">
                  <c:v>35.7156000000007</c:v>
                </c:pt>
                <c:pt idx="874">
                  <c:v>35.7157000000007</c:v>
                </c:pt>
                <c:pt idx="875">
                  <c:v>35.7158000000007</c:v>
                </c:pt>
                <c:pt idx="876">
                  <c:v>35.7159000000007</c:v>
                </c:pt>
                <c:pt idx="877">
                  <c:v>35.7160000000007</c:v>
                </c:pt>
                <c:pt idx="878">
                  <c:v>35.7161000000007</c:v>
                </c:pt>
                <c:pt idx="879">
                  <c:v>35.7162000000007</c:v>
                </c:pt>
                <c:pt idx="880">
                  <c:v>35.7163000000007</c:v>
                </c:pt>
                <c:pt idx="881">
                  <c:v>35.7164000000007</c:v>
                </c:pt>
                <c:pt idx="882">
                  <c:v>35.7165000000007</c:v>
                </c:pt>
                <c:pt idx="883">
                  <c:v>35.7166000000007</c:v>
                </c:pt>
                <c:pt idx="884">
                  <c:v>35.7167000000008</c:v>
                </c:pt>
                <c:pt idx="885">
                  <c:v>35.7168000000008</c:v>
                </c:pt>
                <c:pt idx="886">
                  <c:v>35.7169000000008</c:v>
                </c:pt>
                <c:pt idx="887">
                  <c:v>35.7170000000008</c:v>
                </c:pt>
                <c:pt idx="888">
                  <c:v>35.7171000000008</c:v>
                </c:pt>
                <c:pt idx="889">
                  <c:v>35.7172000000008</c:v>
                </c:pt>
                <c:pt idx="890">
                  <c:v>35.7173000000008</c:v>
                </c:pt>
                <c:pt idx="891">
                  <c:v>35.7174000000008</c:v>
                </c:pt>
                <c:pt idx="892">
                  <c:v>35.7175000000008</c:v>
                </c:pt>
                <c:pt idx="893">
                  <c:v>35.7176000000008</c:v>
                </c:pt>
                <c:pt idx="894">
                  <c:v>35.7177000000008</c:v>
                </c:pt>
                <c:pt idx="895">
                  <c:v>35.7178000000008</c:v>
                </c:pt>
                <c:pt idx="896">
                  <c:v>35.7179000000008</c:v>
                </c:pt>
                <c:pt idx="897">
                  <c:v>35.7180000000008</c:v>
                </c:pt>
                <c:pt idx="898">
                  <c:v>35.7181000000008</c:v>
                </c:pt>
                <c:pt idx="899">
                  <c:v>35.7182000000008</c:v>
                </c:pt>
                <c:pt idx="900">
                  <c:v>35.7183000000008</c:v>
                </c:pt>
                <c:pt idx="901">
                  <c:v>35.7184000000008</c:v>
                </c:pt>
                <c:pt idx="902">
                  <c:v>35.7185000000008</c:v>
                </c:pt>
                <c:pt idx="903">
                  <c:v>35.7186000000008</c:v>
                </c:pt>
                <c:pt idx="904">
                  <c:v>35.7187000000008</c:v>
                </c:pt>
                <c:pt idx="905">
                  <c:v>35.7188000000008</c:v>
                </c:pt>
                <c:pt idx="906">
                  <c:v>35.7189000000008</c:v>
                </c:pt>
                <c:pt idx="907">
                  <c:v>35.7190000000008</c:v>
                </c:pt>
                <c:pt idx="908">
                  <c:v>35.7191000000008</c:v>
                </c:pt>
                <c:pt idx="909">
                  <c:v>35.7192000000008</c:v>
                </c:pt>
                <c:pt idx="910">
                  <c:v>35.7193000000008</c:v>
                </c:pt>
                <c:pt idx="911">
                  <c:v>35.7194000000008</c:v>
                </c:pt>
                <c:pt idx="912">
                  <c:v>35.7195000000008</c:v>
                </c:pt>
                <c:pt idx="913">
                  <c:v>35.7196000000008</c:v>
                </c:pt>
                <c:pt idx="914">
                  <c:v>35.7197000000009</c:v>
                </c:pt>
                <c:pt idx="915">
                  <c:v>35.7198000000009</c:v>
                </c:pt>
                <c:pt idx="916">
                  <c:v>35.7199000000009</c:v>
                </c:pt>
                <c:pt idx="917">
                  <c:v>35.7200000000009</c:v>
                </c:pt>
                <c:pt idx="918">
                  <c:v>35.7201000000009</c:v>
                </c:pt>
                <c:pt idx="919">
                  <c:v>35.7202000000009</c:v>
                </c:pt>
                <c:pt idx="920">
                  <c:v>35.7203000000009</c:v>
                </c:pt>
                <c:pt idx="921">
                  <c:v>35.7204000000009</c:v>
                </c:pt>
                <c:pt idx="922">
                  <c:v>35.7205000000009</c:v>
                </c:pt>
                <c:pt idx="923">
                  <c:v>35.7206000000009</c:v>
                </c:pt>
                <c:pt idx="924">
                  <c:v>35.7207000000009</c:v>
                </c:pt>
                <c:pt idx="925">
                  <c:v>35.7208000000009</c:v>
                </c:pt>
                <c:pt idx="926">
                  <c:v>35.7209000000009</c:v>
                </c:pt>
                <c:pt idx="927">
                  <c:v>35.7210000000009</c:v>
                </c:pt>
                <c:pt idx="928">
                  <c:v>35.7211000000009</c:v>
                </c:pt>
                <c:pt idx="929">
                  <c:v>35.7212000000009</c:v>
                </c:pt>
                <c:pt idx="930">
                  <c:v>35.7213000000009</c:v>
                </c:pt>
                <c:pt idx="931">
                  <c:v>35.7214000000009</c:v>
                </c:pt>
                <c:pt idx="932">
                  <c:v>35.7215000000009</c:v>
                </c:pt>
                <c:pt idx="933">
                  <c:v>35.7216000000009</c:v>
                </c:pt>
                <c:pt idx="934">
                  <c:v>35.7217000000009</c:v>
                </c:pt>
                <c:pt idx="935">
                  <c:v>35.7218000000009</c:v>
                </c:pt>
                <c:pt idx="936">
                  <c:v>35.7219000000009</c:v>
                </c:pt>
                <c:pt idx="937">
                  <c:v>35.7220000000009</c:v>
                </c:pt>
                <c:pt idx="938">
                  <c:v>35.7221000000009</c:v>
                </c:pt>
                <c:pt idx="939">
                  <c:v>35.7222000000009</c:v>
                </c:pt>
                <c:pt idx="940">
                  <c:v>35.7223000000009</c:v>
                </c:pt>
                <c:pt idx="941">
                  <c:v>35.7224000000009</c:v>
                </c:pt>
                <c:pt idx="942">
                  <c:v>35.7225000000009</c:v>
                </c:pt>
                <c:pt idx="943">
                  <c:v>35.7226000000009</c:v>
                </c:pt>
                <c:pt idx="944">
                  <c:v>35.722700000001</c:v>
                </c:pt>
                <c:pt idx="945">
                  <c:v>35.722800000001</c:v>
                </c:pt>
                <c:pt idx="946">
                  <c:v>35.722900000001</c:v>
                </c:pt>
                <c:pt idx="947">
                  <c:v>35.723000000001</c:v>
                </c:pt>
                <c:pt idx="948">
                  <c:v>35.723100000001</c:v>
                </c:pt>
                <c:pt idx="949">
                  <c:v>35.723200000001</c:v>
                </c:pt>
                <c:pt idx="950">
                  <c:v>35.723300000001</c:v>
                </c:pt>
                <c:pt idx="951">
                  <c:v>35.723400000001</c:v>
                </c:pt>
                <c:pt idx="952">
                  <c:v>35.723500000001</c:v>
                </c:pt>
                <c:pt idx="953">
                  <c:v>35.723600000001</c:v>
                </c:pt>
                <c:pt idx="954">
                  <c:v>35.723700000001</c:v>
                </c:pt>
                <c:pt idx="955">
                  <c:v>35.723800000001</c:v>
                </c:pt>
                <c:pt idx="956">
                  <c:v>35.723900000001</c:v>
                </c:pt>
                <c:pt idx="957">
                  <c:v>35.724000000001</c:v>
                </c:pt>
                <c:pt idx="958">
                  <c:v>35.724100000001</c:v>
                </c:pt>
                <c:pt idx="959">
                  <c:v>35.724200000001</c:v>
                </c:pt>
                <c:pt idx="960">
                  <c:v>35.724300000001</c:v>
                </c:pt>
                <c:pt idx="961">
                  <c:v>35.724400000001</c:v>
                </c:pt>
                <c:pt idx="962">
                  <c:v>35.724500000001</c:v>
                </c:pt>
                <c:pt idx="963">
                  <c:v>35.724600000001</c:v>
                </c:pt>
                <c:pt idx="964">
                  <c:v>35.724700000001</c:v>
                </c:pt>
                <c:pt idx="965">
                  <c:v>35.724800000001</c:v>
                </c:pt>
                <c:pt idx="966">
                  <c:v>35.724900000001</c:v>
                </c:pt>
                <c:pt idx="967">
                  <c:v>35.725000000001</c:v>
                </c:pt>
                <c:pt idx="968">
                  <c:v>35.725100000001</c:v>
                </c:pt>
                <c:pt idx="969">
                  <c:v>35.725200000001</c:v>
                </c:pt>
                <c:pt idx="970">
                  <c:v>35.725300000001</c:v>
                </c:pt>
                <c:pt idx="971">
                  <c:v>35.725400000001</c:v>
                </c:pt>
                <c:pt idx="972">
                  <c:v>35.725500000001</c:v>
                </c:pt>
                <c:pt idx="973">
                  <c:v>35.725600000001</c:v>
                </c:pt>
                <c:pt idx="974">
                  <c:v>35.7257000000011</c:v>
                </c:pt>
                <c:pt idx="975">
                  <c:v>35.7258000000011</c:v>
                </c:pt>
                <c:pt idx="976">
                  <c:v>35.7259000000011</c:v>
                </c:pt>
                <c:pt idx="977">
                  <c:v>35.7260000000011</c:v>
                </c:pt>
                <c:pt idx="978">
                  <c:v>35.7261000000011</c:v>
                </c:pt>
                <c:pt idx="979">
                  <c:v>35.7262000000011</c:v>
                </c:pt>
                <c:pt idx="980">
                  <c:v>35.7263000000011</c:v>
                </c:pt>
                <c:pt idx="981">
                  <c:v>35.7264000000011</c:v>
                </c:pt>
                <c:pt idx="982">
                  <c:v>35.7265000000011</c:v>
                </c:pt>
                <c:pt idx="983">
                  <c:v>35.7266000000011</c:v>
                </c:pt>
                <c:pt idx="984">
                  <c:v>35.7267000000011</c:v>
                </c:pt>
                <c:pt idx="985">
                  <c:v>35.7268000000011</c:v>
                </c:pt>
                <c:pt idx="986">
                  <c:v>35.7269000000011</c:v>
                </c:pt>
                <c:pt idx="987">
                  <c:v>35.7270000000011</c:v>
                </c:pt>
                <c:pt idx="988">
                  <c:v>35.7271000000011</c:v>
                </c:pt>
                <c:pt idx="989">
                  <c:v>35.7272000000011</c:v>
                </c:pt>
                <c:pt idx="990">
                  <c:v>35.7273000000011</c:v>
                </c:pt>
                <c:pt idx="991">
                  <c:v>35.7274000000011</c:v>
                </c:pt>
                <c:pt idx="992">
                  <c:v>35.7275000000011</c:v>
                </c:pt>
                <c:pt idx="993">
                  <c:v>35.7276000000011</c:v>
                </c:pt>
                <c:pt idx="994">
                  <c:v>35.7277000000011</c:v>
                </c:pt>
                <c:pt idx="995">
                  <c:v>35.7278000000011</c:v>
                </c:pt>
                <c:pt idx="996">
                  <c:v>35.7279000000011</c:v>
                </c:pt>
                <c:pt idx="997">
                  <c:v>35.7280000000011</c:v>
                </c:pt>
                <c:pt idx="998">
                  <c:v>35.7281000000011</c:v>
                </c:pt>
                <c:pt idx="999">
                  <c:v>35.7282000000011</c:v>
                </c:pt>
                <c:pt idx="1000">
                  <c:v>35.7283000000011</c:v>
                </c:pt>
              </c:numCache>
            </c:numRef>
          </c:xVal>
          <c:yVal>
            <c:numRef>
              <c:f>Calculs!$T$4:$T$1004</c:f>
              <c:numCache>
                <c:formatCode>General</c:formatCode>
                <c:ptCount val="1001"/>
                <c:pt idx="0">
                  <c:v>95.00985</c:v>
                </c:pt>
                <c:pt idx="1">
                  <c:v>95.0054535985319</c:v>
                </c:pt>
                <c:pt idx="2">
                  <c:v>94.9922643941274</c:v>
                </c:pt>
                <c:pt idx="3">
                  <c:v>94.9702823867866</c:v>
                </c:pt>
                <c:pt idx="4">
                  <c:v>94.9395075765096</c:v>
                </c:pt>
                <c:pt idx="5">
                  <c:v>94.8999399632962</c:v>
                </c:pt>
                <c:pt idx="6">
                  <c:v>94.8560279155351</c:v>
                </c:pt>
                <c:pt idx="7">
                  <c:v>94.8122198016149</c:v>
                </c:pt>
                <c:pt idx="8">
                  <c:v>94.7685156215355</c:v>
                </c:pt>
                <c:pt idx="9">
                  <c:v>94.724915375297</c:v>
                </c:pt>
                <c:pt idx="10">
                  <c:v>94.6814190628993</c:v>
                </c:pt>
                <c:pt idx="11">
                  <c:v>94.6380266843425</c:v>
                </c:pt>
                <c:pt idx="12">
                  <c:v>94.5947382396265</c:v>
                </c:pt>
                <c:pt idx="13">
                  <c:v>94.5515537287514</c:v>
                </c:pt>
                <c:pt idx="14">
                  <c:v>94.5084731517171</c:v>
                </c:pt>
                <c:pt idx="15">
                  <c:v>94.4654965085237</c:v>
                </c:pt>
                <c:pt idx="16">
                  <c:v>94.4226237991712</c:v>
                </c:pt>
                <c:pt idx="17">
                  <c:v>94.3798550236595</c:v>
                </c:pt>
                <c:pt idx="18">
                  <c:v>94.3371901819887</c:v>
                </c:pt>
                <c:pt idx="19">
                  <c:v>94.2946292741587</c:v>
                </c:pt>
                <c:pt idx="20">
                  <c:v>94.2521723001696</c:v>
                </c:pt>
                <c:pt idx="21">
                  <c:v>94.2098192600213</c:v>
                </c:pt>
                <c:pt idx="22">
                  <c:v>94.1675701537139</c:v>
                </c:pt>
                <c:pt idx="23">
                  <c:v>94.1254249812473</c:v>
                </c:pt>
                <c:pt idx="24">
                  <c:v>94.0833837426216</c:v>
                </c:pt>
                <c:pt idx="25">
                  <c:v>94.0414464378367</c:v>
                </c:pt>
                <c:pt idx="26">
                  <c:v>93.9996130668927</c:v>
                </c:pt>
                <c:pt idx="27">
                  <c:v>93.9578836297896</c:v>
                </c:pt>
                <c:pt idx="28">
                  <c:v>93.9162581265273</c:v>
                </c:pt>
                <c:pt idx="29">
                  <c:v>93.8747365571059</c:v>
                </c:pt>
                <c:pt idx="30">
                  <c:v>93.8333189215253</c:v>
                </c:pt>
                <c:pt idx="31">
                  <c:v>93.7920052197856</c:v>
                </c:pt>
                <c:pt idx="32">
                  <c:v>93.7507954518867</c:v>
                </c:pt>
                <c:pt idx="33">
                  <c:v>93.7096896178287</c:v>
                </c:pt>
                <c:pt idx="34">
                  <c:v>93.6686877176115</c:v>
                </c:pt>
                <c:pt idx="35">
                  <c:v>93.6277897512352</c:v>
                </c:pt>
                <c:pt idx="36">
                  <c:v>93.5869957186998</c:v>
                </c:pt>
                <c:pt idx="37">
                  <c:v>93.5463056200051</c:v>
                </c:pt>
                <c:pt idx="38">
                  <c:v>93.5057194551514</c:v>
                </c:pt>
                <c:pt idx="39">
                  <c:v>93.4652372241385</c:v>
                </c:pt>
                <c:pt idx="40">
                  <c:v>93.4248589269665</c:v>
                </c:pt>
                <c:pt idx="41">
                  <c:v>93.3845845636353</c:v>
                </c:pt>
                <c:pt idx="42">
                  <c:v>93.344414134145</c:v>
                </c:pt>
                <c:pt idx="43">
                  <c:v>93.3043476384955</c:v>
                </c:pt>
                <c:pt idx="44">
                  <c:v>93.2643850766869</c:v>
                </c:pt>
                <c:pt idx="45">
                  <c:v>93.2245264487191</c:v>
                </c:pt>
                <c:pt idx="46">
                  <c:v>93.1847717545922</c:v>
                </c:pt>
                <c:pt idx="47">
                  <c:v>93.1451209943062</c:v>
                </c:pt>
                <c:pt idx="48">
                  <c:v>93.105574167861</c:v>
                </c:pt>
                <c:pt idx="49">
                  <c:v>93.0661312752567</c:v>
                </c:pt>
                <c:pt idx="50">
                  <c:v>93.0267923164932</c:v>
                </c:pt>
                <c:pt idx="51">
                  <c:v>92.9875343714235</c:v>
                </c:pt>
                <c:pt idx="52">
                  <c:v>92.9483345199007</c:v>
                </c:pt>
                <c:pt idx="53">
                  <c:v>92.9091927619247</c:v>
                </c:pt>
                <c:pt idx="54">
                  <c:v>92.8701090974956</c:v>
                </c:pt>
                <c:pt idx="55">
                  <c:v>92.8310835266133</c:v>
                </c:pt>
                <c:pt idx="56">
                  <c:v>92.7921160492778</c:v>
                </c:pt>
                <c:pt idx="57">
                  <c:v>92.7532066654892</c:v>
                </c:pt>
                <c:pt idx="58">
                  <c:v>92.7143553752474</c:v>
                </c:pt>
                <c:pt idx="59">
                  <c:v>92.6755621785525</c:v>
                </c:pt>
                <c:pt idx="60">
                  <c:v>92.6368270754043</c:v>
                </c:pt>
                <c:pt idx="61">
                  <c:v>92.5981500658031</c:v>
                </c:pt>
                <c:pt idx="62">
                  <c:v>92.5595311497486</c:v>
                </c:pt>
                <c:pt idx="63">
                  <c:v>92.520970327241</c:v>
                </c:pt>
                <c:pt idx="64">
                  <c:v>92.4824675982802</c:v>
                </c:pt>
                <c:pt idx="65">
                  <c:v>92.4440229628663</c:v>
                </c:pt>
                <c:pt idx="66">
                  <c:v>92.4056364209992</c:v>
                </c:pt>
                <c:pt idx="67">
                  <c:v>92.3673079726789</c:v>
                </c:pt>
                <c:pt idx="68">
                  <c:v>92.3290376179054</c:v>
                </c:pt>
                <c:pt idx="69">
                  <c:v>92.2908253566788</c:v>
                </c:pt>
                <c:pt idx="70">
                  <c:v>92.2526711889991</c:v>
                </c:pt>
                <c:pt idx="71">
                  <c:v>92.2145751148662</c:v>
                </c:pt>
                <c:pt idx="72">
                  <c:v>92.1765371342801</c:v>
                </c:pt>
                <c:pt idx="73">
                  <c:v>92.1385572472408</c:v>
                </c:pt>
                <c:pt idx="74">
                  <c:v>92.1006354537484</c:v>
                </c:pt>
                <c:pt idx="75">
                  <c:v>92.0627717538028</c:v>
                </c:pt>
                <c:pt idx="76">
                  <c:v>92.024966147404</c:v>
                </c:pt>
                <c:pt idx="77">
                  <c:v>91.9872186345521</c:v>
                </c:pt>
                <c:pt idx="78">
                  <c:v>91.949529215247</c:v>
                </c:pt>
                <c:pt idx="79">
                  <c:v>91.9118978894888</c:v>
                </c:pt>
                <c:pt idx="80">
                  <c:v>91.8743246572774</c:v>
                </c:pt>
                <c:pt idx="81">
                  <c:v>91.8368095186128</c:v>
                </c:pt>
                <c:pt idx="82">
                  <c:v>91.7993524734951</c:v>
                </c:pt>
                <c:pt idx="83">
                  <c:v>91.7619535219242</c:v>
                </c:pt>
                <c:pt idx="84">
                  <c:v>91.7246126639001</c:v>
                </c:pt>
                <c:pt idx="85">
                  <c:v>91.6873298994229</c:v>
                </c:pt>
                <c:pt idx="86">
                  <c:v>91.6501052284925</c:v>
                </c:pt>
                <c:pt idx="87">
                  <c:v>91.6129386511089</c:v>
                </c:pt>
                <c:pt idx="88">
                  <c:v>91.5758301672722</c:v>
                </c:pt>
                <c:pt idx="89">
                  <c:v>91.5387797769823</c:v>
                </c:pt>
                <c:pt idx="90">
                  <c:v>91.5017874802392</c:v>
                </c:pt>
                <c:pt idx="91">
                  <c:v>91.464853277043</c:v>
                </c:pt>
                <c:pt idx="92">
                  <c:v>91.4279771673936</c:v>
                </c:pt>
                <c:pt idx="93">
                  <c:v>91.3911591512911</c:v>
                </c:pt>
                <c:pt idx="94">
                  <c:v>91.3543992287354</c:v>
                </c:pt>
                <c:pt idx="95">
                  <c:v>91.3176973997265</c:v>
                </c:pt>
                <c:pt idx="96">
                  <c:v>91.2810536642645</c:v>
                </c:pt>
                <c:pt idx="97">
                  <c:v>91.2444680223492</c:v>
                </c:pt>
                <c:pt idx="98">
                  <c:v>91.2079404739809</c:v>
                </c:pt>
                <c:pt idx="99">
                  <c:v>91.1714710191593</c:v>
                </c:pt>
                <c:pt idx="100">
                  <c:v>91.1350596578847</c:v>
                </c:pt>
                <c:pt idx="101">
                  <c:v>91.0987167288389</c:v>
                </c:pt>
                <c:pt idx="102">
                  <c:v>91.062452570704</c:v>
                </c:pt>
                <c:pt idx="103">
                  <c:v>91.0262671834801</c:v>
                </c:pt>
                <c:pt idx="104">
                  <c:v>90.9901605671672</c:v>
                </c:pt>
                <c:pt idx="105">
                  <c:v>90.9541327217653</c:v>
                </c:pt>
                <c:pt idx="106">
                  <c:v>90.9181836472743</c:v>
                </c:pt>
                <c:pt idx="107">
                  <c:v>90.8823133436943</c:v>
                </c:pt>
                <c:pt idx="108">
                  <c:v>90.8465218110252</c:v>
                </c:pt>
                <c:pt idx="109">
                  <c:v>90.8108090492671</c:v>
                </c:pt>
                <c:pt idx="110">
                  <c:v>90.77517505842</c:v>
                </c:pt>
                <c:pt idx="111">
                  <c:v>90.7396198384839</c:v>
                </c:pt>
                <c:pt idx="112">
                  <c:v>90.7041433894587</c:v>
                </c:pt>
                <c:pt idx="113">
                  <c:v>90.6687457113444</c:v>
                </c:pt>
                <c:pt idx="114">
                  <c:v>90.6334268041412</c:v>
                </c:pt>
                <c:pt idx="115">
                  <c:v>90.5981866678489</c:v>
                </c:pt>
                <c:pt idx="116">
                  <c:v>90.5630253024675</c:v>
                </c:pt>
                <c:pt idx="117">
                  <c:v>90.5279427079971</c:v>
                </c:pt>
                <c:pt idx="118">
                  <c:v>90.4929388844377</c:v>
                </c:pt>
                <c:pt idx="119">
                  <c:v>90.4580138317892</c:v>
                </c:pt>
                <c:pt idx="120">
                  <c:v>90.4231675500518</c:v>
                </c:pt>
                <c:pt idx="121">
                  <c:v>90.3884000392252</c:v>
                </c:pt>
                <c:pt idx="122">
                  <c:v>90.3537112993097</c:v>
                </c:pt>
                <c:pt idx="123">
                  <c:v>90.3191013303051</c:v>
                </c:pt>
                <c:pt idx="124">
                  <c:v>90.2845701322114</c:v>
                </c:pt>
                <c:pt idx="125">
                  <c:v>90.2501177050287</c:v>
                </c:pt>
                <c:pt idx="126">
                  <c:v>90.215744048757</c:v>
                </c:pt>
                <c:pt idx="127">
                  <c:v>90.1814491633963</c:v>
                </c:pt>
                <c:pt idx="128">
                  <c:v>90.1472330489465</c:v>
                </c:pt>
                <c:pt idx="129">
                  <c:v>90.1130957054077</c:v>
                </c:pt>
                <c:pt idx="130">
                  <c:v>90.0790371327798</c:v>
                </c:pt>
                <c:pt idx="131">
                  <c:v>90.0450573310629</c:v>
                </c:pt>
                <c:pt idx="132">
                  <c:v>90.011156300257</c:v>
                </c:pt>
                <c:pt idx="133">
                  <c:v>89.977334040362</c:v>
                </c:pt>
                <c:pt idx="134">
                  <c:v>89.943590551378</c:v>
                </c:pt>
                <c:pt idx="135">
                  <c:v>89.909925833305</c:v>
                </c:pt>
                <c:pt idx="136">
                  <c:v>89.8763398861429</c:v>
                </c:pt>
                <c:pt idx="137">
                  <c:v>89.8428327098918</c:v>
                </c:pt>
                <c:pt idx="138">
                  <c:v>89.8094043045517</c:v>
                </c:pt>
                <c:pt idx="139">
                  <c:v>89.7760546701225</c:v>
                </c:pt>
                <c:pt idx="140">
                  <c:v>89.7427838066043</c:v>
                </c:pt>
                <c:pt idx="141">
                  <c:v>89.709591713997</c:v>
                </c:pt>
                <c:pt idx="142">
                  <c:v>89.6764783923007</c:v>
                </c:pt>
                <c:pt idx="143">
                  <c:v>89.6434438415154</c:v>
                </c:pt>
                <c:pt idx="144">
                  <c:v>89.610488061641</c:v>
                </c:pt>
                <c:pt idx="145">
                  <c:v>89.5776110526776</c:v>
                </c:pt>
                <c:pt idx="146">
                  <c:v>89.5448128146252</c:v>
                </c:pt>
                <c:pt idx="147">
                  <c:v>89.5120933474837</c:v>
                </c:pt>
                <c:pt idx="148">
                  <c:v>89.4794526512532</c:v>
                </c:pt>
                <c:pt idx="149">
                  <c:v>89.4468907259336</c:v>
                </c:pt>
                <c:pt idx="150">
                  <c:v>89.414407571525</c:v>
                </c:pt>
                <c:pt idx="151">
                  <c:v>89.3819997418001</c:v>
                </c:pt>
                <c:pt idx="152">
                  <c:v>89.3496637905313</c:v>
                </c:pt>
                <c:pt idx="153">
                  <c:v>89.3173997177189</c:v>
                </c:pt>
                <c:pt idx="154">
                  <c:v>89.2852075233627</c:v>
                </c:pt>
                <c:pt idx="155">
                  <c:v>89.2530872074627</c:v>
                </c:pt>
                <c:pt idx="156">
                  <c:v>89.221038770019</c:v>
                </c:pt>
                <c:pt idx="157">
                  <c:v>89.1890622110316</c:v>
                </c:pt>
                <c:pt idx="158">
                  <c:v>89.1571575305004</c:v>
                </c:pt>
                <c:pt idx="159">
                  <c:v>89.1253247284254</c:v>
                </c:pt>
                <c:pt idx="160">
                  <c:v>89.0935638048067</c:v>
                </c:pt>
                <c:pt idx="161">
                  <c:v>89.0618747596443</c:v>
                </c:pt>
                <c:pt idx="162">
                  <c:v>89.0302575929381</c:v>
                </c:pt>
                <c:pt idx="163">
                  <c:v>88.9987123046882</c:v>
                </c:pt>
                <c:pt idx="164">
                  <c:v>88.9672388948945</c:v>
                </c:pt>
                <c:pt idx="165">
                  <c:v>88.9358373635571</c:v>
                </c:pt>
                <c:pt idx="166">
                  <c:v>88.9045077106759</c:v>
                </c:pt>
                <c:pt idx="167">
                  <c:v>88.873249936251</c:v>
                </c:pt>
                <c:pt idx="168">
                  <c:v>88.8420640402824</c:v>
                </c:pt>
                <c:pt idx="169">
                  <c:v>88.81095002277</c:v>
                </c:pt>
                <c:pt idx="170">
                  <c:v>88.7799078837138</c:v>
                </c:pt>
                <c:pt idx="171">
                  <c:v>88.7489376231139</c:v>
                </c:pt>
                <c:pt idx="172">
                  <c:v>88.7180392409703</c:v>
                </c:pt>
                <c:pt idx="173">
                  <c:v>88.6872127372829</c:v>
                </c:pt>
                <c:pt idx="174">
                  <c:v>88.6564581120518</c:v>
                </c:pt>
                <c:pt idx="175">
                  <c:v>88.6257753652769</c:v>
                </c:pt>
                <c:pt idx="176">
                  <c:v>88.5951644969583</c:v>
                </c:pt>
                <c:pt idx="177">
                  <c:v>88.5646255070959</c:v>
                </c:pt>
                <c:pt idx="178">
                  <c:v>88.5341583956898</c:v>
                </c:pt>
                <c:pt idx="179">
                  <c:v>88.5037631627399</c:v>
                </c:pt>
                <c:pt idx="180">
                  <c:v>88.4734398082463</c:v>
                </c:pt>
                <c:pt idx="181">
                  <c:v>88.443188332209</c:v>
                </c:pt>
                <c:pt idx="182">
                  <c:v>88.4130087346279</c:v>
                </c:pt>
                <c:pt idx="183">
                  <c:v>88.3829010155031</c:v>
                </c:pt>
                <c:pt idx="184">
                  <c:v>88.3528651748345</c:v>
                </c:pt>
                <c:pt idx="185">
                  <c:v>88.3229012126221</c:v>
                </c:pt>
                <c:pt idx="186">
                  <c:v>88.2930091288661</c:v>
                </c:pt>
                <c:pt idx="187">
                  <c:v>88.2631889235662</c:v>
                </c:pt>
                <c:pt idx="188">
                  <c:v>88.2334405967227</c:v>
                </c:pt>
                <c:pt idx="189">
                  <c:v>88.2037641483353</c:v>
                </c:pt>
                <c:pt idx="190">
                  <c:v>88.1741595784043</c:v>
                </c:pt>
                <c:pt idx="191">
                  <c:v>88.1446268869295</c:v>
                </c:pt>
                <c:pt idx="192">
                  <c:v>88.1151660739109</c:v>
                </c:pt>
                <c:pt idx="193">
                  <c:v>88.0857771393486</c:v>
                </c:pt>
                <c:pt idx="194">
                  <c:v>88.0564600832426</c:v>
                </c:pt>
                <c:pt idx="195">
                  <c:v>88.0272149055928</c:v>
                </c:pt>
                <c:pt idx="196">
                  <c:v>87.9980416063992</c:v>
                </c:pt>
                <c:pt idx="197">
                  <c:v>87.968940185662</c:v>
                </c:pt>
                <c:pt idx="198">
                  <c:v>87.9399106433809</c:v>
                </c:pt>
                <c:pt idx="199">
                  <c:v>87.9109529795562</c:v>
                </c:pt>
                <c:pt idx="200">
                  <c:v>87.8820671941876</c:v>
                </c:pt>
                <c:pt idx="201">
                  <c:v>87.8532532872754</c:v>
                </c:pt>
                <c:pt idx="202">
                  <c:v>87.8245112588194</c:v>
                </c:pt>
                <c:pt idx="203">
                  <c:v>87.7958411088196</c:v>
                </c:pt>
                <c:pt idx="204">
                  <c:v>87.7672428372761</c:v>
                </c:pt>
                <c:pt idx="205">
                  <c:v>87.7387164441889</c:v>
                </c:pt>
                <c:pt idx="206">
                  <c:v>87.7102619295579</c:v>
                </c:pt>
                <c:pt idx="207">
                  <c:v>87.6818792933831</c:v>
                </c:pt>
                <c:pt idx="208">
                  <c:v>87.6535685356646</c:v>
                </c:pt>
                <c:pt idx="209">
                  <c:v>87.6253296564024</c:v>
                </c:pt>
                <c:pt idx="210">
                  <c:v>87.5971626555964</c:v>
                </c:pt>
                <c:pt idx="211">
                  <c:v>87.5690675332467</c:v>
                </c:pt>
                <c:pt idx="212">
                  <c:v>87.5410442893532</c:v>
                </c:pt>
                <c:pt idx="213">
                  <c:v>87.513092923916</c:v>
                </c:pt>
                <c:pt idx="214">
                  <c:v>87.4852134369351</c:v>
                </c:pt>
                <c:pt idx="215">
                  <c:v>87.4574058284104</c:v>
                </c:pt>
                <c:pt idx="216">
                  <c:v>87.4296700983419</c:v>
                </c:pt>
                <c:pt idx="217">
                  <c:v>87.4020062467297</c:v>
                </c:pt>
                <c:pt idx="218">
                  <c:v>87.3744142735738</c:v>
                </c:pt>
                <c:pt idx="219">
                  <c:v>87.3468941788741</c:v>
                </c:pt>
                <c:pt idx="220">
                  <c:v>87.3194459626306</c:v>
                </c:pt>
                <c:pt idx="221">
                  <c:v>87.2920696248435</c:v>
                </c:pt>
                <c:pt idx="222">
                  <c:v>87.2647651655125</c:v>
                </c:pt>
                <c:pt idx="223">
                  <c:v>87.2375325846379</c:v>
                </c:pt>
                <c:pt idx="224">
                  <c:v>87.2103718822195</c:v>
                </c:pt>
                <c:pt idx="225">
                  <c:v>87.1832830582573</c:v>
                </c:pt>
                <c:pt idx="226">
                  <c:v>87.1562661127514</c:v>
                </c:pt>
                <c:pt idx="227">
                  <c:v>87.1293210457017</c:v>
                </c:pt>
                <c:pt idx="228">
                  <c:v>87.1024478571083</c:v>
                </c:pt>
                <c:pt idx="229">
                  <c:v>87.0756465469712</c:v>
                </c:pt>
                <c:pt idx="230">
                  <c:v>87.0489171152903</c:v>
                </c:pt>
                <c:pt idx="231">
                  <c:v>87.0222595620656</c:v>
                </c:pt>
                <c:pt idx="232">
                  <c:v>86.9956738872972</c:v>
                </c:pt>
                <c:pt idx="233">
                  <c:v>86.9691600909851</c:v>
                </c:pt>
                <c:pt idx="234">
                  <c:v>86.9427181731293</c:v>
                </c:pt>
                <c:pt idx="235">
                  <c:v>86.9163481337296</c:v>
                </c:pt>
                <c:pt idx="236">
                  <c:v>86.8900499727863</c:v>
                </c:pt>
                <c:pt idx="237">
                  <c:v>86.8638236902991</c:v>
                </c:pt>
                <c:pt idx="238">
                  <c:v>86.8376692862683</c:v>
                </c:pt>
                <c:pt idx="239">
                  <c:v>86.8115867606937</c:v>
                </c:pt>
                <c:pt idx="240">
                  <c:v>86.7855761135753</c:v>
                </c:pt>
                <c:pt idx="241">
                  <c:v>86.7596373449132</c:v>
                </c:pt>
                <c:pt idx="242">
                  <c:v>86.7337704547074</c:v>
                </c:pt>
                <c:pt idx="243">
                  <c:v>86.7079754429578</c:v>
                </c:pt>
                <c:pt idx="244">
                  <c:v>86.6822523096645</c:v>
                </c:pt>
                <c:pt idx="245">
                  <c:v>86.6566010548274</c:v>
                </c:pt>
                <c:pt idx="246">
                  <c:v>86.6310216784466</c:v>
                </c:pt>
                <c:pt idx="247">
                  <c:v>86.605514180522</c:v>
                </c:pt>
                <c:pt idx="248">
                  <c:v>86.5800785610537</c:v>
                </c:pt>
                <c:pt idx="249">
                  <c:v>86.5547148200416</c:v>
                </c:pt>
                <c:pt idx="250">
                  <c:v>86.5294229574858</c:v>
                </c:pt>
                <c:pt idx="251">
                  <c:v>86.504217313463</c:v>
                </c:pt>
                <c:pt idx="252">
                  <c:v>86.4791122280499</c:v>
                </c:pt>
                <c:pt idx="253">
                  <c:v>86.4541077012466</c:v>
                </c:pt>
                <c:pt idx="254">
                  <c:v>86.429203733053</c:v>
                </c:pt>
                <c:pt idx="255">
                  <c:v>86.4044003234691</c:v>
                </c:pt>
                <c:pt idx="256">
                  <c:v>86.379697472495</c:v>
                </c:pt>
                <c:pt idx="257">
                  <c:v>86.3550951801307</c:v>
                </c:pt>
                <c:pt idx="258">
                  <c:v>86.330593446376</c:v>
                </c:pt>
                <c:pt idx="259">
                  <c:v>86.3061922712312</c:v>
                </c:pt>
                <c:pt idx="260">
                  <c:v>86.281891654696</c:v>
                </c:pt>
                <c:pt idx="261">
                  <c:v>86.2576915967706</c:v>
                </c:pt>
                <c:pt idx="262">
                  <c:v>86.233592097455</c:v>
                </c:pt>
                <c:pt idx="263">
                  <c:v>86.209593156749</c:v>
                </c:pt>
                <c:pt idx="264">
                  <c:v>86.1856947746529</c:v>
                </c:pt>
                <c:pt idx="265">
                  <c:v>86.1618969511664</c:v>
                </c:pt>
                <c:pt idx="266">
                  <c:v>86.1381996862897</c:v>
                </c:pt>
                <c:pt idx="267">
                  <c:v>86.1146029800228</c:v>
                </c:pt>
                <c:pt idx="268">
                  <c:v>86.0911068323656</c:v>
                </c:pt>
                <c:pt idx="269">
                  <c:v>86.0677112433181</c:v>
                </c:pt>
                <c:pt idx="270">
                  <c:v>86.0444162128803</c:v>
                </c:pt>
                <c:pt idx="271">
                  <c:v>86.0212217410523</c:v>
                </c:pt>
                <c:pt idx="272">
                  <c:v>85.9981278278341</c:v>
                </c:pt>
                <c:pt idx="273">
                  <c:v>85.9751344732255</c:v>
                </c:pt>
                <c:pt idx="274">
                  <c:v>85.9522416772268</c:v>
                </c:pt>
                <c:pt idx="275">
                  <c:v>85.9294494398377</c:v>
                </c:pt>
                <c:pt idx="276">
                  <c:v>85.9067577610584</c:v>
                </c:pt>
                <c:pt idx="277">
                  <c:v>85.8841666408889</c:v>
                </c:pt>
                <c:pt idx="278">
                  <c:v>85.861676079329</c:v>
                </c:pt>
                <c:pt idx="279">
                  <c:v>85.839286076379</c:v>
                </c:pt>
                <c:pt idx="280">
                  <c:v>85.8169966320386</c:v>
                </c:pt>
                <c:pt idx="281">
                  <c:v>85.794807746308</c:v>
                </c:pt>
                <c:pt idx="282">
                  <c:v>85.7727194191872</c:v>
                </c:pt>
                <c:pt idx="283">
                  <c:v>85.7507316506761</c:v>
                </c:pt>
                <c:pt idx="284">
                  <c:v>85.7288444407747</c:v>
                </c:pt>
                <c:pt idx="285">
                  <c:v>85.7070577894831</c:v>
                </c:pt>
                <c:pt idx="286">
                  <c:v>85.6853716968012</c:v>
                </c:pt>
                <c:pt idx="287">
                  <c:v>85.663786162729</c:v>
                </c:pt>
                <c:pt idx="288">
                  <c:v>85.6423011872666</c:v>
                </c:pt>
                <c:pt idx="289">
                  <c:v>85.620916770414</c:v>
                </c:pt>
                <c:pt idx="290">
                  <c:v>85.5996329121711</c:v>
                </c:pt>
                <c:pt idx="291">
                  <c:v>85.5784496125379</c:v>
                </c:pt>
                <c:pt idx="292">
                  <c:v>85.5573668715144</c:v>
                </c:pt>
                <c:pt idx="293">
                  <c:v>85.5363846891007</c:v>
                </c:pt>
                <c:pt idx="294">
                  <c:v>85.5155030652968</c:v>
                </c:pt>
                <c:pt idx="295">
                  <c:v>85.4947220001026</c:v>
                </c:pt>
                <c:pt idx="296">
                  <c:v>85.4740414935181</c:v>
                </c:pt>
                <c:pt idx="297">
                  <c:v>85.4534615455434</c:v>
                </c:pt>
                <c:pt idx="298">
                  <c:v>85.4331373662064</c:v>
                </c:pt>
                <c:pt idx="299">
                  <c:v>85.4132241655354</c:v>
                </c:pt>
                <c:pt idx="300">
                  <c:v>85.3937219435303</c:v>
                </c:pt>
                <c:pt idx="301">
                  <c:v>85.374630700191</c:v>
                </c:pt>
                <c:pt idx="302">
                  <c:v>85.3559504355177</c:v>
                </c:pt>
                <c:pt idx="303">
                  <c:v>85.3376811495103</c:v>
                </c:pt>
                <c:pt idx="304">
                  <c:v>85.3198228421687</c:v>
                </c:pt>
                <c:pt idx="305">
                  <c:v>85.3023755134931</c:v>
                </c:pt>
                <c:pt idx="306">
                  <c:v>85.2853391634833</c:v>
                </c:pt>
                <c:pt idx="307">
                  <c:v>85.2687137921395</c:v>
                </c:pt>
                <c:pt idx="308">
                  <c:v>85.2524993994615</c:v>
                </c:pt>
                <c:pt idx="309">
                  <c:v>85.2366959854494</c:v>
                </c:pt>
                <c:pt idx="310">
                  <c:v>85.2213035501033</c:v>
                </c:pt>
                <c:pt idx="311">
                  <c:v>85.206322093423</c:v>
                </c:pt>
                <c:pt idx="312">
                  <c:v>85.1917516154087</c:v>
                </c:pt>
                <c:pt idx="313">
                  <c:v>85.1775921160602</c:v>
                </c:pt>
                <c:pt idx="314">
                  <c:v>85.1638435953776</c:v>
                </c:pt>
                <c:pt idx="315">
                  <c:v>85.1505060533609</c:v>
                </c:pt>
                <c:pt idx="316">
                  <c:v>85.1375794900101</c:v>
                </c:pt>
                <c:pt idx="317">
                  <c:v>85.1250639053253</c:v>
                </c:pt>
                <c:pt idx="318">
                  <c:v>85.1129592993063</c:v>
                </c:pt>
                <c:pt idx="319">
                  <c:v>85.1012656719532</c:v>
                </c:pt>
                <c:pt idx="320">
                  <c:v>85.089983023266</c:v>
                </c:pt>
                <c:pt idx="321">
                  <c:v>85.0790499125684</c:v>
                </c:pt>
                <c:pt idx="322">
                  <c:v>85.068404899184</c:v>
                </c:pt>
                <c:pt idx="323">
                  <c:v>85.0580479831128</c:v>
                </c:pt>
                <c:pt idx="324">
                  <c:v>85.0479791643549</c:v>
                </c:pt>
                <c:pt idx="325">
                  <c:v>85.0381984429103</c:v>
                </c:pt>
                <c:pt idx="326">
                  <c:v>85.0287058187789</c:v>
                </c:pt>
                <c:pt idx="327">
                  <c:v>85.0195012919608</c:v>
                </c:pt>
                <c:pt idx="328">
                  <c:v>85.0105848624559</c:v>
                </c:pt>
                <c:pt idx="329">
                  <c:v>85.0019565302642</c:v>
                </c:pt>
                <c:pt idx="330">
                  <c:v>84.9936162953858</c:v>
                </c:pt>
                <c:pt idx="331">
                  <c:v>84.9855641578207</c:v>
                </c:pt>
                <c:pt idx="332">
                  <c:v>84.9778001175688</c:v>
                </c:pt>
                <c:pt idx="333">
                  <c:v>84.9703241746301</c:v>
                </c:pt>
                <c:pt idx="334">
                  <c:v>84.9631363290047</c:v>
                </c:pt>
                <c:pt idx="335">
                  <c:v>84.9562365806925</c:v>
                </c:pt>
                <c:pt idx="336">
                  <c:v>84.9496249296936</c:v>
                </c:pt>
                <c:pt idx="337">
                  <c:v>84.9433013760079</c:v>
                </c:pt>
                <c:pt idx="338">
                  <c:v>84.9372659196354</c:v>
                </c:pt>
                <c:pt idx="339">
                  <c:v>84.9315185605763</c:v>
                </c:pt>
                <c:pt idx="340">
                  <c:v>84.9260592988303</c:v>
                </c:pt>
                <c:pt idx="341">
                  <c:v>84.9208881343976</c:v>
                </c:pt>
                <c:pt idx="342">
                  <c:v>84.9160050672782</c:v>
                </c:pt>
                <c:pt idx="343">
                  <c:v>84.9114100974719</c:v>
                </c:pt>
                <c:pt idx="344">
                  <c:v>84.907103224979</c:v>
                </c:pt>
                <c:pt idx="345">
                  <c:v>84.9030844497993</c:v>
                </c:pt>
                <c:pt idx="346">
                  <c:v>84.8993537719328</c:v>
                </c:pt>
                <c:pt idx="347">
                  <c:v>84.8959111913796</c:v>
                </c:pt>
                <c:pt idx="348">
                  <c:v>84.892750098312</c:v>
                </c:pt>
                <c:pt idx="349">
                  <c:v>84.8898638829025</c:v>
                </c:pt>
                <c:pt idx="350">
                  <c:v>84.887252545151</c:v>
                </c:pt>
                <c:pt idx="351">
                  <c:v>84.8849160850576</c:v>
                </c:pt>
                <c:pt idx="352">
                  <c:v>84.8828545026222</c:v>
                </c:pt>
                <c:pt idx="353">
                  <c:v>84.8810677978449</c:v>
                </c:pt>
                <c:pt idx="354">
                  <c:v>84.8795559707256</c:v>
                </c:pt>
                <c:pt idx="355">
                  <c:v>84.8783190212644</c:v>
                </c:pt>
                <c:pt idx="356">
                  <c:v>84.8773569494612</c:v>
                </c:pt>
                <c:pt idx="357">
                  <c:v>84.8766697553161</c:v>
                </c:pt>
                <c:pt idx="358">
                  <c:v>84.876257438829</c:v>
                </c:pt>
                <c:pt idx="359">
                  <c:v>84.87612</c:v>
                </c:pt>
                <c:pt idx="360">
                  <c:v>84.87612</c:v>
                </c:pt>
                <c:pt idx="361">
                  <c:v>84.87612</c:v>
                </c:pt>
                <c:pt idx="362">
                  <c:v>84.87612</c:v>
                </c:pt>
                <c:pt idx="363">
                  <c:v>84.87612</c:v>
                </c:pt>
                <c:pt idx="364">
                  <c:v>84.87612</c:v>
                </c:pt>
                <c:pt idx="365">
                  <c:v>84.87612</c:v>
                </c:pt>
                <c:pt idx="366">
                  <c:v>84.87612</c:v>
                </c:pt>
                <c:pt idx="367">
                  <c:v>84.87612</c:v>
                </c:pt>
                <c:pt idx="368">
                  <c:v>84.87612</c:v>
                </c:pt>
                <c:pt idx="369">
                  <c:v>84.87612</c:v>
                </c:pt>
                <c:pt idx="370">
                  <c:v>84.87612</c:v>
                </c:pt>
                <c:pt idx="371">
                  <c:v>84.87612</c:v>
                </c:pt>
                <c:pt idx="372">
                  <c:v>84.87612</c:v>
                </c:pt>
                <c:pt idx="373">
                  <c:v>84.87612</c:v>
                </c:pt>
                <c:pt idx="374">
                  <c:v>84.87612</c:v>
                </c:pt>
                <c:pt idx="375">
                  <c:v>84.87612</c:v>
                </c:pt>
                <c:pt idx="376">
                  <c:v>84.87612</c:v>
                </c:pt>
                <c:pt idx="377">
                  <c:v>84.87612</c:v>
                </c:pt>
                <c:pt idx="378">
                  <c:v>84.87612</c:v>
                </c:pt>
                <c:pt idx="379">
                  <c:v>84.87612</c:v>
                </c:pt>
                <c:pt idx="380">
                  <c:v>84.87612</c:v>
                </c:pt>
                <c:pt idx="381">
                  <c:v>84.87612</c:v>
                </c:pt>
                <c:pt idx="382">
                  <c:v>84.87612</c:v>
                </c:pt>
                <c:pt idx="383">
                  <c:v>84.87612</c:v>
                </c:pt>
                <c:pt idx="384">
                  <c:v>84.87612</c:v>
                </c:pt>
                <c:pt idx="385">
                  <c:v>84.87612</c:v>
                </c:pt>
                <c:pt idx="386">
                  <c:v>84.87612</c:v>
                </c:pt>
                <c:pt idx="387">
                  <c:v>84.87612</c:v>
                </c:pt>
                <c:pt idx="388">
                  <c:v>84.87612</c:v>
                </c:pt>
                <c:pt idx="389">
                  <c:v>84.87612</c:v>
                </c:pt>
                <c:pt idx="390">
                  <c:v>84.87612</c:v>
                </c:pt>
                <c:pt idx="391">
                  <c:v>84.87612</c:v>
                </c:pt>
                <c:pt idx="392">
                  <c:v>84.87612</c:v>
                </c:pt>
                <c:pt idx="393">
                  <c:v>84.87612</c:v>
                </c:pt>
                <c:pt idx="394">
                  <c:v>84.87612</c:v>
                </c:pt>
                <c:pt idx="395">
                  <c:v>84.87612</c:v>
                </c:pt>
                <c:pt idx="396">
                  <c:v>84.87612</c:v>
                </c:pt>
                <c:pt idx="397">
                  <c:v>84.87612</c:v>
                </c:pt>
                <c:pt idx="398">
                  <c:v>84.87612</c:v>
                </c:pt>
                <c:pt idx="399">
                  <c:v>84.87612</c:v>
                </c:pt>
                <c:pt idx="400">
                  <c:v>84.87612</c:v>
                </c:pt>
                <c:pt idx="401">
                  <c:v>84.87612</c:v>
                </c:pt>
                <c:pt idx="402">
                  <c:v>84.87612</c:v>
                </c:pt>
                <c:pt idx="403">
                  <c:v>84.87612</c:v>
                </c:pt>
                <c:pt idx="404">
                  <c:v>84.87612</c:v>
                </c:pt>
                <c:pt idx="405">
                  <c:v>84.87612</c:v>
                </c:pt>
                <c:pt idx="406">
                  <c:v>84.87612</c:v>
                </c:pt>
                <c:pt idx="407">
                  <c:v>84.87612</c:v>
                </c:pt>
                <c:pt idx="408">
                  <c:v>84.87612</c:v>
                </c:pt>
                <c:pt idx="409">
                  <c:v>84.87612</c:v>
                </c:pt>
                <c:pt idx="410">
                  <c:v>84.87612</c:v>
                </c:pt>
                <c:pt idx="411">
                  <c:v>84.87612</c:v>
                </c:pt>
                <c:pt idx="412">
                  <c:v>84.87612</c:v>
                </c:pt>
                <c:pt idx="413">
                  <c:v>84.87612</c:v>
                </c:pt>
                <c:pt idx="414">
                  <c:v>84.87612</c:v>
                </c:pt>
                <c:pt idx="415">
                  <c:v>84.87612</c:v>
                </c:pt>
                <c:pt idx="416">
                  <c:v>84.87612</c:v>
                </c:pt>
                <c:pt idx="417">
                  <c:v>84.87612</c:v>
                </c:pt>
                <c:pt idx="418">
                  <c:v>84.87612</c:v>
                </c:pt>
                <c:pt idx="419">
                  <c:v>84.87612</c:v>
                </c:pt>
                <c:pt idx="420">
                  <c:v>84.87612</c:v>
                </c:pt>
                <c:pt idx="421">
                  <c:v>84.87612</c:v>
                </c:pt>
                <c:pt idx="422">
                  <c:v>84.87612</c:v>
                </c:pt>
                <c:pt idx="423">
                  <c:v>84.87612</c:v>
                </c:pt>
                <c:pt idx="424">
                  <c:v>84.87612</c:v>
                </c:pt>
                <c:pt idx="425">
                  <c:v>84.87612</c:v>
                </c:pt>
                <c:pt idx="426">
                  <c:v>84.87612</c:v>
                </c:pt>
                <c:pt idx="427">
                  <c:v>84.87612</c:v>
                </c:pt>
                <c:pt idx="428">
                  <c:v>84.87612</c:v>
                </c:pt>
                <c:pt idx="429">
                  <c:v>84.87612</c:v>
                </c:pt>
                <c:pt idx="430">
                  <c:v>84.87612</c:v>
                </c:pt>
                <c:pt idx="431">
                  <c:v>84.87612</c:v>
                </c:pt>
                <c:pt idx="432">
                  <c:v>84.87612</c:v>
                </c:pt>
                <c:pt idx="433">
                  <c:v>84.87612</c:v>
                </c:pt>
                <c:pt idx="434">
                  <c:v>84.87612</c:v>
                </c:pt>
                <c:pt idx="435">
                  <c:v>84.87612</c:v>
                </c:pt>
                <c:pt idx="436">
                  <c:v>84.87612</c:v>
                </c:pt>
                <c:pt idx="437">
                  <c:v>84.87612</c:v>
                </c:pt>
                <c:pt idx="438">
                  <c:v>84.87612</c:v>
                </c:pt>
                <c:pt idx="439">
                  <c:v>84.87612</c:v>
                </c:pt>
                <c:pt idx="440">
                  <c:v>84.87612</c:v>
                </c:pt>
                <c:pt idx="441">
                  <c:v>84.87612</c:v>
                </c:pt>
                <c:pt idx="442">
                  <c:v>84.87612</c:v>
                </c:pt>
                <c:pt idx="443">
                  <c:v>84.87612</c:v>
                </c:pt>
                <c:pt idx="444">
                  <c:v>84.87612</c:v>
                </c:pt>
                <c:pt idx="445">
                  <c:v>84.87612</c:v>
                </c:pt>
                <c:pt idx="446">
                  <c:v>84.87612</c:v>
                </c:pt>
                <c:pt idx="447">
                  <c:v>84.87612</c:v>
                </c:pt>
                <c:pt idx="448">
                  <c:v>84.87612</c:v>
                </c:pt>
                <c:pt idx="449">
                  <c:v>84.87612</c:v>
                </c:pt>
                <c:pt idx="450">
                  <c:v>84.87612</c:v>
                </c:pt>
                <c:pt idx="451">
                  <c:v>84.87612</c:v>
                </c:pt>
                <c:pt idx="452">
                  <c:v>84.87612</c:v>
                </c:pt>
                <c:pt idx="453">
                  <c:v>84.87612</c:v>
                </c:pt>
                <c:pt idx="454">
                  <c:v>84.87612</c:v>
                </c:pt>
                <c:pt idx="455">
                  <c:v>84.87612</c:v>
                </c:pt>
                <c:pt idx="456">
                  <c:v>84.87612</c:v>
                </c:pt>
                <c:pt idx="457">
                  <c:v>84.87612</c:v>
                </c:pt>
                <c:pt idx="458">
                  <c:v>84.87612</c:v>
                </c:pt>
                <c:pt idx="459">
                  <c:v>84.87612</c:v>
                </c:pt>
                <c:pt idx="460">
                  <c:v>84.87612</c:v>
                </c:pt>
                <c:pt idx="461">
                  <c:v>84.87612</c:v>
                </c:pt>
                <c:pt idx="462">
                  <c:v>84.87612</c:v>
                </c:pt>
                <c:pt idx="463">
                  <c:v>84.87612</c:v>
                </c:pt>
                <c:pt idx="464">
                  <c:v>84.87612</c:v>
                </c:pt>
                <c:pt idx="465">
                  <c:v>84.87612</c:v>
                </c:pt>
                <c:pt idx="466">
                  <c:v>84.87612</c:v>
                </c:pt>
                <c:pt idx="467">
                  <c:v>84.87612</c:v>
                </c:pt>
                <c:pt idx="468">
                  <c:v>84.87612</c:v>
                </c:pt>
                <c:pt idx="469">
                  <c:v>84.87612</c:v>
                </c:pt>
                <c:pt idx="470">
                  <c:v>84.87612</c:v>
                </c:pt>
                <c:pt idx="471">
                  <c:v>84.87612</c:v>
                </c:pt>
                <c:pt idx="472">
                  <c:v>84.87612</c:v>
                </c:pt>
                <c:pt idx="473">
                  <c:v>84.87612</c:v>
                </c:pt>
                <c:pt idx="474">
                  <c:v>84.87612</c:v>
                </c:pt>
                <c:pt idx="475">
                  <c:v>84.87612</c:v>
                </c:pt>
                <c:pt idx="476">
                  <c:v>84.87612</c:v>
                </c:pt>
                <c:pt idx="477">
                  <c:v>84.87612</c:v>
                </c:pt>
                <c:pt idx="478">
                  <c:v>84.87612</c:v>
                </c:pt>
                <c:pt idx="479">
                  <c:v>84.87612</c:v>
                </c:pt>
                <c:pt idx="480">
                  <c:v>84.87612</c:v>
                </c:pt>
                <c:pt idx="481">
                  <c:v>84.87612</c:v>
                </c:pt>
                <c:pt idx="482">
                  <c:v>84.87612</c:v>
                </c:pt>
                <c:pt idx="483">
                  <c:v>84.87612</c:v>
                </c:pt>
                <c:pt idx="484">
                  <c:v>84.87612</c:v>
                </c:pt>
                <c:pt idx="485">
                  <c:v>84.87612</c:v>
                </c:pt>
                <c:pt idx="486">
                  <c:v>84.87612</c:v>
                </c:pt>
                <c:pt idx="487">
                  <c:v>84.87612</c:v>
                </c:pt>
                <c:pt idx="488">
                  <c:v>84.87612</c:v>
                </c:pt>
                <c:pt idx="489">
                  <c:v>84.87612</c:v>
                </c:pt>
                <c:pt idx="490">
                  <c:v>84.87612</c:v>
                </c:pt>
                <c:pt idx="491">
                  <c:v>84.87612</c:v>
                </c:pt>
                <c:pt idx="492">
                  <c:v>84.87612</c:v>
                </c:pt>
                <c:pt idx="493">
                  <c:v>84.87612</c:v>
                </c:pt>
                <c:pt idx="494">
                  <c:v>84.87612</c:v>
                </c:pt>
                <c:pt idx="495">
                  <c:v>84.87612</c:v>
                </c:pt>
                <c:pt idx="496">
                  <c:v>84.87612</c:v>
                </c:pt>
                <c:pt idx="497">
                  <c:v>84.87612</c:v>
                </c:pt>
                <c:pt idx="498">
                  <c:v>84.87612</c:v>
                </c:pt>
                <c:pt idx="499">
                  <c:v>84.87612</c:v>
                </c:pt>
                <c:pt idx="500">
                  <c:v>84.87612</c:v>
                </c:pt>
                <c:pt idx="501">
                  <c:v>84.87612</c:v>
                </c:pt>
                <c:pt idx="502">
                  <c:v>84.87612</c:v>
                </c:pt>
                <c:pt idx="503">
                  <c:v>84.87612</c:v>
                </c:pt>
                <c:pt idx="504">
                  <c:v>84.87612</c:v>
                </c:pt>
                <c:pt idx="505">
                  <c:v>84.87612</c:v>
                </c:pt>
                <c:pt idx="506">
                  <c:v>84.87612</c:v>
                </c:pt>
                <c:pt idx="507">
                  <c:v>84.87612</c:v>
                </c:pt>
                <c:pt idx="508">
                  <c:v>84.87612</c:v>
                </c:pt>
                <c:pt idx="509">
                  <c:v>84.87612</c:v>
                </c:pt>
                <c:pt idx="510">
                  <c:v>84.87612</c:v>
                </c:pt>
                <c:pt idx="511">
                  <c:v>84.87612</c:v>
                </c:pt>
                <c:pt idx="512">
                  <c:v>84.87612</c:v>
                </c:pt>
                <c:pt idx="513">
                  <c:v>84.87612</c:v>
                </c:pt>
                <c:pt idx="514">
                  <c:v>84.87612</c:v>
                </c:pt>
                <c:pt idx="515">
                  <c:v>84.87612</c:v>
                </c:pt>
                <c:pt idx="516">
                  <c:v>84.87612</c:v>
                </c:pt>
                <c:pt idx="517">
                  <c:v>84.87612</c:v>
                </c:pt>
                <c:pt idx="518">
                  <c:v>84.87612</c:v>
                </c:pt>
                <c:pt idx="519">
                  <c:v>84.87612</c:v>
                </c:pt>
                <c:pt idx="520">
                  <c:v>84.87612</c:v>
                </c:pt>
                <c:pt idx="521">
                  <c:v>84.87612</c:v>
                </c:pt>
                <c:pt idx="522">
                  <c:v>84.87612</c:v>
                </c:pt>
                <c:pt idx="523">
                  <c:v>84.87612</c:v>
                </c:pt>
                <c:pt idx="524">
                  <c:v>84.87612</c:v>
                </c:pt>
                <c:pt idx="525">
                  <c:v>84.87612</c:v>
                </c:pt>
                <c:pt idx="526">
                  <c:v>84.87612</c:v>
                </c:pt>
                <c:pt idx="527">
                  <c:v>84.87612</c:v>
                </c:pt>
                <c:pt idx="528">
                  <c:v>84.87612</c:v>
                </c:pt>
                <c:pt idx="529">
                  <c:v>84.87612</c:v>
                </c:pt>
                <c:pt idx="530">
                  <c:v>84.87612</c:v>
                </c:pt>
                <c:pt idx="531">
                  <c:v>84.87612</c:v>
                </c:pt>
                <c:pt idx="532">
                  <c:v>84.87612</c:v>
                </c:pt>
                <c:pt idx="533">
                  <c:v>84.87612</c:v>
                </c:pt>
                <c:pt idx="534">
                  <c:v>84.87612</c:v>
                </c:pt>
                <c:pt idx="535">
                  <c:v>84.87612</c:v>
                </c:pt>
                <c:pt idx="536">
                  <c:v>84.87612</c:v>
                </c:pt>
                <c:pt idx="537">
                  <c:v>84.87612</c:v>
                </c:pt>
                <c:pt idx="538">
                  <c:v>84.87612</c:v>
                </c:pt>
                <c:pt idx="539">
                  <c:v>84.87612</c:v>
                </c:pt>
                <c:pt idx="540">
                  <c:v>84.87612</c:v>
                </c:pt>
                <c:pt idx="541">
                  <c:v>84.87612</c:v>
                </c:pt>
                <c:pt idx="542">
                  <c:v>84.87612</c:v>
                </c:pt>
                <c:pt idx="543">
                  <c:v>84.87612</c:v>
                </c:pt>
                <c:pt idx="544">
                  <c:v>84.87612</c:v>
                </c:pt>
                <c:pt idx="545">
                  <c:v>84.87612</c:v>
                </c:pt>
                <c:pt idx="546">
                  <c:v>84.87612</c:v>
                </c:pt>
                <c:pt idx="547">
                  <c:v>84.87612</c:v>
                </c:pt>
                <c:pt idx="548">
                  <c:v>84.87612</c:v>
                </c:pt>
                <c:pt idx="549">
                  <c:v>84.87612</c:v>
                </c:pt>
                <c:pt idx="550">
                  <c:v>84.87612</c:v>
                </c:pt>
                <c:pt idx="551">
                  <c:v>84.87612</c:v>
                </c:pt>
                <c:pt idx="552">
                  <c:v>84.87612</c:v>
                </c:pt>
                <c:pt idx="553">
                  <c:v>84.87612</c:v>
                </c:pt>
                <c:pt idx="554">
                  <c:v>84.87612</c:v>
                </c:pt>
                <c:pt idx="555">
                  <c:v>84.87612</c:v>
                </c:pt>
                <c:pt idx="556">
                  <c:v>84.87612</c:v>
                </c:pt>
                <c:pt idx="557">
                  <c:v>84.87612</c:v>
                </c:pt>
                <c:pt idx="558">
                  <c:v>84.87612</c:v>
                </c:pt>
                <c:pt idx="559">
                  <c:v>84.87612</c:v>
                </c:pt>
                <c:pt idx="560">
                  <c:v>84.87612</c:v>
                </c:pt>
                <c:pt idx="561">
                  <c:v>84.87612</c:v>
                </c:pt>
                <c:pt idx="562">
                  <c:v>84.87612</c:v>
                </c:pt>
                <c:pt idx="563">
                  <c:v>84.87612</c:v>
                </c:pt>
                <c:pt idx="564">
                  <c:v>84.87612</c:v>
                </c:pt>
                <c:pt idx="565">
                  <c:v>84.87612</c:v>
                </c:pt>
                <c:pt idx="566">
                  <c:v>84.87612</c:v>
                </c:pt>
                <c:pt idx="567">
                  <c:v>84.87612</c:v>
                </c:pt>
                <c:pt idx="568">
                  <c:v>84.87612</c:v>
                </c:pt>
                <c:pt idx="569">
                  <c:v>84.87612</c:v>
                </c:pt>
                <c:pt idx="570">
                  <c:v>84.87612</c:v>
                </c:pt>
                <c:pt idx="571">
                  <c:v>84.87612</c:v>
                </c:pt>
                <c:pt idx="572">
                  <c:v>84.87612</c:v>
                </c:pt>
                <c:pt idx="573">
                  <c:v>84.87612</c:v>
                </c:pt>
                <c:pt idx="574">
                  <c:v>84.87612</c:v>
                </c:pt>
                <c:pt idx="575">
                  <c:v>84.87612</c:v>
                </c:pt>
                <c:pt idx="576">
                  <c:v>84.87612</c:v>
                </c:pt>
                <c:pt idx="577">
                  <c:v>84.87612</c:v>
                </c:pt>
                <c:pt idx="578">
                  <c:v>84.87612</c:v>
                </c:pt>
                <c:pt idx="579">
                  <c:v>84.87612</c:v>
                </c:pt>
                <c:pt idx="580">
                  <c:v>84.87612</c:v>
                </c:pt>
                <c:pt idx="581">
                  <c:v>84.87612</c:v>
                </c:pt>
                <c:pt idx="582">
                  <c:v>84.87612</c:v>
                </c:pt>
                <c:pt idx="583">
                  <c:v>84.87612</c:v>
                </c:pt>
                <c:pt idx="584">
                  <c:v>84.87612</c:v>
                </c:pt>
                <c:pt idx="585">
                  <c:v>84.87612</c:v>
                </c:pt>
                <c:pt idx="586">
                  <c:v>84.87612</c:v>
                </c:pt>
                <c:pt idx="587">
                  <c:v>84.87612</c:v>
                </c:pt>
                <c:pt idx="588">
                  <c:v>84.87612</c:v>
                </c:pt>
                <c:pt idx="589">
                  <c:v>84.87612</c:v>
                </c:pt>
                <c:pt idx="590">
                  <c:v>84.87612</c:v>
                </c:pt>
                <c:pt idx="591">
                  <c:v>84.87612</c:v>
                </c:pt>
                <c:pt idx="592">
                  <c:v>84.87612</c:v>
                </c:pt>
                <c:pt idx="593">
                  <c:v>84.87612</c:v>
                </c:pt>
                <c:pt idx="594">
                  <c:v>84.87612</c:v>
                </c:pt>
                <c:pt idx="595">
                  <c:v>84.87612</c:v>
                </c:pt>
                <c:pt idx="596">
                  <c:v>84.87612</c:v>
                </c:pt>
                <c:pt idx="597">
                  <c:v>84.87612</c:v>
                </c:pt>
                <c:pt idx="598">
                  <c:v>84.87612</c:v>
                </c:pt>
                <c:pt idx="599">
                  <c:v>84.87612</c:v>
                </c:pt>
                <c:pt idx="600">
                  <c:v>84.87612</c:v>
                </c:pt>
                <c:pt idx="601">
                  <c:v>84.87612</c:v>
                </c:pt>
                <c:pt idx="602">
                  <c:v>84.87612</c:v>
                </c:pt>
                <c:pt idx="603">
                  <c:v>84.87612</c:v>
                </c:pt>
                <c:pt idx="604">
                  <c:v>84.87612</c:v>
                </c:pt>
                <c:pt idx="605">
                  <c:v>84.87612</c:v>
                </c:pt>
                <c:pt idx="606">
                  <c:v>84.87612</c:v>
                </c:pt>
                <c:pt idx="607">
                  <c:v>84.87612</c:v>
                </c:pt>
                <c:pt idx="608">
                  <c:v>84.87612</c:v>
                </c:pt>
                <c:pt idx="609">
                  <c:v>84.87612</c:v>
                </c:pt>
                <c:pt idx="610">
                  <c:v>84.87612</c:v>
                </c:pt>
                <c:pt idx="611">
                  <c:v>84.87612</c:v>
                </c:pt>
                <c:pt idx="612">
                  <c:v>84.87612</c:v>
                </c:pt>
                <c:pt idx="613">
                  <c:v>84.87612</c:v>
                </c:pt>
                <c:pt idx="614">
                  <c:v>84.87612</c:v>
                </c:pt>
                <c:pt idx="615">
                  <c:v>84.87612</c:v>
                </c:pt>
                <c:pt idx="616">
                  <c:v>84.87612</c:v>
                </c:pt>
                <c:pt idx="617">
                  <c:v>84.87612</c:v>
                </c:pt>
                <c:pt idx="618">
                  <c:v>84.87612</c:v>
                </c:pt>
                <c:pt idx="619">
                  <c:v>84.87612</c:v>
                </c:pt>
                <c:pt idx="620">
                  <c:v>84.87612</c:v>
                </c:pt>
                <c:pt idx="621">
                  <c:v>84.87612</c:v>
                </c:pt>
                <c:pt idx="622">
                  <c:v>84.87612</c:v>
                </c:pt>
                <c:pt idx="623">
                  <c:v>84.87612</c:v>
                </c:pt>
                <c:pt idx="624">
                  <c:v>84.87612</c:v>
                </c:pt>
                <c:pt idx="625">
                  <c:v>84.87612</c:v>
                </c:pt>
                <c:pt idx="626">
                  <c:v>84.87612</c:v>
                </c:pt>
                <c:pt idx="627">
                  <c:v>84.87612</c:v>
                </c:pt>
                <c:pt idx="628">
                  <c:v>84.87612</c:v>
                </c:pt>
                <c:pt idx="629">
                  <c:v>84.87612</c:v>
                </c:pt>
                <c:pt idx="630">
                  <c:v>84.87612</c:v>
                </c:pt>
                <c:pt idx="631">
                  <c:v>84.87612</c:v>
                </c:pt>
                <c:pt idx="632">
                  <c:v>84.87612</c:v>
                </c:pt>
                <c:pt idx="633">
                  <c:v>84.87612</c:v>
                </c:pt>
                <c:pt idx="634">
                  <c:v>84.87612</c:v>
                </c:pt>
                <c:pt idx="635">
                  <c:v>84.87612</c:v>
                </c:pt>
                <c:pt idx="636">
                  <c:v>84.87612</c:v>
                </c:pt>
                <c:pt idx="637">
                  <c:v>84.87612</c:v>
                </c:pt>
                <c:pt idx="638">
                  <c:v>84.87612</c:v>
                </c:pt>
                <c:pt idx="639">
                  <c:v>84.87612</c:v>
                </c:pt>
                <c:pt idx="640">
                  <c:v>84.87612</c:v>
                </c:pt>
                <c:pt idx="641">
                  <c:v>84.87612</c:v>
                </c:pt>
                <c:pt idx="642">
                  <c:v>84.87612</c:v>
                </c:pt>
                <c:pt idx="643">
                  <c:v>84.87612</c:v>
                </c:pt>
                <c:pt idx="644">
                  <c:v>84.87612</c:v>
                </c:pt>
                <c:pt idx="645">
                  <c:v>84.87612</c:v>
                </c:pt>
                <c:pt idx="646">
                  <c:v>84.87612</c:v>
                </c:pt>
                <c:pt idx="647">
                  <c:v>84.87612</c:v>
                </c:pt>
                <c:pt idx="648">
                  <c:v>84.87612</c:v>
                </c:pt>
                <c:pt idx="649">
                  <c:v>84.87612</c:v>
                </c:pt>
                <c:pt idx="650">
                  <c:v>84.87612</c:v>
                </c:pt>
                <c:pt idx="651">
                  <c:v>84.87612</c:v>
                </c:pt>
                <c:pt idx="652">
                  <c:v>84.87612</c:v>
                </c:pt>
                <c:pt idx="653">
                  <c:v>84.87612</c:v>
                </c:pt>
                <c:pt idx="654">
                  <c:v>84.87612</c:v>
                </c:pt>
                <c:pt idx="655">
                  <c:v>84.87612</c:v>
                </c:pt>
                <c:pt idx="656">
                  <c:v>84.87612</c:v>
                </c:pt>
                <c:pt idx="657">
                  <c:v>84.87612</c:v>
                </c:pt>
                <c:pt idx="658">
                  <c:v>84.87612</c:v>
                </c:pt>
                <c:pt idx="659">
                  <c:v>84.87612</c:v>
                </c:pt>
                <c:pt idx="660">
                  <c:v>84.87612</c:v>
                </c:pt>
                <c:pt idx="661">
                  <c:v>84.87612</c:v>
                </c:pt>
                <c:pt idx="662">
                  <c:v>84.87612</c:v>
                </c:pt>
                <c:pt idx="663">
                  <c:v>84.87612</c:v>
                </c:pt>
                <c:pt idx="664">
                  <c:v>84.87612</c:v>
                </c:pt>
                <c:pt idx="665">
                  <c:v>84.87612</c:v>
                </c:pt>
                <c:pt idx="666">
                  <c:v>84.87612</c:v>
                </c:pt>
                <c:pt idx="667">
                  <c:v>84.87612</c:v>
                </c:pt>
                <c:pt idx="668">
                  <c:v>84.87612</c:v>
                </c:pt>
                <c:pt idx="669">
                  <c:v>84.87612</c:v>
                </c:pt>
                <c:pt idx="670">
                  <c:v>84.87612</c:v>
                </c:pt>
                <c:pt idx="671">
                  <c:v>84.87612</c:v>
                </c:pt>
                <c:pt idx="672">
                  <c:v>84.87612</c:v>
                </c:pt>
                <c:pt idx="673">
                  <c:v>84.87612</c:v>
                </c:pt>
                <c:pt idx="674">
                  <c:v>84.87612</c:v>
                </c:pt>
                <c:pt idx="675">
                  <c:v>84.87612</c:v>
                </c:pt>
                <c:pt idx="676">
                  <c:v>84.87612</c:v>
                </c:pt>
                <c:pt idx="677">
                  <c:v>84.87612</c:v>
                </c:pt>
                <c:pt idx="678">
                  <c:v>84.87612</c:v>
                </c:pt>
                <c:pt idx="679">
                  <c:v>84.87612</c:v>
                </c:pt>
                <c:pt idx="680">
                  <c:v>84.87612</c:v>
                </c:pt>
                <c:pt idx="681">
                  <c:v>84.87612</c:v>
                </c:pt>
                <c:pt idx="682">
                  <c:v>84.87612</c:v>
                </c:pt>
                <c:pt idx="683">
                  <c:v>84.87612</c:v>
                </c:pt>
                <c:pt idx="684">
                  <c:v>84.87612</c:v>
                </c:pt>
                <c:pt idx="685">
                  <c:v>84.87612</c:v>
                </c:pt>
                <c:pt idx="686">
                  <c:v>84.87612</c:v>
                </c:pt>
                <c:pt idx="687">
                  <c:v>84.87612</c:v>
                </c:pt>
                <c:pt idx="688">
                  <c:v>84.87612</c:v>
                </c:pt>
                <c:pt idx="689">
                  <c:v>84.87612</c:v>
                </c:pt>
                <c:pt idx="690">
                  <c:v>84.87612</c:v>
                </c:pt>
                <c:pt idx="691">
                  <c:v>84.87612</c:v>
                </c:pt>
                <c:pt idx="692">
                  <c:v>84.87612</c:v>
                </c:pt>
                <c:pt idx="693">
                  <c:v>84.87612</c:v>
                </c:pt>
                <c:pt idx="694">
                  <c:v>84.87612</c:v>
                </c:pt>
                <c:pt idx="695">
                  <c:v>84.87612</c:v>
                </c:pt>
                <c:pt idx="696">
                  <c:v>84.87612</c:v>
                </c:pt>
                <c:pt idx="697">
                  <c:v>84.87612</c:v>
                </c:pt>
                <c:pt idx="698">
                  <c:v>84.87612</c:v>
                </c:pt>
                <c:pt idx="699">
                  <c:v>84.87612</c:v>
                </c:pt>
                <c:pt idx="700">
                  <c:v>84.87612</c:v>
                </c:pt>
                <c:pt idx="701">
                  <c:v>84.87612</c:v>
                </c:pt>
                <c:pt idx="702">
                  <c:v>84.87612</c:v>
                </c:pt>
                <c:pt idx="703">
                  <c:v>84.87612</c:v>
                </c:pt>
                <c:pt idx="704">
                  <c:v>84.87612</c:v>
                </c:pt>
                <c:pt idx="705">
                  <c:v>84.87612</c:v>
                </c:pt>
                <c:pt idx="706">
                  <c:v>84.87612</c:v>
                </c:pt>
                <c:pt idx="707">
                  <c:v>84.87612</c:v>
                </c:pt>
                <c:pt idx="708">
                  <c:v>84.87612</c:v>
                </c:pt>
                <c:pt idx="709">
                  <c:v>84.87612</c:v>
                </c:pt>
                <c:pt idx="710">
                  <c:v>84.87612</c:v>
                </c:pt>
                <c:pt idx="711">
                  <c:v>84.87612</c:v>
                </c:pt>
                <c:pt idx="712">
                  <c:v>84.87612</c:v>
                </c:pt>
                <c:pt idx="713">
                  <c:v>84.87612</c:v>
                </c:pt>
                <c:pt idx="714">
                  <c:v>84.87612</c:v>
                </c:pt>
                <c:pt idx="715">
                  <c:v>84.87612</c:v>
                </c:pt>
                <c:pt idx="716">
                  <c:v>84.87612</c:v>
                </c:pt>
                <c:pt idx="717">
                  <c:v>84.87612</c:v>
                </c:pt>
                <c:pt idx="718">
                  <c:v>84.87612</c:v>
                </c:pt>
                <c:pt idx="719">
                  <c:v>84.87612</c:v>
                </c:pt>
                <c:pt idx="720">
                  <c:v>84.87612</c:v>
                </c:pt>
                <c:pt idx="721">
                  <c:v>84.87612</c:v>
                </c:pt>
                <c:pt idx="722">
                  <c:v>84.87612</c:v>
                </c:pt>
                <c:pt idx="723">
                  <c:v>84.87612</c:v>
                </c:pt>
                <c:pt idx="724">
                  <c:v>84.87612</c:v>
                </c:pt>
                <c:pt idx="725">
                  <c:v>84.87612</c:v>
                </c:pt>
                <c:pt idx="726">
                  <c:v>84.87612</c:v>
                </c:pt>
                <c:pt idx="727">
                  <c:v>84.87612</c:v>
                </c:pt>
                <c:pt idx="728">
                  <c:v>84.87612</c:v>
                </c:pt>
                <c:pt idx="729">
                  <c:v>84.87612</c:v>
                </c:pt>
                <c:pt idx="730">
                  <c:v>84.87612</c:v>
                </c:pt>
                <c:pt idx="731">
                  <c:v>84.87612</c:v>
                </c:pt>
                <c:pt idx="732">
                  <c:v>84.87612</c:v>
                </c:pt>
                <c:pt idx="733">
                  <c:v>84.87612</c:v>
                </c:pt>
                <c:pt idx="734">
                  <c:v>84.87612</c:v>
                </c:pt>
                <c:pt idx="735">
                  <c:v>84.87612</c:v>
                </c:pt>
                <c:pt idx="736">
                  <c:v>84.87612</c:v>
                </c:pt>
                <c:pt idx="737">
                  <c:v>84.87612</c:v>
                </c:pt>
                <c:pt idx="738">
                  <c:v>84.87612</c:v>
                </c:pt>
                <c:pt idx="739">
                  <c:v>84.87612</c:v>
                </c:pt>
                <c:pt idx="740">
                  <c:v>84.87612</c:v>
                </c:pt>
                <c:pt idx="741">
                  <c:v>84.87612</c:v>
                </c:pt>
                <c:pt idx="742">
                  <c:v>84.87612</c:v>
                </c:pt>
                <c:pt idx="743">
                  <c:v>84.87612</c:v>
                </c:pt>
                <c:pt idx="744">
                  <c:v>84.87612</c:v>
                </c:pt>
                <c:pt idx="745">
                  <c:v>84.87612</c:v>
                </c:pt>
                <c:pt idx="746">
                  <c:v>84.87612</c:v>
                </c:pt>
                <c:pt idx="747">
                  <c:v>84.87612</c:v>
                </c:pt>
                <c:pt idx="748">
                  <c:v>84.87612</c:v>
                </c:pt>
                <c:pt idx="749">
                  <c:v>84.87612</c:v>
                </c:pt>
                <c:pt idx="750">
                  <c:v>84.87612</c:v>
                </c:pt>
                <c:pt idx="751">
                  <c:v>84.87612</c:v>
                </c:pt>
                <c:pt idx="752">
                  <c:v>84.87612</c:v>
                </c:pt>
                <c:pt idx="753">
                  <c:v>84.87612</c:v>
                </c:pt>
                <c:pt idx="754">
                  <c:v>84.87612</c:v>
                </c:pt>
                <c:pt idx="755">
                  <c:v>84.87612</c:v>
                </c:pt>
                <c:pt idx="756">
                  <c:v>84.87612</c:v>
                </c:pt>
                <c:pt idx="757">
                  <c:v>84.87612</c:v>
                </c:pt>
                <c:pt idx="758">
                  <c:v>84.87612</c:v>
                </c:pt>
                <c:pt idx="759">
                  <c:v>84.87612</c:v>
                </c:pt>
                <c:pt idx="760">
                  <c:v>84.87612</c:v>
                </c:pt>
                <c:pt idx="761">
                  <c:v>84.87612</c:v>
                </c:pt>
                <c:pt idx="762">
                  <c:v>84.87612</c:v>
                </c:pt>
                <c:pt idx="763">
                  <c:v>84.87612</c:v>
                </c:pt>
                <c:pt idx="764">
                  <c:v>84.87612</c:v>
                </c:pt>
                <c:pt idx="765">
                  <c:v>84.87612</c:v>
                </c:pt>
                <c:pt idx="766">
                  <c:v>84.87612</c:v>
                </c:pt>
                <c:pt idx="767">
                  <c:v>84.87612</c:v>
                </c:pt>
                <c:pt idx="768">
                  <c:v>84.87612</c:v>
                </c:pt>
                <c:pt idx="769">
                  <c:v>84.87612</c:v>
                </c:pt>
                <c:pt idx="770">
                  <c:v>84.87612</c:v>
                </c:pt>
                <c:pt idx="771">
                  <c:v>84.87612</c:v>
                </c:pt>
                <c:pt idx="772">
                  <c:v>84.87612</c:v>
                </c:pt>
                <c:pt idx="773">
                  <c:v>84.87612</c:v>
                </c:pt>
                <c:pt idx="774">
                  <c:v>84.87612</c:v>
                </c:pt>
                <c:pt idx="775">
                  <c:v>84.87612</c:v>
                </c:pt>
                <c:pt idx="776">
                  <c:v>84.87612</c:v>
                </c:pt>
                <c:pt idx="777">
                  <c:v>84.87612</c:v>
                </c:pt>
                <c:pt idx="778">
                  <c:v>84.87612</c:v>
                </c:pt>
                <c:pt idx="779">
                  <c:v>84.87612</c:v>
                </c:pt>
                <c:pt idx="780">
                  <c:v>84.87612</c:v>
                </c:pt>
                <c:pt idx="781">
                  <c:v>84.87612</c:v>
                </c:pt>
                <c:pt idx="782">
                  <c:v>84.87612</c:v>
                </c:pt>
                <c:pt idx="783">
                  <c:v>84.87612</c:v>
                </c:pt>
                <c:pt idx="784">
                  <c:v>84.87612</c:v>
                </c:pt>
                <c:pt idx="785">
                  <c:v>84.87612</c:v>
                </c:pt>
                <c:pt idx="786">
                  <c:v>84.87612</c:v>
                </c:pt>
                <c:pt idx="787">
                  <c:v>84.87612</c:v>
                </c:pt>
                <c:pt idx="788">
                  <c:v>84.87612</c:v>
                </c:pt>
                <c:pt idx="789">
                  <c:v>84.87612</c:v>
                </c:pt>
                <c:pt idx="790">
                  <c:v>84.87612</c:v>
                </c:pt>
                <c:pt idx="791">
                  <c:v>84.87612</c:v>
                </c:pt>
                <c:pt idx="792">
                  <c:v>84.87612</c:v>
                </c:pt>
                <c:pt idx="793">
                  <c:v>84.87612</c:v>
                </c:pt>
                <c:pt idx="794">
                  <c:v>84.87612</c:v>
                </c:pt>
                <c:pt idx="795">
                  <c:v>84.87612</c:v>
                </c:pt>
                <c:pt idx="796">
                  <c:v>84.87612</c:v>
                </c:pt>
                <c:pt idx="797">
                  <c:v>84.87612</c:v>
                </c:pt>
                <c:pt idx="798">
                  <c:v>84.87612</c:v>
                </c:pt>
                <c:pt idx="799">
                  <c:v>84.87612</c:v>
                </c:pt>
                <c:pt idx="800">
                  <c:v>84.87612</c:v>
                </c:pt>
                <c:pt idx="801">
                  <c:v>84.87612</c:v>
                </c:pt>
                <c:pt idx="802">
                  <c:v>84.87612</c:v>
                </c:pt>
                <c:pt idx="803">
                  <c:v>84.87612</c:v>
                </c:pt>
                <c:pt idx="804">
                  <c:v>84.87612</c:v>
                </c:pt>
                <c:pt idx="805">
                  <c:v>84.87612</c:v>
                </c:pt>
                <c:pt idx="806">
                  <c:v>84.87612</c:v>
                </c:pt>
                <c:pt idx="807">
                  <c:v>84.87612</c:v>
                </c:pt>
                <c:pt idx="808">
                  <c:v>84.87612</c:v>
                </c:pt>
                <c:pt idx="809">
                  <c:v>84.87612</c:v>
                </c:pt>
                <c:pt idx="810">
                  <c:v>84.87612</c:v>
                </c:pt>
                <c:pt idx="811">
                  <c:v>84.87612</c:v>
                </c:pt>
                <c:pt idx="812">
                  <c:v>84.87612</c:v>
                </c:pt>
                <c:pt idx="813">
                  <c:v>84.87612</c:v>
                </c:pt>
                <c:pt idx="814">
                  <c:v>84.87612</c:v>
                </c:pt>
                <c:pt idx="815">
                  <c:v>84.87612</c:v>
                </c:pt>
                <c:pt idx="816">
                  <c:v>84.87612</c:v>
                </c:pt>
                <c:pt idx="817">
                  <c:v>84.87612</c:v>
                </c:pt>
                <c:pt idx="818">
                  <c:v>84.87612</c:v>
                </c:pt>
                <c:pt idx="819">
                  <c:v>84.87612</c:v>
                </c:pt>
                <c:pt idx="820">
                  <c:v>84.87612</c:v>
                </c:pt>
                <c:pt idx="821">
                  <c:v>84.87612</c:v>
                </c:pt>
                <c:pt idx="822">
                  <c:v>84.87612</c:v>
                </c:pt>
                <c:pt idx="823">
                  <c:v>84.87612</c:v>
                </c:pt>
                <c:pt idx="824">
                  <c:v>84.87612</c:v>
                </c:pt>
                <c:pt idx="825">
                  <c:v>84.87612</c:v>
                </c:pt>
                <c:pt idx="826">
                  <c:v>84.87612</c:v>
                </c:pt>
                <c:pt idx="827">
                  <c:v>84.87612</c:v>
                </c:pt>
                <c:pt idx="828">
                  <c:v>84.87612</c:v>
                </c:pt>
                <c:pt idx="829">
                  <c:v>84.87612</c:v>
                </c:pt>
                <c:pt idx="830">
                  <c:v>84.87612</c:v>
                </c:pt>
                <c:pt idx="831">
                  <c:v>84.87612</c:v>
                </c:pt>
                <c:pt idx="832">
                  <c:v>84.87612</c:v>
                </c:pt>
                <c:pt idx="833">
                  <c:v>84.87612</c:v>
                </c:pt>
                <c:pt idx="834">
                  <c:v>84.87612</c:v>
                </c:pt>
                <c:pt idx="835">
                  <c:v>84.87612</c:v>
                </c:pt>
                <c:pt idx="836">
                  <c:v>84.87612</c:v>
                </c:pt>
                <c:pt idx="837">
                  <c:v>84.87612</c:v>
                </c:pt>
                <c:pt idx="838">
                  <c:v>84.87612</c:v>
                </c:pt>
                <c:pt idx="839">
                  <c:v>84.87612</c:v>
                </c:pt>
                <c:pt idx="840">
                  <c:v>84.87612</c:v>
                </c:pt>
                <c:pt idx="841">
                  <c:v>84.87612</c:v>
                </c:pt>
                <c:pt idx="842">
                  <c:v>84.87612</c:v>
                </c:pt>
                <c:pt idx="843">
                  <c:v>84.87612</c:v>
                </c:pt>
                <c:pt idx="844">
                  <c:v>84.87612</c:v>
                </c:pt>
                <c:pt idx="845">
                  <c:v>84.87612</c:v>
                </c:pt>
                <c:pt idx="846">
                  <c:v>84.87612</c:v>
                </c:pt>
                <c:pt idx="847">
                  <c:v>84.87612</c:v>
                </c:pt>
                <c:pt idx="848">
                  <c:v>84.87612</c:v>
                </c:pt>
                <c:pt idx="849">
                  <c:v>84.87612</c:v>
                </c:pt>
                <c:pt idx="850">
                  <c:v>84.87612</c:v>
                </c:pt>
                <c:pt idx="851">
                  <c:v>84.87612</c:v>
                </c:pt>
                <c:pt idx="852">
                  <c:v>84.87612</c:v>
                </c:pt>
                <c:pt idx="853">
                  <c:v>84.87612</c:v>
                </c:pt>
                <c:pt idx="854">
                  <c:v>84.87612</c:v>
                </c:pt>
                <c:pt idx="855">
                  <c:v>84.87612</c:v>
                </c:pt>
                <c:pt idx="856">
                  <c:v>84.87612</c:v>
                </c:pt>
                <c:pt idx="857">
                  <c:v>84.87612</c:v>
                </c:pt>
                <c:pt idx="858">
                  <c:v>84.87612</c:v>
                </c:pt>
                <c:pt idx="859">
                  <c:v>84.87612</c:v>
                </c:pt>
                <c:pt idx="860">
                  <c:v>84.87612</c:v>
                </c:pt>
                <c:pt idx="861">
                  <c:v>84.87612</c:v>
                </c:pt>
                <c:pt idx="862">
                  <c:v>84.87612</c:v>
                </c:pt>
                <c:pt idx="863">
                  <c:v>84.87612</c:v>
                </c:pt>
                <c:pt idx="864">
                  <c:v>84.87612</c:v>
                </c:pt>
                <c:pt idx="865">
                  <c:v>84.87612</c:v>
                </c:pt>
                <c:pt idx="866">
                  <c:v>84.87612</c:v>
                </c:pt>
                <c:pt idx="867">
                  <c:v>84.87612</c:v>
                </c:pt>
                <c:pt idx="868">
                  <c:v>84.87612</c:v>
                </c:pt>
                <c:pt idx="869">
                  <c:v>84.87612</c:v>
                </c:pt>
                <c:pt idx="870">
                  <c:v>84.87612</c:v>
                </c:pt>
                <c:pt idx="871">
                  <c:v>84.87612</c:v>
                </c:pt>
                <c:pt idx="872">
                  <c:v>84.87612</c:v>
                </c:pt>
                <c:pt idx="873">
                  <c:v>84.87612</c:v>
                </c:pt>
                <c:pt idx="874">
                  <c:v>84.87612</c:v>
                </c:pt>
                <c:pt idx="875">
                  <c:v>84.87612</c:v>
                </c:pt>
                <c:pt idx="876">
                  <c:v>84.87612</c:v>
                </c:pt>
                <c:pt idx="877">
                  <c:v>84.87612</c:v>
                </c:pt>
                <c:pt idx="878">
                  <c:v>84.87612</c:v>
                </c:pt>
                <c:pt idx="879">
                  <c:v>84.87612</c:v>
                </c:pt>
                <c:pt idx="880">
                  <c:v>84.87612</c:v>
                </c:pt>
                <c:pt idx="881">
                  <c:v>84.87612</c:v>
                </c:pt>
                <c:pt idx="882">
                  <c:v>84.87612</c:v>
                </c:pt>
                <c:pt idx="883">
                  <c:v>84.87612</c:v>
                </c:pt>
                <c:pt idx="884">
                  <c:v>84.87612</c:v>
                </c:pt>
                <c:pt idx="885">
                  <c:v>84.87612</c:v>
                </c:pt>
                <c:pt idx="886">
                  <c:v>84.87612</c:v>
                </c:pt>
                <c:pt idx="887">
                  <c:v>84.87612</c:v>
                </c:pt>
                <c:pt idx="888">
                  <c:v>84.87612</c:v>
                </c:pt>
                <c:pt idx="889">
                  <c:v>84.87612</c:v>
                </c:pt>
                <c:pt idx="890">
                  <c:v>84.87612</c:v>
                </c:pt>
                <c:pt idx="891">
                  <c:v>84.87612</c:v>
                </c:pt>
                <c:pt idx="892">
                  <c:v>84.87612</c:v>
                </c:pt>
                <c:pt idx="893">
                  <c:v>84.87612</c:v>
                </c:pt>
                <c:pt idx="894">
                  <c:v>84.87612</c:v>
                </c:pt>
                <c:pt idx="895">
                  <c:v>84.87612</c:v>
                </c:pt>
                <c:pt idx="896">
                  <c:v>84.87612</c:v>
                </c:pt>
                <c:pt idx="897">
                  <c:v>84.87612</c:v>
                </c:pt>
                <c:pt idx="898">
                  <c:v>84.87612</c:v>
                </c:pt>
                <c:pt idx="899">
                  <c:v>84.87612</c:v>
                </c:pt>
                <c:pt idx="900">
                  <c:v>84.87612</c:v>
                </c:pt>
                <c:pt idx="901">
                  <c:v>84.87612</c:v>
                </c:pt>
                <c:pt idx="902">
                  <c:v>84.87612</c:v>
                </c:pt>
                <c:pt idx="903">
                  <c:v>84.87612</c:v>
                </c:pt>
                <c:pt idx="904">
                  <c:v>84.87612</c:v>
                </c:pt>
                <c:pt idx="905">
                  <c:v>84.87612</c:v>
                </c:pt>
                <c:pt idx="906">
                  <c:v>84.87612</c:v>
                </c:pt>
                <c:pt idx="907">
                  <c:v>84.87612</c:v>
                </c:pt>
                <c:pt idx="908">
                  <c:v>84.87612</c:v>
                </c:pt>
                <c:pt idx="909">
                  <c:v>84.87612</c:v>
                </c:pt>
                <c:pt idx="910">
                  <c:v>84.87612</c:v>
                </c:pt>
                <c:pt idx="911">
                  <c:v>84.87612</c:v>
                </c:pt>
                <c:pt idx="912">
                  <c:v>84.87612</c:v>
                </c:pt>
                <c:pt idx="913">
                  <c:v>84.87612</c:v>
                </c:pt>
                <c:pt idx="914">
                  <c:v>84.87612</c:v>
                </c:pt>
                <c:pt idx="915">
                  <c:v>84.87612</c:v>
                </c:pt>
                <c:pt idx="916">
                  <c:v>84.87612</c:v>
                </c:pt>
                <c:pt idx="917">
                  <c:v>84.87612</c:v>
                </c:pt>
                <c:pt idx="918">
                  <c:v>84.87612</c:v>
                </c:pt>
                <c:pt idx="919">
                  <c:v>84.87612</c:v>
                </c:pt>
                <c:pt idx="920">
                  <c:v>84.87612</c:v>
                </c:pt>
                <c:pt idx="921">
                  <c:v>84.87612</c:v>
                </c:pt>
                <c:pt idx="922">
                  <c:v>84.87612</c:v>
                </c:pt>
                <c:pt idx="923">
                  <c:v>84.87612</c:v>
                </c:pt>
                <c:pt idx="924">
                  <c:v>84.87612</c:v>
                </c:pt>
                <c:pt idx="925">
                  <c:v>84.87612</c:v>
                </c:pt>
                <c:pt idx="926">
                  <c:v>84.87612</c:v>
                </c:pt>
                <c:pt idx="927">
                  <c:v>84.87612</c:v>
                </c:pt>
                <c:pt idx="928">
                  <c:v>84.87612</c:v>
                </c:pt>
                <c:pt idx="929">
                  <c:v>84.87612</c:v>
                </c:pt>
                <c:pt idx="930">
                  <c:v>84.87612</c:v>
                </c:pt>
                <c:pt idx="931">
                  <c:v>84.87612</c:v>
                </c:pt>
                <c:pt idx="932">
                  <c:v>84.87612</c:v>
                </c:pt>
                <c:pt idx="933">
                  <c:v>84.87612</c:v>
                </c:pt>
                <c:pt idx="934">
                  <c:v>84.87612</c:v>
                </c:pt>
                <c:pt idx="935">
                  <c:v>84.87612</c:v>
                </c:pt>
                <c:pt idx="936">
                  <c:v>84.87612</c:v>
                </c:pt>
                <c:pt idx="937">
                  <c:v>84.87612</c:v>
                </c:pt>
                <c:pt idx="938">
                  <c:v>84.87612</c:v>
                </c:pt>
                <c:pt idx="939">
                  <c:v>84.87612</c:v>
                </c:pt>
                <c:pt idx="940">
                  <c:v>84.87612</c:v>
                </c:pt>
                <c:pt idx="941">
                  <c:v>84.87612</c:v>
                </c:pt>
                <c:pt idx="942">
                  <c:v>84.87612</c:v>
                </c:pt>
                <c:pt idx="943">
                  <c:v>84.87612</c:v>
                </c:pt>
                <c:pt idx="944">
                  <c:v>84.87612</c:v>
                </c:pt>
                <c:pt idx="945">
                  <c:v>84.87612</c:v>
                </c:pt>
                <c:pt idx="946">
                  <c:v>84.87612</c:v>
                </c:pt>
                <c:pt idx="947">
                  <c:v>84.87612</c:v>
                </c:pt>
                <c:pt idx="948">
                  <c:v>84.87612</c:v>
                </c:pt>
                <c:pt idx="949">
                  <c:v>84.87612</c:v>
                </c:pt>
                <c:pt idx="950">
                  <c:v>84.87612</c:v>
                </c:pt>
                <c:pt idx="951">
                  <c:v>84.87612</c:v>
                </c:pt>
                <c:pt idx="952">
                  <c:v>84.87612</c:v>
                </c:pt>
                <c:pt idx="953">
                  <c:v>84.87612</c:v>
                </c:pt>
                <c:pt idx="954">
                  <c:v>84.87612</c:v>
                </c:pt>
                <c:pt idx="955">
                  <c:v>84.87612</c:v>
                </c:pt>
                <c:pt idx="956">
                  <c:v>84.87612</c:v>
                </c:pt>
                <c:pt idx="957">
                  <c:v>84.87612</c:v>
                </c:pt>
                <c:pt idx="958">
                  <c:v>84.87612</c:v>
                </c:pt>
                <c:pt idx="959">
                  <c:v>84.87612</c:v>
                </c:pt>
                <c:pt idx="960">
                  <c:v>84.87612</c:v>
                </c:pt>
                <c:pt idx="961">
                  <c:v>84.87612</c:v>
                </c:pt>
                <c:pt idx="962">
                  <c:v>84.87612</c:v>
                </c:pt>
                <c:pt idx="963">
                  <c:v>84.87612</c:v>
                </c:pt>
                <c:pt idx="964">
                  <c:v>84.87612</c:v>
                </c:pt>
                <c:pt idx="965">
                  <c:v>84.87612</c:v>
                </c:pt>
                <c:pt idx="966">
                  <c:v>84.87612</c:v>
                </c:pt>
                <c:pt idx="967">
                  <c:v>84.87612</c:v>
                </c:pt>
                <c:pt idx="968">
                  <c:v>84.87612</c:v>
                </c:pt>
                <c:pt idx="969">
                  <c:v>84.87612</c:v>
                </c:pt>
                <c:pt idx="970">
                  <c:v>84.87612</c:v>
                </c:pt>
                <c:pt idx="971">
                  <c:v>84.87612</c:v>
                </c:pt>
                <c:pt idx="972">
                  <c:v>84.87612</c:v>
                </c:pt>
                <c:pt idx="973">
                  <c:v>84.87612</c:v>
                </c:pt>
                <c:pt idx="974">
                  <c:v>84.87612</c:v>
                </c:pt>
                <c:pt idx="975">
                  <c:v>84.87612</c:v>
                </c:pt>
                <c:pt idx="976">
                  <c:v>84.87612</c:v>
                </c:pt>
                <c:pt idx="977">
                  <c:v>84.87612</c:v>
                </c:pt>
                <c:pt idx="978">
                  <c:v>84.87612</c:v>
                </c:pt>
                <c:pt idx="979">
                  <c:v>84.87612</c:v>
                </c:pt>
                <c:pt idx="980">
                  <c:v>84.87612</c:v>
                </c:pt>
                <c:pt idx="981">
                  <c:v>84.87612</c:v>
                </c:pt>
                <c:pt idx="982">
                  <c:v>84.87612</c:v>
                </c:pt>
                <c:pt idx="983">
                  <c:v>84.87612</c:v>
                </c:pt>
                <c:pt idx="984">
                  <c:v>84.87612</c:v>
                </c:pt>
                <c:pt idx="985">
                  <c:v>84.87612</c:v>
                </c:pt>
                <c:pt idx="986">
                  <c:v>84.87612</c:v>
                </c:pt>
                <c:pt idx="987">
                  <c:v>84.87612</c:v>
                </c:pt>
                <c:pt idx="988">
                  <c:v>84.87612</c:v>
                </c:pt>
                <c:pt idx="989">
                  <c:v>84.87612</c:v>
                </c:pt>
                <c:pt idx="990">
                  <c:v>84.87612</c:v>
                </c:pt>
                <c:pt idx="991">
                  <c:v>84.87612</c:v>
                </c:pt>
                <c:pt idx="992">
                  <c:v>84.87612</c:v>
                </c:pt>
                <c:pt idx="993">
                  <c:v>84.87612</c:v>
                </c:pt>
                <c:pt idx="994">
                  <c:v>84.87612</c:v>
                </c:pt>
                <c:pt idx="995">
                  <c:v>84.87612</c:v>
                </c:pt>
                <c:pt idx="996">
                  <c:v>84.87612</c:v>
                </c:pt>
                <c:pt idx="997">
                  <c:v>84.87612</c:v>
                </c:pt>
                <c:pt idx="998">
                  <c:v>84.87612</c:v>
                </c:pt>
                <c:pt idx="999">
                  <c:v>84.87612</c:v>
                </c:pt>
                <c:pt idx="1000">
                  <c:v>84.87612</c:v>
                </c:pt>
              </c:numCache>
            </c:numRef>
          </c:yVal>
          <c:smooth val="0"/>
        </c:ser>
        <c:ser>
          <c:idx val="2"/>
          <c:order val="2"/>
          <c:tx>
            <c:strRef>
              <c:f>Courbes!$B$133</c:f>
              <c:strCache>
                <c:ptCount val="1"/>
                <c:pt idx="0">
                  <c:v>Traînée</c:v>
                </c:pt>
              </c:strCache>
            </c:strRef>
          </c:tx>
          <c:spPr>
            <a:solidFill>
              <a:srgbClr val="800000"/>
            </a:solidFill>
            <a:ln w="25560">
              <a:solidFill>
                <a:srgbClr val="80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34.8000000000002</c:v>
                </c:pt>
                <c:pt idx="709">
                  <c:v>34.9000000000002</c:v>
                </c:pt>
                <c:pt idx="710">
                  <c:v>35.0000000000002</c:v>
                </c:pt>
                <c:pt idx="711">
                  <c:v>35.1000000000002</c:v>
                </c:pt>
                <c:pt idx="712">
                  <c:v>35.2000000000002</c:v>
                </c:pt>
                <c:pt idx="713">
                  <c:v>35.3000000000002</c:v>
                </c:pt>
                <c:pt idx="714">
                  <c:v>35.4000000000002</c:v>
                </c:pt>
                <c:pt idx="715">
                  <c:v>35.5000000000002</c:v>
                </c:pt>
                <c:pt idx="716">
                  <c:v>35.6000000000002</c:v>
                </c:pt>
                <c:pt idx="717">
                  <c:v>35.7000000000002</c:v>
                </c:pt>
                <c:pt idx="718">
                  <c:v>35.7001000000002</c:v>
                </c:pt>
                <c:pt idx="719">
                  <c:v>35.7002000000002</c:v>
                </c:pt>
                <c:pt idx="720">
                  <c:v>35.7003000000002</c:v>
                </c:pt>
                <c:pt idx="721">
                  <c:v>35.7004000000002</c:v>
                </c:pt>
                <c:pt idx="722">
                  <c:v>35.7005000000002</c:v>
                </c:pt>
                <c:pt idx="723">
                  <c:v>35.7006000000002</c:v>
                </c:pt>
                <c:pt idx="724">
                  <c:v>35.7007000000002</c:v>
                </c:pt>
                <c:pt idx="725">
                  <c:v>35.7008000000002</c:v>
                </c:pt>
                <c:pt idx="726">
                  <c:v>35.7009000000002</c:v>
                </c:pt>
                <c:pt idx="727">
                  <c:v>35.7010000000002</c:v>
                </c:pt>
                <c:pt idx="728">
                  <c:v>35.7011000000002</c:v>
                </c:pt>
                <c:pt idx="729">
                  <c:v>35.7012000000002</c:v>
                </c:pt>
                <c:pt idx="730">
                  <c:v>35.7013000000002</c:v>
                </c:pt>
                <c:pt idx="731">
                  <c:v>35.7014000000002</c:v>
                </c:pt>
                <c:pt idx="732">
                  <c:v>35.7015000000002</c:v>
                </c:pt>
                <c:pt idx="733">
                  <c:v>35.7016000000003</c:v>
                </c:pt>
                <c:pt idx="734">
                  <c:v>35.7017000000003</c:v>
                </c:pt>
                <c:pt idx="735">
                  <c:v>35.7018000000003</c:v>
                </c:pt>
                <c:pt idx="736">
                  <c:v>35.7019000000003</c:v>
                </c:pt>
                <c:pt idx="737">
                  <c:v>35.7020000000003</c:v>
                </c:pt>
                <c:pt idx="738">
                  <c:v>35.7021000000003</c:v>
                </c:pt>
                <c:pt idx="739">
                  <c:v>35.7022000000003</c:v>
                </c:pt>
                <c:pt idx="740">
                  <c:v>35.7023000000003</c:v>
                </c:pt>
                <c:pt idx="741">
                  <c:v>35.7024000000003</c:v>
                </c:pt>
                <c:pt idx="742">
                  <c:v>35.7025000000003</c:v>
                </c:pt>
                <c:pt idx="743">
                  <c:v>35.7026000000003</c:v>
                </c:pt>
                <c:pt idx="744">
                  <c:v>35.7027000000003</c:v>
                </c:pt>
                <c:pt idx="745">
                  <c:v>35.7028000000003</c:v>
                </c:pt>
                <c:pt idx="746">
                  <c:v>35.7029000000003</c:v>
                </c:pt>
                <c:pt idx="747">
                  <c:v>35.7030000000003</c:v>
                </c:pt>
                <c:pt idx="748">
                  <c:v>35.7031000000003</c:v>
                </c:pt>
                <c:pt idx="749">
                  <c:v>35.7032000000003</c:v>
                </c:pt>
                <c:pt idx="750">
                  <c:v>35.7033000000003</c:v>
                </c:pt>
                <c:pt idx="751">
                  <c:v>35.7034000000003</c:v>
                </c:pt>
                <c:pt idx="752">
                  <c:v>35.7035000000003</c:v>
                </c:pt>
                <c:pt idx="753">
                  <c:v>35.7036000000003</c:v>
                </c:pt>
                <c:pt idx="754">
                  <c:v>35.7037000000003</c:v>
                </c:pt>
                <c:pt idx="755">
                  <c:v>35.7038000000003</c:v>
                </c:pt>
                <c:pt idx="756">
                  <c:v>35.7039000000003</c:v>
                </c:pt>
                <c:pt idx="757">
                  <c:v>35.7040000000003</c:v>
                </c:pt>
                <c:pt idx="758">
                  <c:v>35.7041000000003</c:v>
                </c:pt>
                <c:pt idx="759">
                  <c:v>35.7042000000003</c:v>
                </c:pt>
                <c:pt idx="760">
                  <c:v>35.7043000000003</c:v>
                </c:pt>
                <c:pt idx="761">
                  <c:v>35.7044000000003</c:v>
                </c:pt>
                <c:pt idx="762">
                  <c:v>35.7045000000003</c:v>
                </c:pt>
                <c:pt idx="763">
                  <c:v>35.7046000000004</c:v>
                </c:pt>
                <c:pt idx="764">
                  <c:v>35.7047000000004</c:v>
                </c:pt>
                <c:pt idx="765">
                  <c:v>35.7048000000004</c:v>
                </c:pt>
                <c:pt idx="766">
                  <c:v>35.7049000000004</c:v>
                </c:pt>
                <c:pt idx="767">
                  <c:v>35.7050000000004</c:v>
                </c:pt>
                <c:pt idx="768">
                  <c:v>35.7051000000004</c:v>
                </c:pt>
                <c:pt idx="769">
                  <c:v>35.7052000000004</c:v>
                </c:pt>
                <c:pt idx="770">
                  <c:v>35.7053000000004</c:v>
                </c:pt>
                <c:pt idx="771">
                  <c:v>35.7054000000004</c:v>
                </c:pt>
                <c:pt idx="772">
                  <c:v>35.7055000000004</c:v>
                </c:pt>
                <c:pt idx="773">
                  <c:v>35.7056000000004</c:v>
                </c:pt>
                <c:pt idx="774">
                  <c:v>35.7057000000004</c:v>
                </c:pt>
                <c:pt idx="775">
                  <c:v>35.7058000000004</c:v>
                </c:pt>
                <c:pt idx="776">
                  <c:v>35.7059000000004</c:v>
                </c:pt>
                <c:pt idx="777">
                  <c:v>35.7060000000004</c:v>
                </c:pt>
                <c:pt idx="778">
                  <c:v>35.7061000000004</c:v>
                </c:pt>
                <c:pt idx="779">
                  <c:v>35.7062000000004</c:v>
                </c:pt>
                <c:pt idx="780">
                  <c:v>35.7063000000004</c:v>
                </c:pt>
                <c:pt idx="781">
                  <c:v>35.7064000000004</c:v>
                </c:pt>
                <c:pt idx="782">
                  <c:v>35.7065000000004</c:v>
                </c:pt>
                <c:pt idx="783">
                  <c:v>35.7066000000004</c:v>
                </c:pt>
                <c:pt idx="784">
                  <c:v>35.7067000000004</c:v>
                </c:pt>
                <c:pt idx="785">
                  <c:v>35.7068000000004</c:v>
                </c:pt>
                <c:pt idx="786">
                  <c:v>35.7069000000004</c:v>
                </c:pt>
                <c:pt idx="787">
                  <c:v>35.7070000000004</c:v>
                </c:pt>
                <c:pt idx="788">
                  <c:v>35.7071000000004</c:v>
                </c:pt>
                <c:pt idx="789">
                  <c:v>35.7072000000004</c:v>
                </c:pt>
                <c:pt idx="790">
                  <c:v>35.7073000000004</c:v>
                </c:pt>
                <c:pt idx="791">
                  <c:v>35.7074000000004</c:v>
                </c:pt>
                <c:pt idx="792">
                  <c:v>35.7075000000004</c:v>
                </c:pt>
                <c:pt idx="793">
                  <c:v>35.7076000000005</c:v>
                </c:pt>
                <c:pt idx="794">
                  <c:v>35.7077000000005</c:v>
                </c:pt>
                <c:pt idx="795">
                  <c:v>35.7078000000005</c:v>
                </c:pt>
                <c:pt idx="796">
                  <c:v>35.7079000000005</c:v>
                </c:pt>
                <c:pt idx="797">
                  <c:v>35.7080000000005</c:v>
                </c:pt>
                <c:pt idx="798">
                  <c:v>35.7081000000005</c:v>
                </c:pt>
                <c:pt idx="799">
                  <c:v>35.7082000000005</c:v>
                </c:pt>
                <c:pt idx="800">
                  <c:v>35.7083000000005</c:v>
                </c:pt>
                <c:pt idx="801">
                  <c:v>35.7084000000005</c:v>
                </c:pt>
                <c:pt idx="802">
                  <c:v>35.7085000000005</c:v>
                </c:pt>
                <c:pt idx="803">
                  <c:v>35.7086000000005</c:v>
                </c:pt>
                <c:pt idx="804">
                  <c:v>35.7087000000005</c:v>
                </c:pt>
                <c:pt idx="805">
                  <c:v>35.7088000000005</c:v>
                </c:pt>
                <c:pt idx="806">
                  <c:v>35.7089000000005</c:v>
                </c:pt>
                <c:pt idx="807">
                  <c:v>35.7090000000005</c:v>
                </c:pt>
                <c:pt idx="808">
                  <c:v>35.7091000000005</c:v>
                </c:pt>
                <c:pt idx="809">
                  <c:v>35.7092000000005</c:v>
                </c:pt>
                <c:pt idx="810">
                  <c:v>35.7093000000005</c:v>
                </c:pt>
                <c:pt idx="811">
                  <c:v>35.7094000000005</c:v>
                </c:pt>
                <c:pt idx="812">
                  <c:v>35.7095000000005</c:v>
                </c:pt>
                <c:pt idx="813">
                  <c:v>35.7096000000005</c:v>
                </c:pt>
                <c:pt idx="814">
                  <c:v>35.7097000000005</c:v>
                </c:pt>
                <c:pt idx="815">
                  <c:v>35.7098000000005</c:v>
                </c:pt>
                <c:pt idx="816">
                  <c:v>35.7099000000005</c:v>
                </c:pt>
                <c:pt idx="817">
                  <c:v>35.7100000000005</c:v>
                </c:pt>
                <c:pt idx="818">
                  <c:v>35.7101000000005</c:v>
                </c:pt>
                <c:pt idx="819">
                  <c:v>35.7102000000005</c:v>
                </c:pt>
                <c:pt idx="820">
                  <c:v>35.7103000000005</c:v>
                </c:pt>
                <c:pt idx="821">
                  <c:v>35.7104000000005</c:v>
                </c:pt>
                <c:pt idx="822">
                  <c:v>35.7105000000005</c:v>
                </c:pt>
                <c:pt idx="823">
                  <c:v>35.7106000000006</c:v>
                </c:pt>
                <c:pt idx="824">
                  <c:v>35.7107000000006</c:v>
                </c:pt>
                <c:pt idx="825">
                  <c:v>35.7108000000006</c:v>
                </c:pt>
                <c:pt idx="826">
                  <c:v>35.7109000000006</c:v>
                </c:pt>
                <c:pt idx="827">
                  <c:v>35.7110000000006</c:v>
                </c:pt>
                <c:pt idx="828">
                  <c:v>35.7111000000006</c:v>
                </c:pt>
                <c:pt idx="829">
                  <c:v>35.7112000000006</c:v>
                </c:pt>
                <c:pt idx="830">
                  <c:v>35.7113000000006</c:v>
                </c:pt>
                <c:pt idx="831">
                  <c:v>35.7114000000006</c:v>
                </c:pt>
                <c:pt idx="832">
                  <c:v>35.7115000000006</c:v>
                </c:pt>
                <c:pt idx="833">
                  <c:v>35.7116000000006</c:v>
                </c:pt>
                <c:pt idx="834">
                  <c:v>35.7117000000006</c:v>
                </c:pt>
                <c:pt idx="835">
                  <c:v>35.7118000000006</c:v>
                </c:pt>
                <c:pt idx="836">
                  <c:v>35.7119000000006</c:v>
                </c:pt>
                <c:pt idx="837">
                  <c:v>35.7120000000006</c:v>
                </c:pt>
                <c:pt idx="838">
                  <c:v>35.7121000000006</c:v>
                </c:pt>
                <c:pt idx="839">
                  <c:v>35.7122000000006</c:v>
                </c:pt>
                <c:pt idx="840">
                  <c:v>35.7123000000006</c:v>
                </c:pt>
                <c:pt idx="841">
                  <c:v>35.7124000000006</c:v>
                </c:pt>
                <c:pt idx="842">
                  <c:v>35.7125000000006</c:v>
                </c:pt>
                <c:pt idx="843">
                  <c:v>35.7126000000006</c:v>
                </c:pt>
                <c:pt idx="844">
                  <c:v>35.7127000000006</c:v>
                </c:pt>
                <c:pt idx="845">
                  <c:v>35.7128000000006</c:v>
                </c:pt>
                <c:pt idx="846">
                  <c:v>35.7129000000006</c:v>
                </c:pt>
                <c:pt idx="847">
                  <c:v>35.7130000000006</c:v>
                </c:pt>
                <c:pt idx="848">
                  <c:v>35.7131000000006</c:v>
                </c:pt>
                <c:pt idx="849">
                  <c:v>35.7132000000006</c:v>
                </c:pt>
                <c:pt idx="850">
                  <c:v>35.7133000000006</c:v>
                </c:pt>
                <c:pt idx="851">
                  <c:v>35.7134000000006</c:v>
                </c:pt>
                <c:pt idx="852">
                  <c:v>35.7135000000006</c:v>
                </c:pt>
                <c:pt idx="853">
                  <c:v>35.7136000000006</c:v>
                </c:pt>
                <c:pt idx="854">
                  <c:v>35.7137000000007</c:v>
                </c:pt>
                <c:pt idx="855">
                  <c:v>35.7138000000007</c:v>
                </c:pt>
                <c:pt idx="856">
                  <c:v>35.7139000000007</c:v>
                </c:pt>
                <c:pt idx="857">
                  <c:v>35.7140000000007</c:v>
                </c:pt>
                <c:pt idx="858">
                  <c:v>35.7141000000007</c:v>
                </c:pt>
                <c:pt idx="859">
                  <c:v>35.7142000000007</c:v>
                </c:pt>
                <c:pt idx="860">
                  <c:v>35.7143000000007</c:v>
                </c:pt>
                <c:pt idx="861">
                  <c:v>35.7144000000007</c:v>
                </c:pt>
                <c:pt idx="862">
                  <c:v>35.7145000000007</c:v>
                </c:pt>
                <c:pt idx="863">
                  <c:v>35.7146000000007</c:v>
                </c:pt>
                <c:pt idx="864">
                  <c:v>35.7147000000007</c:v>
                </c:pt>
                <c:pt idx="865">
                  <c:v>35.7148000000007</c:v>
                </c:pt>
                <c:pt idx="866">
                  <c:v>35.7149000000007</c:v>
                </c:pt>
                <c:pt idx="867">
                  <c:v>35.7150000000007</c:v>
                </c:pt>
                <c:pt idx="868">
                  <c:v>35.7151000000007</c:v>
                </c:pt>
                <c:pt idx="869">
                  <c:v>35.7152000000007</c:v>
                </c:pt>
                <c:pt idx="870">
                  <c:v>35.7153000000007</c:v>
                </c:pt>
                <c:pt idx="871">
                  <c:v>35.7154000000007</c:v>
                </c:pt>
                <c:pt idx="872">
                  <c:v>35.7155000000007</c:v>
                </c:pt>
                <c:pt idx="873">
                  <c:v>35.7156000000007</c:v>
                </c:pt>
                <c:pt idx="874">
                  <c:v>35.7157000000007</c:v>
                </c:pt>
                <c:pt idx="875">
                  <c:v>35.7158000000007</c:v>
                </c:pt>
                <c:pt idx="876">
                  <c:v>35.7159000000007</c:v>
                </c:pt>
                <c:pt idx="877">
                  <c:v>35.7160000000007</c:v>
                </c:pt>
                <c:pt idx="878">
                  <c:v>35.7161000000007</c:v>
                </c:pt>
                <c:pt idx="879">
                  <c:v>35.7162000000007</c:v>
                </c:pt>
                <c:pt idx="880">
                  <c:v>35.7163000000007</c:v>
                </c:pt>
                <c:pt idx="881">
                  <c:v>35.7164000000007</c:v>
                </c:pt>
                <c:pt idx="882">
                  <c:v>35.7165000000007</c:v>
                </c:pt>
                <c:pt idx="883">
                  <c:v>35.7166000000007</c:v>
                </c:pt>
                <c:pt idx="884">
                  <c:v>35.7167000000008</c:v>
                </c:pt>
                <c:pt idx="885">
                  <c:v>35.7168000000008</c:v>
                </c:pt>
                <c:pt idx="886">
                  <c:v>35.7169000000008</c:v>
                </c:pt>
                <c:pt idx="887">
                  <c:v>35.7170000000008</c:v>
                </c:pt>
                <c:pt idx="888">
                  <c:v>35.7171000000008</c:v>
                </c:pt>
                <c:pt idx="889">
                  <c:v>35.7172000000008</c:v>
                </c:pt>
                <c:pt idx="890">
                  <c:v>35.7173000000008</c:v>
                </c:pt>
                <c:pt idx="891">
                  <c:v>35.7174000000008</c:v>
                </c:pt>
                <c:pt idx="892">
                  <c:v>35.7175000000008</c:v>
                </c:pt>
                <c:pt idx="893">
                  <c:v>35.7176000000008</c:v>
                </c:pt>
                <c:pt idx="894">
                  <c:v>35.7177000000008</c:v>
                </c:pt>
                <c:pt idx="895">
                  <c:v>35.7178000000008</c:v>
                </c:pt>
                <c:pt idx="896">
                  <c:v>35.7179000000008</c:v>
                </c:pt>
                <c:pt idx="897">
                  <c:v>35.7180000000008</c:v>
                </c:pt>
                <c:pt idx="898">
                  <c:v>35.7181000000008</c:v>
                </c:pt>
                <c:pt idx="899">
                  <c:v>35.7182000000008</c:v>
                </c:pt>
                <c:pt idx="900">
                  <c:v>35.7183000000008</c:v>
                </c:pt>
                <c:pt idx="901">
                  <c:v>35.7184000000008</c:v>
                </c:pt>
                <c:pt idx="902">
                  <c:v>35.7185000000008</c:v>
                </c:pt>
                <c:pt idx="903">
                  <c:v>35.7186000000008</c:v>
                </c:pt>
                <c:pt idx="904">
                  <c:v>35.7187000000008</c:v>
                </c:pt>
                <c:pt idx="905">
                  <c:v>35.7188000000008</c:v>
                </c:pt>
                <c:pt idx="906">
                  <c:v>35.7189000000008</c:v>
                </c:pt>
                <c:pt idx="907">
                  <c:v>35.7190000000008</c:v>
                </c:pt>
                <c:pt idx="908">
                  <c:v>35.7191000000008</c:v>
                </c:pt>
                <c:pt idx="909">
                  <c:v>35.7192000000008</c:v>
                </c:pt>
                <c:pt idx="910">
                  <c:v>35.7193000000008</c:v>
                </c:pt>
                <c:pt idx="911">
                  <c:v>35.7194000000008</c:v>
                </c:pt>
                <c:pt idx="912">
                  <c:v>35.7195000000008</c:v>
                </c:pt>
                <c:pt idx="913">
                  <c:v>35.7196000000008</c:v>
                </c:pt>
                <c:pt idx="914">
                  <c:v>35.7197000000009</c:v>
                </c:pt>
                <c:pt idx="915">
                  <c:v>35.7198000000009</c:v>
                </c:pt>
                <c:pt idx="916">
                  <c:v>35.7199000000009</c:v>
                </c:pt>
                <c:pt idx="917">
                  <c:v>35.7200000000009</c:v>
                </c:pt>
                <c:pt idx="918">
                  <c:v>35.7201000000009</c:v>
                </c:pt>
                <c:pt idx="919">
                  <c:v>35.7202000000009</c:v>
                </c:pt>
                <c:pt idx="920">
                  <c:v>35.7203000000009</c:v>
                </c:pt>
                <c:pt idx="921">
                  <c:v>35.7204000000009</c:v>
                </c:pt>
                <c:pt idx="922">
                  <c:v>35.7205000000009</c:v>
                </c:pt>
                <c:pt idx="923">
                  <c:v>35.7206000000009</c:v>
                </c:pt>
                <c:pt idx="924">
                  <c:v>35.7207000000009</c:v>
                </c:pt>
                <c:pt idx="925">
                  <c:v>35.7208000000009</c:v>
                </c:pt>
                <c:pt idx="926">
                  <c:v>35.7209000000009</c:v>
                </c:pt>
                <c:pt idx="927">
                  <c:v>35.7210000000009</c:v>
                </c:pt>
                <c:pt idx="928">
                  <c:v>35.7211000000009</c:v>
                </c:pt>
                <c:pt idx="929">
                  <c:v>35.7212000000009</c:v>
                </c:pt>
                <c:pt idx="930">
                  <c:v>35.7213000000009</c:v>
                </c:pt>
                <c:pt idx="931">
                  <c:v>35.7214000000009</c:v>
                </c:pt>
                <c:pt idx="932">
                  <c:v>35.7215000000009</c:v>
                </c:pt>
                <c:pt idx="933">
                  <c:v>35.7216000000009</c:v>
                </c:pt>
                <c:pt idx="934">
                  <c:v>35.7217000000009</c:v>
                </c:pt>
                <c:pt idx="935">
                  <c:v>35.7218000000009</c:v>
                </c:pt>
                <c:pt idx="936">
                  <c:v>35.7219000000009</c:v>
                </c:pt>
                <c:pt idx="937">
                  <c:v>35.7220000000009</c:v>
                </c:pt>
                <c:pt idx="938">
                  <c:v>35.7221000000009</c:v>
                </c:pt>
                <c:pt idx="939">
                  <c:v>35.7222000000009</c:v>
                </c:pt>
                <c:pt idx="940">
                  <c:v>35.7223000000009</c:v>
                </c:pt>
                <c:pt idx="941">
                  <c:v>35.7224000000009</c:v>
                </c:pt>
                <c:pt idx="942">
                  <c:v>35.7225000000009</c:v>
                </c:pt>
                <c:pt idx="943">
                  <c:v>35.7226000000009</c:v>
                </c:pt>
                <c:pt idx="944">
                  <c:v>35.722700000001</c:v>
                </c:pt>
                <c:pt idx="945">
                  <c:v>35.722800000001</c:v>
                </c:pt>
                <c:pt idx="946">
                  <c:v>35.722900000001</c:v>
                </c:pt>
                <c:pt idx="947">
                  <c:v>35.723000000001</c:v>
                </c:pt>
                <c:pt idx="948">
                  <c:v>35.723100000001</c:v>
                </c:pt>
                <c:pt idx="949">
                  <c:v>35.723200000001</c:v>
                </c:pt>
                <c:pt idx="950">
                  <c:v>35.723300000001</c:v>
                </c:pt>
                <c:pt idx="951">
                  <c:v>35.723400000001</c:v>
                </c:pt>
                <c:pt idx="952">
                  <c:v>35.723500000001</c:v>
                </c:pt>
                <c:pt idx="953">
                  <c:v>35.723600000001</c:v>
                </c:pt>
                <c:pt idx="954">
                  <c:v>35.723700000001</c:v>
                </c:pt>
                <c:pt idx="955">
                  <c:v>35.723800000001</c:v>
                </c:pt>
                <c:pt idx="956">
                  <c:v>35.723900000001</c:v>
                </c:pt>
                <c:pt idx="957">
                  <c:v>35.724000000001</c:v>
                </c:pt>
                <c:pt idx="958">
                  <c:v>35.724100000001</c:v>
                </c:pt>
                <c:pt idx="959">
                  <c:v>35.724200000001</c:v>
                </c:pt>
                <c:pt idx="960">
                  <c:v>35.724300000001</c:v>
                </c:pt>
                <c:pt idx="961">
                  <c:v>35.724400000001</c:v>
                </c:pt>
                <c:pt idx="962">
                  <c:v>35.724500000001</c:v>
                </c:pt>
                <c:pt idx="963">
                  <c:v>35.724600000001</c:v>
                </c:pt>
                <c:pt idx="964">
                  <c:v>35.724700000001</c:v>
                </c:pt>
                <c:pt idx="965">
                  <c:v>35.724800000001</c:v>
                </c:pt>
                <c:pt idx="966">
                  <c:v>35.724900000001</c:v>
                </c:pt>
                <c:pt idx="967">
                  <c:v>35.725000000001</c:v>
                </c:pt>
                <c:pt idx="968">
                  <c:v>35.725100000001</c:v>
                </c:pt>
                <c:pt idx="969">
                  <c:v>35.725200000001</c:v>
                </c:pt>
                <c:pt idx="970">
                  <c:v>35.725300000001</c:v>
                </c:pt>
                <c:pt idx="971">
                  <c:v>35.725400000001</c:v>
                </c:pt>
                <c:pt idx="972">
                  <c:v>35.725500000001</c:v>
                </c:pt>
                <c:pt idx="973">
                  <c:v>35.725600000001</c:v>
                </c:pt>
                <c:pt idx="974">
                  <c:v>35.7257000000011</c:v>
                </c:pt>
                <c:pt idx="975">
                  <c:v>35.7258000000011</c:v>
                </c:pt>
                <c:pt idx="976">
                  <c:v>35.7259000000011</c:v>
                </c:pt>
                <c:pt idx="977">
                  <c:v>35.7260000000011</c:v>
                </c:pt>
                <c:pt idx="978">
                  <c:v>35.7261000000011</c:v>
                </c:pt>
                <c:pt idx="979">
                  <c:v>35.7262000000011</c:v>
                </c:pt>
                <c:pt idx="980">
                  <c:v>35.7263000000011</c:v>
                </c:pt>
                <c:pt idx="981">
                  <c:v>35.7264000000011</c:v>
                </c:pt>
                <c:pt idx="982">
                  <c:v>35.7265000000011</c:v>
                </c:pt>
                <c:pt idx="983">
                  <c:v>35.7266000000011</c:v>
                </c:pt>
                <c:pt idx="984">
                  <c:v>35.7267000000011</c:v>
                </c:pt>
                <c:pt idx="985">
                  <c:v>35.7268000000011</c:v>
                </c:pt>
                <c:pt idx="986">
                  <c:v>35.7269000000011</c:v>
                </c:pt>
                <c:pt idx="987">
                  <c:v>35.7270000000011</c:v>
                </c:pt>
                <c:pt idx="988">
                  <c:v>35.7271000000011</c:v>
                </c:pt>
                <c:pt idx="989">
                  <c:v>35.7272000000011</c:v>
                </c:pt>
                <c:pt idx="990">
                  <c:v>35.7273000000011</c:v>
                </c:pt>
                <c:pt idx="991">
                  <c:v>35.7274000000011</c:v>
                </c:pt>
                <c:pt idx="992">
                  <c:v>35.7275000000011</c:v>
                </c:pt>
                <c:pt idx="993">
                  <c:v>35.7276000000011</c:v>
                </c:pt>
                <c:pt idx="994">
                  <c:v>35.7277000000011</c:v>
                </c:pt>
                <c:pt idx="995">
                  <c:v>35.7278000000011</c:v>
                </c:pt>
                <c:pt idx="996">
                  <c:v>35.7279000000011</c:v>
                </c:pt>
                <c:pt idx="997">
                  <c:v>35.7280000000011</c:v>
                </c:pt>
                <c:pt idx="998">
                  <c:v>35.7281000000011</c:v>
                </c:pt>
                <c:pt idx="999">
                  <c:v>35.7282000000011</c:v>
                </c:pt>
                <c:pt idx="1000">
                  <c:v>35.7283000000011</c:v>
                </c:pt>
              </c:numCache>
            </c:numRef>
          </c:xVal>
          <c:yVal>
            <c:numRef>
              <c:f>Calculs!$W$4:$W$1004</c:f>
              <c:numCache>
                <c:formatCode>General</c:formatCode>
                <c:ptCount val="1001"/>
                <c:pt idx="0">
                  <c:v>0</c:v>
                </c:pt>
                <c:pt idx="1">
                  <c:v>0</c:v>
                </c:pt>
                <c:pt idx="2">
                  <c:v>8.83043537338763E-005</c:v>
                </c:pt>
                <c:pt idx="3">
                  <c:v>0.000808020145849269</c:v>
                </c:pt>
                <c:pt idx="4">
                  <c:v>0.0032596672924984</c:v>
                </c:pt>
                <c:pt idx="5">
                  <c:v>0.00910317826129085</c:v>
                </c:pt>
                <c:pt idx="6">
                  <c:v>0.0191850934477907</c:v>
                </c:pt>
                <c:pt idx="7">
                  <c:v>0.03294859703745</c:v>
                </c:pt>
                <c:pt idx="8">
                  <c:v>0.0503696538090067</c:v>
                </c:pt>
                <c:pt idx="9">
                  <c:v>0.0714241475235171</c:v>
                </c:pt>
                <c:pt idx="10">
                  <c:v>0.0960878823017926</c:v>
                </c:pt>
                <c:pt idx="11">
                  <c:v>0.124336584005636</c:v>
                </c:pt>
                <c:pt idx="12">
                  <c:v>0.156145901622739</c:v>
                </c:pt>
                <c:pt idx="13">
                  <c:v>0.191491408655117</c:v>
                </c:pt>
                <c:pt idx="14">
                  <c:v>0.230348604510929</c:v>
                </c:pt>
                <c:pt idx="15">
                  <c:v>0.272692915899569</c:v>
                </c:pt>
                <c:pt idx="16">
                  <c:v>0.318499698229879</c:v>
                </c:pt>
                <c:pt idx="17">
                  <c:v>0.367744237011354</c:v>
                </c:pt>
                <c:pt idx="18">
                  <c:v>0.420401749258207</c:v>
                </c:pt>
                <c:pt idx="19">
                  <c:v>0.476447384896147</c:v>
                </c:pt>
                <c:pt idx="20">
                  <c:v>0.535856228171759</c:v>
                </c:pt>
                <c:pt idx="21">
                  <c:v>0.598603299064322</c:v>
                </c:pt>
                <c:pt idx="22">
                  <c:v>0.664663554699948</c:v>
                </c:pt>
                <c:pt idx="23">
                  <c:v>0.734011890767909</c:v>
                </c:pt>
                <c:pt idx="24">
                  <c:v>0.806623142938999</c:v>
                </c:pt>
                <c:pt idx="25">
                  <c:v>0.882472088285819</c:v>
                </c:pt>
                <c:pt idx="26">
                  <c:v>0.961533446704829</c:v>
                </c:pt>
                <c:pt idx="27">
                  <c:v>1.04378188234005</c:v>
                </c:pt>
                <c:pt idx="28">
                  <c:v>1.12919200500827</c:v>
                </c:pt>
                <c:pt idx="29">
                  <c:v>1.21773837162562</c:v>
                </c:pt>
                <c:pt idx="30">
                  <c:v>1.30939548763539</c:v>
                </c:pt>
                <c:pt idx="31">
                  <c:v>1.40413780843694</c:v>
                </c:pt>
                <c:pt idx="32">
                  <c:v>1.50193974081562</c:v>
                </c:pt>
                <c:pt idx="33">
                  <c:v>1.60277564437346</c:v>
                </c:pt>
                <c:pt idx="34">
                  <c:v>1.70661983296061</c:v>
                </c:pt>
                <c:pt idx="35">
                  <c:v>1.81344657610735</c:v>
                </c:pt>
                <c:pt idx="36">
                  <c:v>1.92323087026479</c:v>
                </c:pt>
                <c:pt idx="37">
                  <c:v>2.03594779288755</c:v>
                </c:pt>
                <c:pt idx="38">
                  <c:v>2.15157159088731</c:v>
                </c:pt>
                <c:pt idx="39">
                  <c:v>2.27007646996665</c:v>
                </c:pt>
                <c:pt idx="40">
                  <c:v>2.3914365961611</c:v>
                </c:pt>
                <c:pt idx="41">
                  <c:v>2.51562609737893</c:v>
                </c:pt>
                <c:pt idx="42">
                  <c:v>2.64261906493285</c:v>
                </c:pt>
                <c:pt idx="43">
                  <c:v>2.77238955506407</c:v>
                </c:pt>
                <c:pt idx="44">
                  <c:v>2.90491159045926</c:v>
                </c:pt>
                <c:pt idx="45">
                  <c:v>3.04015916176105</c:v>
                </c:pt>
                <c:pt idx="46">
                  <c:v>3.17810622907221</c:v>
                </c:pt>
                <c:pt idx="47">
                  <c:v>3.31872672345406</c:v>
                </c:pt>
                <c:pt idx="48">
                  <c:v>3.46199454841926</c:v>
                </c:pt>
                <c:pt idx="49">
                  <c:v>3.60788358141927</c:v>
                </c:pt>
                <c:pt idx="50">
                  <c:v>3.75636767532671</c:v>
                </c:pt>
                <c:pt idx="51">
                  <c:v>3.90752199478938</c:v>
                </c:pt>
                <c:pt idx="52">
                  <c:v>4.06142972190037</c:v>
                </c:pt>
                <c:pt idx="53">
                  <c:v>4.21807666180956</c:v>
                </c:pt>
                <c:pt idx="54">
                  <c:v>4.37744856051492</c:v>
                </c:pt>
                <c:pt idx="55">
                  <c:v>4.53953110554661</c:v>
                </c:pt>
                <c:pt idx="56">
                  <c:v>4.70430992665164</c:v>
                </c:pt>
                <c:pt idx="57">
                  <c:v>4.87177059647905</c:v>
                </c:pt>
                <c:pt idx="58">
                  <c:v>5.04189863126579</c:v>
                </c:pt>
                <c:pt idx="59">
                  <c:v>5.21467949152331</c:v>
                </c:pt>
                <c:pt idx="60">
                  <c:v>5.39009858272494</c:v>
                </c:pt>
                <c:pt idx="61">
                  <c:v>5.56814125599408</c:v>
                </c:pt>
                <c:pt idx="62">
                  <c:v>5.74879280879323</c:v>
                </c:pt>
                <c:pt idx="63">
                  <c:v>5.93203848561398</c:v>
                </c:pt>
                <c:pt idx="64">
                  <c:v>6.11786347866784</c:v>
                </c:pt>
                <c:pt idx="65">
                  <c:v>6.30625292857805</c:v>
                </c:pt>
                <c:pt idx="66">
                  <c:v>6.4971919250723</c:v>
                </c:pt>
                <c:pt idx="67">
                  <c:v>6.69066550767643</c:v>
                </c:pt>
                <c:pt idx="68">
                  <c:v>6.88665866640905</c:v>
                </c:pt>
                <c:pt idx="69">
                  <c:v>7.08515634247715</c:v>
                </c:pt>
                <c:pt idx="70">
                  <c:v>7.28614342897265</c:v>
                </c:pt>
                <c:pt idx="71">
                  <c:v>7.48960477156987</c:v>
                </c:pt>
                <c:pt idx="72">
                  <c:v>7.69552516922392</c:v>
                </c:pt>
                <c:pt idx="73">
                  <c:v>7.90388937487003</c:v>
                </c:pt>
                <c:pt idx="74">
                  <c:v>8.11468209612378</c:v>
                </c:pt>
                <c:pt idx="75">
                  <c:v>8.32788799598218</c:v>
                </c:pt>
                <c:pt idx="76">
                  <c:v>8.54349169352558</c:v>
                </c:pt>
                <c:pt idx="77">
                  <c:v>8.7614777646205</c:v>
                </c:pt>
                <c:pt idx="78">
                  <c:v>8.98183074262314</c:v>
                </c:pt>
                <c:pt idx="79">
                  <c:v>9.2045351190838</c:v>
                </c:pt>
                <c:pt idx="80">
                  <c:v>9.42957534445189</c:v>
                </c:pt>
                <c:pt idx="81">
                  <c:v>9.65693582878183</c:v>
                </c:pt>
                <c:pt idx="82">
                  <c:v>9.88660094243948</c:v>
                </c:pt>
                <c:pt idx="83">
                  <c:v>10.1185550168093</c:v>
                </c:pt>
                <c:pt idx="84">
                  <c:v>10.3527823450021</c:v>
                </c:pt>
                <c:pt idx="85">
                  <c:v>10.5892671825633</c:v>
                </c:pt>
                <c:pt idx="86">
                  <c:v>10.8279937481821</c:v>
                </c:pt>
                <c:pt idx="87">
                  <c:v>11.0689462244005</c:v>
                </c:pt>
                <c:pt idx="88">
                  <c:v>11.3121087583232</c:v>
                </c:pt>
                <c:pt idx="89">
                  <c:v>11.5574654623282</c:v>
                </c:pt>
                <c:pt idx="90">
                  <c:v>11.8050004147769</c:v>
                </c:pt>
                <c:pt idx="91">
                  <c:v>12.0546976607256</c:v>
                </c:pt>
                <c:pt idx="92">
                  <c:v>12.3065412126366</c:v>
                </c:pt>
                <c:pt idx="93">
                  <c:v>12.5605150510898</c:v>
                </c:pt>
                <c:pt idx="94">
                  <c:v>12.8166031254942</c:v>
                </c:pt>
                <c:pt idx="95">
                  <c:v>13.0747893548005</c:v>
                </c:pt>
                <c:pt idx="96">
                  <c:v>13.3350576282122</c:v>
                </c:pt>
                <c:pt idx="97">
                  <c:v>13.597391805899</c:v>
                </c:pt>
                <c:pt idx="98">
                  <c:v>13.8617757197079</c:v>
                </c:pt>
                <c:pt idx="99">
                  <c:v>14.1281931738759</c:v>
                </c:pt>
                <c:pt idx="100">
                  <c:v>14.3966279457423</c:v>
                </c:pt>
                <c:pt idx="101">
                  <c:v>14.6669735192602</c:v>
                </c:pt>
                <c:pt idx="102">
                  <c:v>14.9391199282956</c:v>
                </c:pt>
                <c:pt idx="103">
                  <c:v>15.2130457745412</c:v>
                </c:pt>
                <c:pt idx="104">
                  <c:v>15.488729658192</c:v>
                </c:pt>
                <c:pt idx="105">
                  <c:v>15.7661501789366</c:v>
                </c:pt>
                <c:pt idx="106">
                  <c:v>16.0452859369464</c:v>
                </c:pt>
                <c:pt idx="107">
                  <c:v>16.3261155338615</c:v>
                </c:pt>
                <c:pt idx="108">
                  <c:v>16.6086175737742</c:v>
                </c:pt>
                <c:pt idx="109">
                  <c:v>16.8927706642092</c:v>
                </c:pt>
                <c:pt idx="110">
                  <c:v>17.1785534171007</c:v>
                </c:pt>
                <c:pt idx="111">
                  <c:v>17.4659444497669</c:v>
                </c:pt>
                <c:pt idx="112">
                  <c:v>17.7549223858805</c:v>
                </c:pt>
                <c:pt idx="113">
                  <c:v>18.0454658564372</c:v>
                </c:pt>
                <c:pt idx="114">
                  <c:v>18.3375535007196</c:v>
                </c:pt>
                <c:pt idx="115">
                  <c:v>18.6311639672588</c:v>
                </c:pt>
                <c:pt idx="116">
                  <c:v>18.9262759147922</c:v>
                </c:pt>
                <c:pt idx="117">
                  <c:v>19.2228680132173</c:v>
                </c:pt>
                <c:pt idx="118">
                  <c:v>19.5209189445432</c:v>
                </c:pt>
                <c:pt idx="119">
                  <c:v>19.8204074038371</c:v>
                </c:pt>
                <c:pt idx="120">
                  <c:v>20.1213121001686</c:v>
                </c:pt>
                <c:pt idx="121">
                  <c:v>20.4236117575486</c:v>
                </c:pt>
                <c:pt idx="122">
                  <c:v>20.7272851158663</c:v>
                </c:pt>
                <c:pt idx="123">
                  <c:v>21.0323109318207</c:v>
                </c:pt>
                <c:pt idx="124">
                  <c:v>21.3386679798491</c:v>
                </c:pt>
                <c:pt idx="125">
                  <c:v>21.6463350530517</c:v>
                </c:pt>
                <c:pt idx="126">
                  <c:v>21.9552909641116</c:v>
                </c:pt>
                <c:pt idx="127">
                  <c:v>22.2655145462113</c:v>
                </c:pt>
                <c:pt idx="128">
                  <c:v>22.5769846539447</c:v>
                </c:pt>
                <c:pt idx="129">
                  <c:v>22.8896801642252</c:v>
                </c:pt>
                <c:pt idx="130">
                  <c:v>23.2035799771893</c:v>
                </c:pt>
                <c:pt idx="131">
                  <c:v>23.518663017096</c:v>
                </c:pt>
                <c:pt idx="132">
                  <c:v>23.8349082332219</c:v>
                </c:pt>
                <c:pt idx="133">
                  <c:v>24.152294600752</c:v>
                </c:pt>
                <c:pt idx="134">
                  <c:v>24.4708011216656</c:v>
                </c:pt>
                <c:pt idx="135">
                  <c:v>24.7904068256182</c:v>
                </c:pt>
                <c:pt idx="136">
                  <c:v>25.1110907708187</c:v>
                </c:pt>
                <c:pt idx="137">
                  <c:v>25.4328320449015</c:v>
                </c:pt>
                <c:pt idx="138">
                  <c:v>25.7556097657947</c:v>
                </c:pt>
                <c:pt idx="139">
                  <c:v>26.0794030825832</c:v>
                </c:pt>
                <c:pt idx="140">
                  <c:v>26.4041911763667</c:v>
                </c:pt>
                <c:pt idx="141">
                  <c:v>26.7299532611136</c:v>
                </c:pt>
                <c:pt idx="142">
                  <c:v>27.0566685845094</c:v>
                </c:pt>
                <c:pt idx="143">
                  <c:v>27.3843164288007</c:v>
                </c:pt>
                <c:pt idx="144">
                  <c:v>27.7128761116335</c:v>
                </c:pt>
                <c:pt idx="145">
                  <c:v>28.0423269868875</c:v>
                </c:pt>
                <c:pt idx="146">
                  <c:v>28.3726484455044</c:v>
                </c:pt>
                <c:pt idx="147">
                  <c:v>28.7038199163117</c:v>
                </c:pt>
                <c:pt idx="148">
                  <c:v>29.0358208668411</c:v>
                </c:pt>
                <c:pt idx="149">
                  <c:v>29.3686308041418</c:v>
                </c:pt>
                <c:pt idx="150">
                  <c:v>29.7022292755886</c:v>
                </c:pt>
                <c:pt idx="151">
                  <c:v>30.0366396569474</c:v>
                </c:pt>
                <c:pt idx="152">
                  <c:v>30.3718863643723</c:v>
                </c:pt>
                <c:pt idx="153">
                  <c:v>30.707950545775</c:v>
                </c:pt>
                <c:pt idx="154">
                  <c:v>31.0448133819432</c:v>
                </c:pt>
                <c:pt idx="155">
                  <c:v>31.3824560872566</c:v>
                </c:pt>
                <c:pt idx="156">
                  <c:v>31.7208599103988</c:v>
                </c:pt>
                <c:pt idx="157">
                  <c:v>32.0600061350643</c:v>
                </c:pt>
                <c:pt idx="158">
                  <c:v>32.3998760806611</c:v>
                </c:pt>
                <c:pt idx="159">
                  <c:v>32.7404511030092</c:v>
                </c:pt>
                <c:pt idx="160">
                  <c:v>33.0817125950338</c:v>
                </c:pt>
                <c:pt idx="161">
                  <c:v>33.4236419874545</c:v>
                </c:pt>
                <c:pt idx="162">
                  <c:v>33.76622074947</c:v>
                </c:pt>
                <c:pt idx="163">
                  <c:v>34.1094303894373</c:v>
                </c:pt>
                <c:pt idx="164">
                  <c:v>34.4532524555471</c:v>
                </c:pt>
                <c:pt idx="165">
                  <c:v>34.797668536494</c:v>
                </c:pt>
                <c:pt idx="166">
                  <c:v>35.142660262142</c:v>
                </c:pt>
                <c:pt idx="167">
                  <c:v>35.4882093041855</c:v>
                </c:pt>
                <c:pt idx="168">
                  <c:v>35.8342973768051</c:v>
                </c:pt>
                <c:pt idx="169">
                  <c:v>36.1809062373186</c:v>
                </c:pt>
                <c:pt idx="170">
                  <c:v>36.5280176868276</c:v>
                </c:pt>
                <c:pt idx="171">
                  <c:v>36.8756135708585</c:v>
                </c:pt>
                <c:pt idx="172">
                  <c:v>37.2236757799992</c:v>
                </c:pt>
                <c:pt idx="173">
                  <c:v>37.5721862505304</c:v>
                </c:pt>
                <c:pt idx="174">
                  <c:v>37.921126965052</c:v>
                </c:pt>
                <c:pt idx="175">
                  <c:v>38.2704799531049</c:v>
                </c:pt>
                <c:pt idx="176">
                  <c:v>38.6202272917871</c:v>
                </c:pt>
                <c:pt idx="177">
                  <c:v>38.9703511063654</c:v>
                </c:pt>
                <c:pt idx="178">
                  <c:v>39.3208335708816</c:v>
                </c:pt>
                <c:pt idx="179">
                  <c:v>39.6716569087534</c:v>
                </c:pt>
                <c:pt idx="180">
                  <c:v>40.0228033933712</c:v>
                </c:pt>
                <c:pt idx="181">
                  <c:v>40.3742553486883</c:v>
                </c:pt>
                <c:pt idx="182">
                  <c:v>40.7259951498072</c:v>
                </c:pt>
                <c:pt idx="183">
                  <c:v>41.0780052235599</c:v>
                </c:pt>
                <c:pt idx="184">
                  <c:v>41.4302680490834</c:v>
                </c:pt>
                <c:pt idx="185">
                  <c:v>41.7827661583898</c:v>
                </c:pt>
                <c:pt idx="186">
                  <c:v>42.1354821369313</c:v>
                </c:pt>
                <c:pt idx="187">
                  <c:v>42.4883986241598</c:v>
                </c:pt>
                <c:pt idx="188">
                  <c:v>42.8414983140812</c:v>
                </c:pt>
                <c:pt idx="189">
                  <c:v>43.1947639558046</c:v>
                </c:pt>
                <c:pt idx="190">
                  <c:v>43.5481783540859</c:v>
                </c:pt>
                <c:pt idx="191">
                  <c:v>43.9017243698662</c:v>
                </c:pt>
                <c:pt idx="192">
                  <c:v>44.2553849208053</c:v>
                </c:pt>
                <c:pt idx="193">
                  <c:v>44.6091429818088</c:v>
                </c:pt>
                <c:pt idx="194">
                  <c:v>44.9629815855506</c:v>
                </c:pt>
                <c:pt idx="195">
                  <c:v>45.3168838229904</c:v>
                </c:pt>
                <c:pt idx="196">
                  <c:v>45.6708328438847</c:v>
                </c:pt>
                <c:pt idx="197">
                  <c:v>46.0248118572927</c:v>
                </c:pt>
                <c:pt idx="198">
                  <c:v>46.378804132078</c:v>
                </c:pt>
                <c:pt idx="199">
                  <c:v>46.7327929974029</c:v>
                </c:pt>
                <c:pt idx="200">
                  <c:v>47.0867618432187</c:v>
                </c:pt>
                <c:pt idx="201">
                  <c:v>47.4406941207502</c:v>
                </c:pt>
                <c:pt idx="202">
                  <c:v>47.7945733429742</c:v>
                </c:pt>
                <c:pt idx="203">
                  <c:v>48.1483830850935</c:v>
                </c:pt>
                <c:pt idx="204">
                  <c:v>48.5021069850043</c:v>
                </c:pt>
                <c:pt idx="205">
                  <c:v>48.8557287437591</c:v>
                </c:pt>
                <c:pt idx="206">
                  <c:v>49.2092321260237</c:v>
                </c:pt>
                <c:pt idx="207">
                  <c:v>49.5626009605285</c:v>
                </c:pt>
                <c:pt idx="208">
                  <c:v>49.9158191405144</c:v>
                </c:pt>
                <c:pt idx="209">
                  <c:v>50.2688706241736</c:v>
                </c:pt>
                <c:pt idx="210">
                  <c:v>50.6217394350845</c:v>
                </c:pt>
                <c:pt idx="211">
                  <c:v>50.9744096626408</c:v>
                </c:pt>
                <c:pt idx="212">
                  <c:v>51.3268654624761</c:v>
                </c:pt>
                <c:pt idx="213">
                  <c:v>51.6790910568815</c:v>
                </c:pt>
                <c:pt idx="214">
                  <c:v>52.0310707352189</c:v>
                </c:pt>
                <c:pt idx="215">
                  <c:v>52.3827888543288</c:v>
                </c:pt>
                <c:pt idx="216">
                  <c:v>52.7342298389311</c:v>
                </c:pt>
                <c:pt idx="217">
                  <c:v>53.0853781820222</c:v>
                </c:pt>
                <c:pt idx="218">
                  <c:v>53.4362184452654</c:v>
                </c:pt>
                <c:pt idx="219">
                  <c:v>53.7867352593765</c:v>
                </c:pt>
                <c:pt idx="220">
                  <c:v>54.1369133245026</c:v>
                </c:pt>
                <c:pt idx="221">
                  <c:v>54.4867374105977</c:v>
                </c:pt>
                <c:pt idx="222">
                  <c:v>54.83619235779</c:v>
                </c:pt>
                <c:pt idx="223">
                  <c:v>55.1852630767457</c:v>
                </c:pt>
                <c:pt idx="224">
                  <c:v>55.5339345490268</c:v>
                </c:pt>
                <c:pt idx="225">
                  <c:v>55.8821918274424</c:v>
                </c:pt>
                <c:pt idx="226">
                  <c:v>56.2300200363963</c:v>
                </c:pt>
                <c:pt idx="227">
                  <c:v>56.5774043722271</c:v>
                </c:pt>
                <c:pt idx="228">
                  <c:v>56.9243301035447</c:v>
                </c:pt>
                <c:pt idx="229">
                  <c:v>57.2707825715595</c:v>
                </c:pt>
                <c:pt idx="230">
                  <c:v>57.6167471904077</c:v>
                </c:pt>
                <c:pt idx="231">
                  <c:v>57.9622094474701</c:v>
                </c:pt>
                <c:pt idx="232">
                  <c:v>58.3071549036857</c:v>
                </c:pt>
                <c:pt idx="233">
                  <c:v>58.6515691938601</c:v>
                </c:pt>
                <c:pt idx="234">
                  <c:v>58.9954380269678</c:v>
                </c:pt>
                <c:pt idx="235">
                  <c:v>59.3387471864501</c:v>
                </c:pt>
                <c:pt idx="236">
                  <c:v>59.6814825305063</c:v>
                </c:pt>
                <c:pt idx="237">
                  <c:v>60.0236299923805</c:v>
                </c:pt>
                <c:pt idx="238">
                  <c:v>60.3651755806423</c:v>
                </c:pt>
                <c:pt idx="239">
                  <c:v>60.7061053794627</c:v>
                </c:pt>
                <c:pt idx="240">
                  <c:v>61.0464055488836</c:v>
                </c:pt>
                <c:pt idx="241">
                  <c:v>61.3860623250835</c:v>
                </c:pt>
                <c:pt idx="242">
                  <c:v>61.7250620206364</c:v>
                </c:pt>
                <c:pt idx="243">
                  <c:v>62.0633910247654</c:v>
                </c:pt>
                <c:pt idx="244">
                  <c:v>62.4010358035924</c:v>
                </c:pt>
                <c:pt idx="245">
                  <c:v>62.7379829003806</c:v>
                </c:pt>
                <c:pt idx="246">
                  <c:v>63.0742189357727</c:v>
                </c:pt>
                <c:pt idx="247">
                  <c:v>63.4097306080241</c:v>
                </c:pt>
                <c:pt idx="248">
                  <c:v>63.7445046932295</c:v>
                </c:pt>
                <c:pt idx="249">
                  <c:v>64.0785280455459</c:v>
                </c:pt>
                <c:pt idx="250">
                  <c:v>64.4117875974087</c:v>
                </c:pt>
                <c:pt idx="251">
                  <c:v>64.7439957612309</c:v>
                </c:pt>
                <c:pt idx="252">
                  <c:v>65.0748622770017</c:v>
                </c:pt>
                <c:pt idx="253">
                  <c:v>65.4043703752441</c:v>
                </c:pt>
                <c:pt idx="254">
                  <c:v>65.7325034250301</c:v>
                </c:pt>
                <c:pt idx="255">
                  <c:v>66.0592449341792</c:v>
                </c:pt>
                <c:pt idx="256">
                  <c:v>66.384578549448</c:v>
                </c:pt>
                <c:pt idx="257">
                  <c:v>66.7084880567094</c:v>
                </c:pt>
                <c:pt idx="258">
                  <c:v>67.0309573811233</c:v>
                </c:pt>
                <c:pt idx="259">
                  <c:v>67.351970587297</c:v>
                </c:pt>
                <c:pt idx="260">
                  <c:v>67.6715118794367</c:v>
                </c:pt>
                <c:pt idx="261">
                  <c:v>67.9895656014893</c:v>
                </c:pt>
                <c:pt idx="262">
                  <c:v>68.3061162372753</c:v>
                </c:pt>
                <c:pt idx="263">
                  <c:v>68.621148410612</c:v>
                </c:pt>
                <c:pt idx="264">
                  <c:v>68.934646885428</c:v>
                </c:pt>
                <c:pt idx="265">
                  <c:v>69.2465965658683</c:v>
                </c:pt>
                <c:pt idx="266">
                  <c:v>69.5569824963904</c:v>
                </c:pt>
                <c:pt idx="267">
                  <c:v>69.865789861851</c:v>
                </c:pt>
                <c:pt idx="268">
                  <c:v>70.1730039875849</c:v>
                </c:pt>
                <c:pt idx="269">
                  <c:v>70.4786103394734</c:v>
                </c:pt>
                <c:pt idx="270">
                  <c:v>70.7825945240052</c:v>
                </c:pt>
                <c:pt idx="271">
                  <c:v>71.084942288328</c:v>
                </c:pt>
                <c:pt idx="272">
                  <c:v>71.3856395202911</c:v>
                </c:pt>
                <c:pt idx="273">
                  <c:v>71.6846722484802</c:v>
                </c:pt>
                <c:pt idx="274">
                  <c:v>71.9820266422427</c:v>
                </c:pt>
                <c:pt idx="275">
                  <c:v>72.2776890117047</c:v>
                </c:pt>
                <c:pt idx="276">
                  <c:v>72.5716458077803</c:v>
                </c:pt>
                <c:pt idx="277">
                  <c:v>72.8638836221713</c:v>
                </c:pt>
                <c:pt idx="278">
                  <c:v>73.1543891873594</c:v>
                </c:pt>
                <c:pt idx="279">
                  <c:v>73.4431493765901</c:v>
                </c:pt>
                <c:pt idx="280">
                  <c:v>73.7301512038477</c:v>
                </c:pt>
                <c:pt idx="281">
                  <c:v>74.0153818238232</c:v>
                </c:pt>
                <c:pt idx="282">
                  <c:v>74.298828531873</c:v>
                </c:pt>
                <c:pt idx="283">
                  <c:v>74.5804787639705</c:v>
                </c:pt>
                <c:pt idx="284">
                  <c:v>74.8603200966494</c:v>
                </c:pt>
                <c:pt idx="285">
                  <c:v>75.138340246939</c:v>
                </c:pt>
                <c:pt idx="286">
                  <c:v>75.4145270722918</c:v>
                </c:pt>
                <c:pt idx="287">
                  <c:v>75.6888685705036</c:v>
                </c:pt>
                <c:pt idx="288">
                  <c:v>75.9613528796253</c:v>
                </c:pt>
                <c:pt idx="289">
                  <c:v>76.2319682778677</c:v>
                </c:pt>
                <c:pt idx="290">
                  <c:v>76.5007031834986</c:v>
                </c:pt>
                <c:pt idx="291">
                  <c:v>76.7675461547323</c:v>
                </c:pt>
                <c:pt idx="292">
                  <c:v>77.0324858896117</c:v>
                </c:pt>
                <c:pt idx="293">
                  <c:v>77.2955112258829</c:v>
                </c:pt>
                <c:pt idx="294">
                  <c:v>77.5566111408633</c:v>
                </c:pt>
                <c:pt idx="295">
                  <c:v>77.8157747513014</c:v>
                </c:pt>
                <c:pt idx="296">
                  <c:v>78.0729913132302</c:v>
                </c:pt>
                <c:pt idx="297">
                  <c:v>78.3282502218137</c:v>
                </c:pt>
                <c:pt idx="298">
                  <c:v>78.578238300925</c:v>
                </c:pt>
                <c:pt idx="299">
                  <c:v>78.8196237348296</c:v>
                </c:pt>
                <c:pt idx="300">
                  <c:v>79.0523713161055</c:v>
                </c:pt>
                <c:pt idx="301">
                  <c:v>79.2764475926679</c:v>
                </c:pt>
                <c:pt idx="302">
                  <c:v>79.4918208631447</c:v>
                </c:pt>
                <c:pt idx="303">
                  <c:v>79.6984611720809</c:v>
                </c:pt>
                <c:pt idx="304">
                  <c:v>79.8963403049756</c:v>
                </c:pt>
                <c:pt idx="305">
                  <c:v>80.0854317831529</c:v>
                </c:pt>
                <c:pt idx="306">
                  <c:v>80.2657108584726</c:v>
                </c:pt>
                <c:pt idx="307">
                  <c:v>80.4371545078819</c:v>
                </c:pt>
                <c:pt idx="308">
                  <c:v>80.5997414278136</c:v>
                </c:pt>
                <c:pt idx="309">
                  <c:v>80.7534520284317</c:v>
                </c:pt>
                <c:pt idx="310">
                  <c:v>80.8982684277299</c:v>
                </c:pt>
                <c:pt idx="311">
                  <c:v>81.0341744454855</c:v>
                </c:pt>
                <c:pt idx="312">
                  <c:v>81.1611555970718</c:v>
                </c:pt>
                <c:pt idx="313">
                  <c:v>81.279199087133</c:v>
                </c:pt>
                <c:pt idx="314">
                  <c:v>81.3882938031239</c:v>
                </c:pt>
                <c:pt idx="315">
                  <c:v>81.4884303087201</c:v>
                </c:pt>
                <c:pt idx="316">
                  <c:v>81.5796008370985</c:v>
                </c:pt>
                <c:pt idx="317">
                  <c:v>81.6617992840951</c:v>
                </c:pt>
                <c:pt idx="318">
                  <c:v>81.7350212012405</c:v>
                </c:pt>
                <c:pt idx="319">
                  <c:v>81.7992637886785</c:v>
                </c:pt>
                <c:pt idx="320">
                  <c:v>81.8545258879703</c:v>
                </c:pt>
                <c:pt idx="321">
                  <c:v>81.9021455004207</c:v>
                </c:pt>
                <c:pt idx="322">
                  <c:v>81.9434621146438</c:v>
                </c:pt>
                <c:pt idx="323">
                  <c:v>81.9784778271611</c:v>
                </c:pt>
                <c:pt idx="324">
                  <c:v>82.0071955324502</c:v>
                </c:pt>
                <c:pt idx="325">
                  <c:v>82.0296189191784</c:v>
                </c:pt>
                <c:pt idx="326">
                  <c:v>82.0457524664052</c:v>
                </c:pt>
                <c:pt idx="327">
                  <c:v>82.0556014397547</c:v>
                </c:pt>
                <c:pt idx="328">
                  <c:v>82.0591718875589</c:v>
                </c:pt>
                <c:pt idx="329">
                  <c:v>82.0564706369728</c:v>
                </c:pt>
                <c:pt idx="330">
                  <c:v>82.047505290063</c:v>
                </c:pt>
                <c:pt idx="331">
                  <c:v>82.0322842198707</c:v>
                </c:pt>
                <c:pt idx="332">
                  <c:v>82.0108165664494</c:v>
                </c:pt>
                <c:pt idx="333">
                  <c:v>81.9831122328797</c:v>
                </c:pt>
                <c:pt idx="334">
                  <c:v>81.9491818812616</c:v>
                </c:pt>
                <c:pt idx="335">
                  <c:v>81.9090369286846</c:v>
                </c:pt>
                <c:pt idx="336">
                  <c:v>81.8626895431785</c:v>
                </c:pt>
                <c:pt idx="337">
                  <c:v>81.8101526396442</c:v>
                </c:pt>
                <c:pt idx="338">
                  <c:v>81.7514398757663</c:v>
                </c:pt>
                <c:pt idx="339">
                  <c:v>81.686565647909</c:v>
                </c:pt>
                <c:pt idx="340">
                  <c:v>81.6155450869948</c:v>
                </c:pt>
                <c:pt idx="341">
                  <c:v>81.5383940543693</c:v>
                </c:pt>
                <c:pt idx="342">
                  <c:v>81.4551291376506</c:v>
                </c:pt>
                <c:pt idx="343">
                  <c:v>81.3657676465664</c:v>
                </c:pt>
                <c:pt idx="344">
                  <c:v>81.2703276087785</c:v>
                </c:pt>
                <c:pt idx="345">
                  <c:v>81.1688277656962</c:v>
                </c:pt>
                <c:pt idx="346">
                  <c:v>81.0612875682797</c:v>
                </c:pt>
                <c:pt idx="347">
                  <c:v>80.947727172834</c:v>
                </c:pt>
                <c:pt idx="348">
                  <c:v>80.8283103527085</c:v>
                </c:pt>
                <c:pt idx="349">
                  <c:v>80.7032009332544</c:v>
                </c:pt>
                <c:pt idx="350">
                  <c:v>80.5724200593028</c:v>
                </c:pt>
                <c:pt idx="351">
                  <c:v>80.4359894986924</c:v>
                </c:pt>
                <c:pt idx="352">
                  <c:v>80.2939316384336</c:v>
                </c:pt>
                <c:pt idx="353">
                  <c:v>80.1462694808708</c:v>
                </c:pt>
                <c:pt idx="354">
                  <c:v>79.9930266398437</c:v>
                </c:pt>
                <c:pt idx="355">
                  <c:v>79.8342273368478</c:v>
                </c:pt>
                <c:pt idx="356">
                  <c:v>79.6698963971958</c:v>
                </c:pt>
                <c:pt idx="357">
                  <c:v>79.5000592461797</c:v>
                </c:pt>
                <c:pt idx="358">
                  <c:v>79.3247419052354</c:v>
                </c:pt>
                <c:pt idx="359">
                  <c:v>79.143970988109</c:v>
                </c:pt>
                <c:pt idx="360">
                  <c:v>78.9607082826074</c:v>
                </c:pt>
                <c:pt idx="361">
                  <c:v>78.7778977466718</c:v>
                </c:pt>
                <c:pt idx="362">
                  <c:v>78.5955379579533</c:v>
                </c:pt>
                <c:pt idx="363">
                  <c:v>78.4136274998415</c:v>
                </c:pt>
                <c:pt idx="364">
                  <c:v>78.2321649614367</c:v>
                </c:pt>
                <c:pt idx="365">
                  <c:v>78.0511489375221</c:v>
                </c:pt>
                <c:pt idx="366">
                  <c:v>77.8705780285363</c:v>
                </c:pt>
                <c:pt idx="367">
                  <c:v>77.6904508405463</c:v>
                </c:pt>
                <c:pt idx="368">
                  <c:v>77.5107659852202</c:v>
                </c:pt>
                <c:pt idx="369">
                  <c:v>77.3315220798001</c:v>
                </c:pt>
                <c:pt idx="370">
                  <c:v>77.1527177470752</c:v>
                </c:pt>
                <c:pt idx="371">
                  <c:v>76.9743516153555</c:v>
                </c:pt>
                <c:pt idx="372">
                  <c:v>76.7964223184449</c:v>
                </c:pt>
                <c:pt idx="373">
                  <c:v>76.6189284956149</c:v>
                </c:pt>
                <c:pt idx="374">
                  <c:v>76.4418687915784</c:v>
                </c:pt>
                <c:pt idx="375">
                  <c:v>76.2652418564633</c:v>
                </c:pt>
                <c:pt idx="376">
                  <c:v>76.0890463457874</c:v>
                </c:pt>
                <c:pt idx="377">
                  <c:v>75.9132809204313</c:v>
                </c:pt>
                <c:pt idx="378">
                  <c:v>75.7379442466141</c:v>
                </c:pt>
                <c:pt idx="379">
                  <c:v>75.5630349958669</c:v>
                </c:pt>
                <c:pt idx="380">
                  <c:v>75.3885518450077</c:v>
                </c:pt>
                <c:pt idx="381">
                  <c:v>75.2144934761165</c:v>
                </c:pt>
                <c:pt idx="382">
                  <c:v>75.0408585765099</c:v>
                </c:pt>
                <c:pt idx="383">
                  <c:v>74.8676458387159</c:v>
                </c:pt>
                <c:pt idx="384">
                  <c:v>74.6948539604498</c:v>
                </c:pt>
                <c:pt idx="385">
                  <c:v>74.522481644589</c:v>
                </c:pt>
                <c:pt idx="386">
                  <c:v>74.3505275991485</c:v>
                </c:pt>
                <c:pt idx="387">
                  <c:v>74.1789905372565</c:v>
                </c:pt>
                <c:pt idx="388">
                  <c:v>74.0078691771306</c:v>
                </c:pt>
                <c:pt idx="389">
                  <c:v>73.8371622420529</c:v>
                </c:pt>
                <c:pt idx="390">
                  <c:v>73.6668684603467</c:v>
                </c:pt>
                <c:pt idx="391">
                  <c:v>73.4969865653523</c:v>
                </c:pt>
                <c:pt idx="392">
                  <c:v>73.3275152954033</c:v>
                </c:pt>
                <c:pt idx="393">
                  <c:v>73.1584533938031</c:v>
                </c:pt>
                <c:pt idx="394">
                  <c:v>72.9897996088012</c:v>
                </c:pt>
                <c:pt idx="395">
                  <c:v>72.8215526935703</c:v>
                </c:pt>
                <c:pt idx="396">
                  <c:v>72.6537114061827</c:v>
                </c:pt>
                <c:pt idx="397">
                  <c:v>72.4862745095875</c:v>
                </c:pt>
                <c:pt idx="398">
                  <c:v>72.3192407715872</c:v>
                </c:pt>
                <c:pt idx="399">
                  <c:v>72.1526089648157</c:v>
                </c:pt>
                <c:pt idx="400">
                  <c:v>71.9863778667145</c:v>
                </c:pt>
                <c:pt idx="401">
                  <c:v>70.3385152114592</c:v>
                </c:pt>
                <c:pt idx="402">
                  <c:v>68.7298421537558</c:v>
                </c:pt>
                <c:pt idx="403">
                  <c:v>67.1591897398563</c:v>
                </c:pt>
                <c:pt idx="404">
                  <c:v>65.6254336740037</c:v>
                </c:pt>
                <c:pt idx="405">
                  <c:v>64.1274922878025</c:v>
                </c:pt>
                <c:pt idx="406">
                  <c:v>62.6643246172582</c:v>
                </c:pt>
                <c:pt idx="407">
                  <c:v>61.2349285809923</c:v>
                </c:pt>
                <c:pt idx="408">
                  <c:v>59.8383392535772</c:v>
                </c:pt>
                <c:pt idx="409">
                  <c:v>58.4736272283445</c:v>
                </c:pt>
                <c:pt idx="410">
                  <c:v>57.1398970643904</c:v>
                </c:pt>
                <c:pt idx="411">
                  <c:v>55.8362858128568</c:v>
                </c:pt>
                <c:pt idx="412">
                  <c:v>54.5619616178829</c:v>
                </c:pt>
                <c:pt idx="413">
                  <c:v>53.3161223879257</c:v>
                </c:pt>
                <c:pt idx="414">
                  <c:v>52.0979945334255</c:v>
                </c:pt>
                <c:pt idx="415">
                  <c:v>50.9068317670461</c:v>
                </c:pt>
                <c:pt idx="416">
                  <c:v>49.7419139629662</c:v>
                </c:pt>
                <c:pt idx="417">
                  <c:v>48.6025460719144</c:v>
                </c:pt>
                <c:pt idx="418">
                  <c:v>47.4880570888519</c:v>
                </c:pt>
                <c:pt idx="419">
                  <c:v>46.3977990703988</c:v>
                </c:pt>
                <c:pt idx="420">
                  <c:v>45.3311461992782</c:v>
                </c:pt>
                <c:pt idx="421">
                  <c:v>44.2874938932216</c:v>
                </c:pt>
                <c:pt idx="422">
                  <c:v>43.2662579559342</c:v>
                </c:pt>
                <c:pt idx="423">
                  <c:v>42.2668737678625</c:v>
                </c:pt>
                <c:pt idx="424">
                  <c:v>41.2887955146471</c:v>
                </c:pt>
                <c:pt idx="425">
                  <c:v>40.3314954512633</c:v>
                </c:pt>
                <c:pt idx="426">
                  <c:v>39.3944631999773</c:v>
                </c:pt>
                <c:pt idx="427">
                  <c:v>38.4772050803513</c:v>
                </c:pt>
                <c:pt idx="428">
                  <c:v>37.5792434696376</c:v>
                </c:pt>
                <c:pt idx="429">
                  <c:v>36.7001161919955</c:v>
                </c:pt>
                <c:pt idx="430">
                  <c:v>35.8393759350571</c:v>
                </c:pt>
                <c:pt idx="431">
                  <c:v>34.9965896924538</c:v>
                </c:pt>
                <c:pt idx="432">
                  <c:v>34.1713382309903</c:v>
                </c:pt>
                <c:pt idx="433">
                  <c:v>33.3632155812323</c:v>
                </c:pt>
                <c:pt idx="434">
                  <c:v>32.5718285503403</c:v>
                </c:pt>
                <c:pt idx="435">
                  <c:v>31.7967962560485</c:v>
                </c:pt>
                <c:pt idx="436">
                  <c:v>31.0377496807487</c:v>
                </c:pt>
                <c:pt idx="437">
                  <c:v>30.2943312446963</c:v>
                </c:pt>
                <c:pt idx="438">
                  <c:v>29.566194397411</c:v>
                </c:pt>
                <c:pt idx="439">
                  <c:v>28.8530032263922</c:v>
                </c:pt>
                <c:pt idx="440">
                  <c:v>28.154432082321</c:v>
                </c:pt>
                <c:pt idx="441">
                  <c:v>27.4701652199617</c:v>
                </c:pt>
                <c:pt idx="442">
                  <c:v>26.7998964540199</c:v>
                </c:pt>
                <c:pt idx="443">
                  <c:v>26.1433288292536</c:v>
                </c:pt>
                <c:pt idx="444">
                  <c:v>25.5001743041695</c:v>
                </c:pt>
                <c:pt idx="445">
                  <c:v>24.870153447675</c:v>
                </c:pt>
                <c:pt idx="446">
                  <c:v>24.2529951480848</c:v>
                </c:pt>
                <c:pt idx="447">
                  <c:v>23.648436333917</c:v>
                </c:pt>
                <c:pt idx="448">
                  <c:v>23.0562217059393</c:v>
                </c:pt>
                <c:pt idx="449">
                  <c:v>22.4761034799553</c:v>
                </c:pt>
                <c:pt idx="450">
                  <c:v>21.9078411398461</c:v>
                </c:pt>
                <c:pt idx="451">
                  <c:v>21.3512012004083</c:v>
                </c:pt>
                <c:pt idx="452">
                  <c:v>20.8059569795505</c:v>
                </c:pt>
                <c:pt idx="453">
                  <c:v>20.2718883794353</c:v>
                </c:pt>
                <c:pt idx="454">
                  <c:v>19.7487816761712</c:v>
                </c:pt>
                <c:pt idx="455">
                  <c:v>19.2364293176805</c:v>
                </c:pt>
                <c:pt idx="456">
                  <c:v>18.734629729388</c:v>
                </c:pt>
                <c:pt idx="457">
                  <c:v>18.2431871273907</c:v>
                </c:pt>
                <c:pt idx="458">
                  <c:v>17.7619113387872</c:v>
                </c:pt>
                <c:pt idx="459">
                  <c:v>17.2906176288598</c:v>
                </c:pt>
                <c:pt idx="460">
                  <c:v>16.8291265348181</c:v>
                </c:pt>
                <c:pt idx="461">
                  <c:v>16.3772637058257</c:v>
                </c:pt>
                <c:pt idx="462">
                  <c:v>15.9348597490462</c:v>
                </c:pt>
                <c:pt idx="463">
                  <c:v>15.5017500814552</c:v>
                </c:pt>
                <c:pt idx="464">
                  <c:v>15.0777747871788</c:v>
                </c:pt>
                <c:pt idx="465">
                  <c:v>14.6627784801298</c:v>
                </c:pt>
                <c:pt idx="466">
                  <c:v>14.2566101717218</c:v>
                </c:pt>
                <c:pt idx="467">
                  <c:v>13.8591231434537</c:v>
                </c:pt>
                <c:pt idx="468">
                  <c:v>13.4701748241655</c:v>
                </c:pt>
                <c:pt idx="469">
                  <c:v>13.0896266717745</c:v>
                </c:pt>
                <c:pt idx="470">
                  <c:v>12.7173440593115</c:v>
                </c:pt>
                <c:pt idx="471">
                  <c:v>12.3531961650826</c:v>
                </c:pt>
                <c:pt idx="472">
                  <c:v>11.997055866791</c:v>
                </c:pt>
                <c:pt idx="473">
                  <c:v>11.6487996394598</c:v>
                </c:pt>
                <c:pt idx="474">
                  <c:v>11.3083074570051</c:v>
                </c:pt>
                <c:pt idx="475">
                  <c:v>10.9754626973119</c:v>
                </c:pt>
                <c:pt idx="476">
                  <c:v>10.6501520506749</c:v>
                </c:pt>
                <c:pt idx="477">
                  <c:v>10.3322654314706</c:v>
                </c:pt>
                <c:pt idx="478">
                  <c:v>10.0216958929312</c:v>
                </c:pt>
                <c:pt idx="479">
                  <c:v>9.7183395448987</c:v>
                </c:pt>
                <c:pt idx="480">
                  <c:v>9.42209547443918</c:v>
                </c:pt>
                <c:pt idx="481">
                  <c:v>9.13286566920494</c:v>
                </c:pt>
                <c:pt idx="482">
                  <c:v>8.85055494343359</c:v>
                </c:pt>
                <c:pt idx="483">
                  <c:v>8.57507086647892</c:v>
                </c:pt>
                <c:pt idx="484">
                  <c:v>8.30632369377118</c:v>
                </c:pt>
                <c:pt idx="485">
                  <c:v>8.04422630010803</c:v>
                </c:pt>
                <c:pt idx="486">
                  <c:v>7.78869411518065</c:v>
                </c:pt>
                <c:pt idx="487">
                  <c:v>7.53964506124205</c:v>
                </c:pt>
                <c:pt idx="488">
                  <c:v>7.29699949282741</c:v>
                </c:pt>
                <c:pt idx="489">
                  <c:v>7.06068013843876</c:v>
                </c:pt>
                <c:pt idx="490">
                  <c:v>6.83061204410804</c:v>
                </c:pt>
                <c:pt idx="491">
                  <c:v>6.60672251875471</c:v>
                </c:pt>
                <c:pt idx="492">
                  <c:v>6.38894108125549</c:v>
                </c:pt>
                <c:pt idx="493">
                  <c:v>6.17719940914523</c:v>
                </c:pt>
                <c:pt idx="494">
                  <c:v>5.97143128886877</c:v>
                </c:pt>
                <c:pt idx="495">
                  <c:v>5.77157256750458</c:v>
                </c:pt>
                <c:pt idx="496">
                  <c:v>5.57756110588141</c:v>
                </c:pt>
                <c:pt idx="497">
                  <c:v>5.38933673300935</c:v>
                </c:pt>
                <c:pt idx="498">
                  <c:v>5.20684120174661</c:v>
                </c:pt>
                <c:pt idx="499">
                  <c:v>5.03001814562312</c:v>
                </c:pt>
                <c:pt idx="500">
                  <c:v>4.85881303674118</c:v>
                </c:pt>
                <c:pt idx="501">
                  <c:v>4.69317314467262</c:v>
                </c:pt>
                <c:pt idx="502">
                  <c:v>4.53304749627063</c:v>
                </c:pt>
                <c:pt idx="503">
                  <c:v>4.37838683631295</c:v>
                </c:pt>
                <c:pt idx="504">
                  <c:v>4.22914358889127</c:v>
                </c:pt>
                <c:pt idx="505">
                  <c:v>4.08527181945981</c:v>
                </c:pt>
                <c:pt idx="506">
                  <c:v>3.94672719745362</c:v>
                </c:pt>
                <c:pt idx="507">
                  <c:v>3.81346695938504</c:v>
                </c:pt>
                <c:pt idx="508">
                  <c:v>3.68544987232367</c:v>
                </c:pt>
                <c:pt idx="509">
                  <c:v>3.56263619766333</c:v>
                </c:pt>
                <c:pt idx="510">
                  <c:v>3.44498765507618</c:v>
                </c:pt>
                <c:pt idx="511">
                  <c:v>3.33246738655209</c:v>
                </c:pt>
                <c:pt idx="512">
                  <c:v>3.22503992041919</c:v>
                </c:pt>
                <c:pt idx="513">
                  <c:v>3.12267113523922</c:v>
                </c:pt>
                <c:pt idx="514">
                  <c:v>3.02532822347069</c:v>
                </c:pt>
                <c:pt idx="515">
                  <c:v>2.93297965479166</c:v>
                </c:pt>
                <c:pt idx="516">
                  <c:v>2.84559513897506</c:v>
                </c:pt>
                <c:pt idx="517">
                  <c:v>2.76314558821066</c:v>
                </c:pt>
                <c:pt idx="518">
                  <c:v>2.68560307877135</c:v>
                </c:pt>
                <c:pt idx="519">
                  <c:v>2.61294081192623</c:v>
                </c:pt>
                <c:pt idx="520">
                  <c:v>2.54513307400995</c:v>
                </c:pt>
                <c:pt idx="521">
                  <c:v>2.48215519556713</c:v>
                </c:pt>
                <c:pt idx="522">
                  <c:v>2.42398350950247</c:v>
                </c:pt>
                <c:pt idx="523">
                  <c:v>2.37059530818128</c:v>
                </c:pt>
                <c:pt idx="524">
                  <c:v>2.3219687994427</c:v>
                </c:pt>
                <c:pt idx="525">
                  <c:v>2.27808306150726</c:v>
                </c:pt>
                <c:pt idx="526">
                  <c:v>2.23891799678297</c:v>
                </c:pt>
                <c:pt idx="527">
                  <c:v>2.2044542845985</c:v>
                </c:pt>
                <c:pt idx="528">
                  <c:v>2.17467333291829</c:v>
                </c:pt>
                <c:pt idx="529">
                  <c:v>2.14955722912174</c:v>
                </c:pt>
                <c:pt idx="530">
                  <c:v>2.12908868995638</c:v>
                </c:pt>
                <c:pt idx="531">
                  <c:v>2.11325101080206</c:v>
                </c:pt>
                <c:pt idx="532">
                  <c:v>2.10202801440872</c:v>
                </c:pt>
                <c:pt idx="533">
                  <c:v>2.09540399929386</c:v>
                </c:pt>
                <c:pt idx="534">
                  <c:v>2.0933636880049</c:v>
                </c:pt>
                <c:pt idx="535">
                  <c:v>2.09589217546773</c:v>
                </c:pt>
                <c:pt idx="536">
                  <c:v>2.10297487765248</c:v>
                </c:pt>
                <c:pt idx="537">
                  <c:v>2.11459748079284</c:v>
                </c:pt>
                <c:pt idx="538">
                  <c:v>2.13074589139435</c:v>
                </c:pt>
                <c:pt idx="539">
                  <c:v>2.15140618726037</c:v>
                </c:pt>
                <c:pt idx="540">
                  <c:v>2.1765645697529</c:v>
                </c:pt>
                <c:pt idx="541">
                  <c:v>2.20620731748873</c:v>
                </c:pt>
                <c:pt idx="542">
                  <c:v>2.24032074165057</c:v>
                </c:pt>
                <c:pt idx="543">
                  <c:v>2.27889114306959</c:v>
                </c:pt>
                <c:pt idx="544">
                  <c:v>2.32190477120938</c:v>
                </c:pt>
                <c:pt idx="545">
                  <c:v>2.36934778515508</c:v>
                </c:pt>
                <c:pt idx="546">
                  <c:v>2.42120621668383</c:v>
                </c:pt>
                <c:pt idx="547">
                  <c:v>2.4774659354667</c:v>
                </c:pt>
                <c:pt idx="548">
                  <c:v>2.53811261642705</c:v>
                </c:pt>
                <c:pt idx="549">
                  <c:v>2.60313170925763</c:v>
                </c:pt>
                <c:pt idx="550">
                  <c:v>2.67250841007791</c:v>
                </c:pt>
                <c:pt idx="551">
                  <c:v>2.7462276351955</c:v>
                </c:pt>
                <c:pt idx="552">
                  <c:v>2.82427399692009</c:v>
                </c:pt>
                <c:pt idx="553">
                  <c:v>2.90663178136651</c:v>
                </c:pt>
                <c:pt idx="554">
                  <c:v>2.99328492817316</c:v>
                </c:pt>
                <c:pt idx="555">
                  <c:v>3.08421701205541</c:v>
                </c:pt>
                <c:pt idx="556">
                  <c:v>3.17941122610827</c:v>
                </c:pt>
                <c:pt idx="557">
                  <c:v>3.27885036676961</c:v>
                </c:pt>
                <c:pt idx="558">
                  <c:v>3.38251682035407</c:v>
                </c:pt>
                <c:pt idx="559">
                  <c:v>3.4903925510678</c:v>
                </c:pt>
                <c:pt idx="560">
                  <c:v>3.60245909041552</c:v>
                </c:pt>
                <c:pt idx="561">
                  <c:v>3.71869752791349</c:v>
                </c:pt>
                <c:pt idx="562">
                  <c:v>3.83908850302519</c:v>
                </c:pt>
                <c:pt idx="563">
                  <c:v>3.96361219823971</c:v>
                </c:pt>
                <c:pt idx="564">
                  <c:v>4.09224833321682</c:v>
                </c:pt>
                <c:pt idx="565">
                  <c:v>4.22497615992679</c:v>
                </c:pt>
                <c:pt idx="566">
                  <c:v>4.36177445871714</c:v>
                </c:pt>
                <c:pt idx="567">
                  <c:v>4.50262153524264</c:v>
                </c:pt>
                <c:pt idx="568">
                  <c:v>4.64749521819925</c:v>
                </c:pt>
                <c:pt idx="569">
                  <c:v>4.79637285780649</c:v>
                </c:pt>
                <c:pt idx="570">
                  <c:v>4.94923132498671</c:v>
                </c:pt>
                <c:pt idx="571">
                  <c:v>5.10604701119354</c:v>
                </c:pt>
                <c:pt idx="572">
                  <c:v>5.26679582884523</c:v>
                </c:pt>
                <c:pt idx="573">
                  <c:v>5.43145321232187</c:v>
                </c:pt>
                <c:pt idx="574">
                  <c:v>5.59999411948866</c:v>
                </c:pt>
                <c:pt idx="575">
                  <c:v>5.7723930337103</c:v>
                </c:pt>
                <c:pt idx="576">
                  <c:v>5.94862396632419</c:v>
                </c:pt>
                <c:pt idx="577">
                  <c:v>6.12866045954262</c:v>
                </c:pt>
                <c:pt idx="578">
                  <c:v>6.31247558975648</c:v>
                </c:pt>
                <c:pt idx="579">
                  <c:v>6.50004197121499</c:v>
                </c:pt>
                <c:pt idx="580">
                  <c:v>6.69133176005811</c:v>
                </c:pt>
                <c:pt idx="581">
                  <c:v>6.88631665867969</c:v>
                </c:pt>
                <c:pt idx="582">
                  <c:v>7.08496792040152</c:v>
                </c:pt>
                <c:pt idx="583">
                  <c:v>7.28725635443937</c:v>
                </c:pt>
                <c:pt idx="584">
                  <c:v>7.493152331144</c:v>
                </c:pt>
                <c:pt idx="585">
                  <c:v>7.70262578750083</c:v>
                </c:pt>
                <c:pt idx="586">
                  <c:v>7.91564623287346</c:v>
                </c:pt>
                <c:pt idx="587">
                  <c:v>8.13218275497719</c:v>
                </c:pt>
                <c:pt idx="588">
                  <c:v>8.35220402606922</c:v>
                </c:pt>
                <c:pt idx="589">
                  <c:v>8.57567830934377</c:v>
                </c:pt>
                <c:pt idx="590">
                  <c:v>8.80257346552029</c:v>
                </c:pt>
                <c:pt idx="591">
                  <c:v>9.03285695961447</c:v>
                </c:pt>
                <c:pt idx="592">
                  <c:v>9.26649586788154</c:v>
                </c:pt>
                <c:pt idx="593">
                  <c:v>9.50345688492268</c:v>
                </c:pt>
                <c:pt idx="594">
                  <c:v>9.74370633094537</c:v>
                </c:pt>
                <c:pt idx="595">
                  <c:v>9.98721015916918</c:v>
                </c:pt>
                <c:pt idx="596">
                  <c:v>10.233933963369</c:v>
                </c:pt>
                <c:pt idx="597">
                  <c:v>10.4838429855479</c:v>
                </c:pt>
                <c:pt idx="598">
                  <c:v>10.7369021237322</c:v>
                </c:pt>
                <c:pt idx="599">
                  <c:v>10.9930759398822</c:v>
                </c:pt>
                <c:pt idx="600">
                  <c:v>11.252328667911</c:v>
                </c:pt>
                <c:pt idx="601">
                  <c:v>11.514624221806</c:v>
                </c:pt>
                <c:pt idx="602">
                  <c:v>11.7799262038459</c:v>
                </c:pt>
                <c:pt idx="603">
                  <c:v>12.0481979129076</c:v>
                </c:pt>
                <c:pt idx="604">
                  <c:v>12.3194023528582</c:v>
                </c:pt>
                <c:pt idx="605">
                  <c:v>12.5935022410239</c:v>
                </c:pt>
                <c:pt idx="606">
                  <c:v>12.870460016734</c:v>
                </c:pt>
                <c:pt idx="607">
                  <c:v>13.1502378499314</c:v>
                </c:pt>
                <c:pt idx="608">
                  <c:v>13.4327976498466</c:v>
                </c:pt>
                <c:pt idx="609">
                  <c:v>13.7181010737295</c:v>
                </c:pt>
                <c:pt idx="610">
                  <c:v>14.0061095356343</c:v>
                </c:pt>
                <c:pt idx="611">
                  <c:v>14.2967842152525</c:v>
                </c:pt>
                <c:pt idx="612">
                  <c:v>14.5900860667897</c:v>
                </c:pt>
                <c:pt idx="613">
                  <c:v>14.8859758278817</c:v>
                </c:pt>
                <c:pt idx="614">
                  <c:v>15.1844140285457</c:v>
                </c:pt>
                <c:pt idx="615">
                  <c:v>15.485361000161</c:v>
                </c:pt>
                <c:pt idx="616">
                  <c:v>15.7887768844773</c:v>
                </c:pt>
                <c:pt idx="617">
                  <c:v>16.0946216426436</c:v>
                </c:pt>
                <c:pt idx="618">
                  <c:v>16.4028550642566</c:v>
                </c:pt>
                <c:pt idx="619">
                  <c:v>16.7134367764216</c:v>
                </c:pt>
                <c:pt idx="620">
                  <c:v>17.0263262528251</c:v>
                </c:pt>
                <c:pt idx="621">
                  <c:v>17.3414828228115</c:v>
                </c:pt>
                <c:pt idx="622">
                  <c:v>17.6588656804645</c:v>
                </c:pt>
                <c:pt idx="623">
                  <c:v>17.978433893685</c:v>
                </c:pt>
                <c:pt idx="624">
                  <c:v>18.3001464132655</c:v>
                </c:pt>
                <c:pt idx="625">
                  <c:v>18.6239620819545</c:v>
                </c:pt>
                <c:pt idx="626">
                  <c:v>18.94983964351</c:v>
                </c:pt>
                <c:pt idx="627">
                  <c:v>19.2777377517359</c:v>
                </c:pt>
                <c:pt idx="628">
                  <c:v>19.6076149794997</c:v>
                </c:pt>
                <c:pt idx="629">
                  <c:v>19.9394298277278</c:v>
                </c:pt>
                <c:pt idx="630">
                  <c:v>20.2731407343743</c:v>
                </c:pt>
                <c:pt idx="631">
                  <c:v>20.6087060833605</c:v>
                </c:pt>
                <c:pt idx="632">
                  <c:v>20.9460842134821</c:v>
                </c:pt>
                <c:pt idx="633">
                  <c:v>21.2852334272802</c:v>
                </c:pt>
                <c:pt idx="634">
                  <c:v>21.6261119998741</c:v>
                </c:pt>
                <c:pt idx="635">
                  <c:v>21.968678187751</c:v>
                </c:pt>
                <c:pt idx="636">
                  <c:v>22.3128902375113</c:v>
                </c:pt>
                <c:pt idx="637">
                  <c:v>22.6587063945659</c:v>
                </c:pt>
                <c:pt idx="638">
                  <c:v>23.0060849117824</c:v>
                </c:pt>
                <c:pt idx="639">
                  <c:v>23.3549840580769</c:v>
                </c:pt>
                <c:pt idx="640">
                  <c:v>23.7053621269499</c:v>
                </c:pt>
                <c:pt idx="641">
                  <c:v>24.0571774449619</c:v>
                </c:pt>
                <c:pt idx="642">
                  <c:v>24.4103883801476</c:v>
                </c:pt>
                <c:pt idx="643">
                  <c:v>24.7649533503645</c:v>
                </c:pt>
                <c:pt idx="644">
                  <c:v>25.1208308315743</c:v>
                </c:pt>
                <c:pt idx="645">
                  <c:v>25.477979366054</c:v>
                </c:pt>
                <c:pt idx="646">
                  <c:v>25.8363575705349</c:v>
                </c:pt>
                <c:pt idx="647">
                  <c:v>26.1959241442659</c:v>
                </c:pt>
                <c:pt idx="648">
                  <c:v>26.5566378769998</c:v>
                </c:pt>
                <c:pt idx="649">
                  <c:v>26.9184576568998</c:v>
                </c:pt>
                <c:pt idx="650">
                  <c:v>27.2813424783638</c:v>
                </c:pt>
                <c:pt idx="651">
                  <c:v>27.6452514497642</c:v>
                </c:pt>
                <c:pt idx="652">
                  <c:v>28.0101438011019</c:v>
                </c:pt>
                <c:pt idx="653">
                  <c:v>28.3759788915709</c:v>
                </c:pt>
                <c:pt idx="654">
                  <c:v>28.742716217033</c:v>
                </c:pt>
                <c:pt idx="655">
                  <c:v>29.1103154173994</c:v>
                </c:pt>
                <c:pt idx="656">
                  <c:v>29.4787362839181</c:v>
                </c:pt>
                <c:pt idx="657">
                  <c:v>29.8479387663644</c:v>
                </c:pt>
                <c:pt idx="658">
                  <c:v>30.2178829801335</c:v>
                </c:pt>
                <c:pt idx="659">
                  <c:v>30.5885292132334</c:v>
                </c:pt>
                <c:pt idx="660">
                  <c:v>30.9598379331753</c:v>
                </c:pt>
                <c:pt idx="661">
                  <c:v>31.3317697937612</c:v>
                </c:pt>
                <c:pt idx="662">
                  <c:v>31.7042856417667</c:v>
                </c:pt>
                <c:pt idx="663">
                  <c:v>32.0773465235168</c:v>
                </c:pt>
                <c:pt idx="664">
                  <c:v>32.4509136913548</c:v>
                </c:pt>
                <c:pt idx="665">
                  <c:v>32.8249486100005</c:v>
                </c:pt>
                <c:pt idx="666">
                  <c:v>33.1994129627993</c:v>
                </c:pt>
                <c:pt idx="667">
                  <c:v>33.5742686578586</c:v>
                </c:pt>
                <c:pt idx="668">
                  <c:v>33.9494778340709</c:v>
                </c:pt>
                <c:pt idx="669">
                  <c:v>34.3250028670237</c:v>
                </c:pt>
                <c:pt idx="670">
                  <c:v>34.7008063747929</c:v>
                </c:pt>
                <c:pt idx="671">
                  <c:v>35.0768512236207</c:v>
                </c:pt>
                <c:pt idx="672">
                  <c:v>35.4531005334758</c:v>
                </c:pt>
                <c:pt idx="673">
                  <c:v>35.8295176834956</c:v>
                </c:pt>
                <c:pt idx="674">
                  <c:v>36.2060663173094</c:v>
                </c:pt>
                <c:pt idx="675">
                  <c:v>36.5827103482413</c:v>
                </c:pt>
                <c:pt idx="676">
                  <c:v>36.9594139643935</c:v>
                </c:pt>
                <c:pt idx="677">
                  <c:v>37.3361416336071</c:v>
                </c:pt>
                <c:pt idx="678">
                  <c:v>37.7128581083026</c:v>
                </c:pt>
                <c:pt idx="679">
                  <c:v>38.089528430197</c:v>
                </c:pt>
                <c:pt idx="680">
                  <c:v>38.4661179348982</c:v>
                </c:pt>
                <c:pt idx="681">
                  <c:v>38.8425922563767</c:v>
                </c:pt>
                <c:pt idx="682">
                  <c:v>39.2189173313132</c:v>
                </c:pt>
                <c:pt idx="683">
                  <c:v>39.5950594033224</c:v>
                </c:pt>
                <c:pt idx="684">
                  <c:v>39.9709850270529</c:v>
                </c:pt>
                <c:pt idx="685">
                  <c:v>40.3466610721626</c:v>
                </c:pt>
                <c:pt idx="686">
                  <c:v>40.7220547271695</c:v>
                </c:pt>
                <c:pt idx="687">
                  <c:v>41.0971335031779</c:v>
                </c:pt>
                <c:pt idx="688">
                  <c:v>41.4718652374807</c:v>
                </c:pt>
                <c:pt idx="689">
                  <c:v>41.8462180970363</c:v>
                </c:pt>
                <c:pt idx="690">
                  <c:v>42.2201605818215</c:v>
                </c:pt>
                <c:pt idx="691">
                  <c:v>42.59366152806</c:v>
                </c:pt>
                <c:pt idx="692">
                  <c:v>42.9666901113269</c:v>
                </c:pt>
                <c:pt idx="693">
                  <c:v>43.3392158495295</c:v>
                </c:pt>
                <c:pt idx="694">
                  <c:v>43.7112086057638</c:v>
                </c:pt>
                <c:pt idx="695">
                  <c:v>44.0826385910486</c:v>
                </c:pt>
                <c:pt idx="696">
                  <c:v>44.4534763669365</c:v>
                </c:pt>
                <c:pt idx="697">
                  <c:v>44.8236928480024</c:v>
                </c:pt>
                <c:pt idx="698">
                  <c:v>45.1932593042105</c:v>
                </c:pt>
                <c:pt idx="699">
                  <c:v>45.5621473631594</c:v>
                </c:pt>
                <c:pt idx="700">
                  <c:v>45.9303290122071</c:v>
                </c:pt>
                <c:pt idx="701">
                  <c:v>46.2977766004753</c:v>
                </c:pt>
                <c:pt idx="702">
                  <c:v>46.664462840735</c:v>
                </c:pt>
                <c:pt idx="703">
                  <c:v>47.0303608111727</c:v>
                </c:pt>
                <c:pt idx="704">
                  <c:v>47.3954439570392</c:v>
                </c:pt>
                <c:pt idx="705">
                  <c:v>47.7596860921807</c:v>
                </c:pt>
                <c:pt idx="706">
                  <c:v>48.1230614004548</c:v>
                </c:pt>
                <c:pt idx="707">
                  <c:v>48.4855444370295</c:v>
                </c:pt>
                <c:pt idx="708">
                  <c:v>48.8471101295692</c:v>
                </c:pt>
                <c:pt idx="709">
                  <c:v>49.2077337793066</c:v>
                </c:pt>
                <c:pt idx="710">
                  <c:v>49.5673910620019</c:v>
                </c:pt>
                <c:pt idx="711">
                  <c:v>49.9260580287912</c:v>
                </c:pt>
                <c:pt idx="712">
                  <c:v>50.2837111069242</c:v>
                </c:pt>
                <c:pt idx="713">
                  <c:v>50.6403271003927</c:v>
                </c:pt>
                <c:pt idx="714">
                  <c:v>50.9958831904509</c:v>
                </c:pt>
                <c:pt idx="715">
                  <c:v>51.3503569360291</c:v>
                </c:pt>
                <c:pt idx="716">
                  <c:v>51.7037262740413</c:v>
                </c:pt>
                <c:pt idx="717">
                  <c:v>52.055969519589</c:v>
                </c:pt>
                <c:pt idx="718">
                  <c:v>52.0563196614296</c:v>
                </c:pt>
                <c:pt idx="719">
                  <c:v>52.0566698021274</c:v>
                </c:pt>
                <c:pt idx="720">
                  <c:v>52.0570199416822</c:v>
                </c:pt>
                <c:pt idx="721">
                  <c:v>52.0573700800943</c:v>
                </c:pt>
                <c:pt idx="722">
                  <c:v>52.0577202173634</c:v>
                </c:pt>
                <c:pt idx="723">
                  <c:v>52.0580703534896</c:v>
                </c:pt>
                <c:pt idx="724">
                  <c:v>52.0584204884729</c:v>
                </c:pt>
                <c:pt idx="725">
                  <c:v>52.0587706223132</c:v>
                </c:pt>
                <c:pt idx="726">
                  <c:v>52.0591207550105</c:v>
                </c:pt>
                <c:pt idx="727">
                  <c:v>52.0594708865648</c:v>
                </c:pt>
                <c:pt idx="728">
                  <c:v>52.0598210169761</c:v>
                </c:pt>
                <c:pt idx="729">
                  <c:v>52.0601711462444</c:v>
                </c:pt>
                <c:pt idx="730">
                  <c:v>52.0605212743695</c:v>
                </c:pt>
                <c:pt idx="731">
                  <c:v>52.0608714013516</c:v>
                </c:pt>
                <c:pt idx="732">
                  <c:v>52.0612215271906</c:v>
                </c:pt>
                <c:pt idx="733">
                  <c:v>52.0615716518864</c:v>
                </c:pt>
                <c:pt idx="734">
                  <c:v>52.0619217754391</c:v>
                </c:pt>
                <c:pt idx="735">
                  <c:v>52.0622718978487</c:v>
                </c:pt>
                <c:pt idx="736">
                  <c:v>52.062622019115</c:v>
                </c:pt>
                <c:pt idx="737">
                  <c:v>52.0629721392381</c:v>
                </c:pt>
                <c:pt idx="738">
                  <c:v>52.063322258218</c:v>
                </c:pt>
                <c:pt idx="739">
                  <c:v>52.0636723760547</c:v>
                </c:pt>
                <c:pt idx="740">
                  <c:v>52.064022492748</c:v>
                </c:pt>
                <c:pt idx="741">
                  <c:v>52.0643726082981</c:v>
                </c:pt>
                <c:pt idx="742">
                  <c:v>52.0647227227049</c:v>
                </c:pt>
                <c:pt idx="743">
                  <c:v>52.0650728359683</c:v>
                </c:pt>
                <c:pt idx="744">
                  <c:v>52.0654229480884</c:v>
                </c:pt>
                <c:pt idx="745">
                  <c:v>52.065773059065</c:v>
                </c:pt>
                <c:pt idx="746">
                  <c:v>52.0661231688983</c:v>
                </c:pt>
                <c:pt idx="747">
                  <c:v>52.0664732775882</c:v>
                </c:pt>
                <c:pt idx="748">
                  <c:v>52.0668233851346</c:v>
                </c:pt>
                <c:pt idx="749">
                  <c:v>52.0671734915376</c:v>
                </c:pt>
                <c:pt idx="750">
                  <c:v>52.0675235967971</c:v>
                </c:pt>
                <c:pt idx="751">
                  <c:v>52.0678737009131</c:v>
                </c:pt>
                <c:pt idx="752">
                  <c:v>52.0682238038855</c:v>
                </c:pt>
                <c:pt idx="753">
                  <c:v>52.0685739057145</c:v>
                </c:pt>
                <c:pt idx="754">
                  <c:v>52.0689240063998</c:v>
                </c:pt>
                <c:pt idx="755">
                  <c:v>52.0692741059415</c:v>
                </c:pt>
                <c:pt idx="756">
                  <c:v>52.0696242043397</c:v>
                </c:pt>
                <c:pt idx="757">
                  <c:v>52.0699743015942</c:v>
                </c:pt>
                <c:pt idx="758">
                  <c:v>52.0703243977051</c:v>
                </c:pt>
                <c:pt idx="759">
                  <c:v>52.0706744926723</c:v>
                </c:pt>
                <c:pt idx="760">
                  <c:v>52.0710245864958</c:v>
                </c:pt>
                <c:pt idx="761">
                  <c:v>52.0713746791757</c:v>
                </c:pt>
                <c:pt idx="762">
                  <c:v>52.0717247707117</c:v>
                </c:pt>
                <c:pt idx="763">
                  <c:v>52.0720748611041</c:v>
                </c:pt>
                <c:pt idx="764">
                  <c:v>52.0724249503527</c:v>
                </c:pt>
                <c:pt idx="765">
                  <c:v>52.0727750384574</c:v>
                </c:pt>
                <c:pt idx="766">
                  <c:v>52.0731251254184</c:v>
                </c:pt>
                <c:pt idx="767">
                  <c:v>52.0734752112355</c:v>
                </c:pt>
                <c:pt idx="768">
                  <c:v>52.0738252959088</c:v>
                </c:pt>
                <c:pt idx="769">
                  <c:v>52.0741753794381</c:v>
                </c:pt>
                <c:pt idx="770">
                  <c:v>52.0745254618236</c:v>
                </c:pt>
                <c:pt idx="771">
                  <c:v>52.0748755430652</c:v>
                </c:pt>
                <c:pt idx="772">
                  <c:v>52.0752256231629</c:v>
                </c:pt>
                <c:pt idx="773">
                  <c:v>52.0755757021165</c:v>
                </c:pt>
                <c:pt idx="774">
                  <c:v>52.0759257799262</c:v>
                </c:pt>
                <c:pt idx="775">
                  <c:v>52.0762758565919</c:v>
                </c:pt>
                <c:pt idx="776">
                  <c:v>52.0766259321135</c:v>
                </c:pt>
                <c:pt idx="777">
                  <c:v>52.0769760064912</c:v>
                </c:pt>
                <c:pt idx="778">
                  <c:v>52.0773260797248</c:v>
                </c:pt>
                <c:pt idx="779">
                  <c:v>52.0776761518142</c:v>
                </c:pt>
                <c:pt idx="780">
                  <c:v>52.0780262227596</c:v>
                </c:pt>
                <c:pt idx="781">
                  <c:v>52.0783762925609</c:v>
                </c:pt>
                <c:pt idx="782">
                  <c:v>52.0787263612179</c:v>
                </c:pt>
                <c:pt idx="783">
                  <c:v>52.0790764287309</c:v>
                </c:pt>
                <c:pt idx="784">
                  <c:v>52.0794264950996</c:v>
                </c:pt>
                <c:pt idx="785">
                  <c:v>52.0797765603242</c:v>
                </c:pt>
                <c:pt idx="786">
                  <c:v>52.0801266244045</c:v>
                </c:pt>
                <c:pt idx="787">
                  <c:v>52.0804766873406</c:v>
                </c:pt>
                <c:pt idx="788">
                  <c:v>52.0808267491324</c:v>
                </c:pt>
                <c:pt idx="789">
                  <c:v>52.0811768097799</c:v>
                </c:pt>
                <c:pt idx="790">
                  <c:v>52.081526869283</c:v>
                </c:pt>
                <c:pt idx="791">
                  <c:v>52.0818769276419</c:v>
                </c:pt>
                <c:pt idx="792">
                  <c:v>52.0822269848564</c:v>
                </c:pt>
                <c:pt idx="793">
                  <c:v>52.0825770409265</c:v>
                </c:pt>
                <c:pt idx="794">
                  <c:v>52.0829270958523</c:v>
                </c:pt>
                <c:pt idx="795">
                  <c:v>52.0832771496336</c:v>
                </c:pt>
                <c:pt idx="796">
                  <c:v>52.0836272022705</c:v>
                </c:pt>
                <c:pt idx="797">
                  <c:v>52.0839772537629</c:v>
                </c:pt>
                <c:pt idx="798">
                  <c:v>52.0843273041109</c:v>
                </c:pt>
                <c:pt idx="799">
                  <c:v>52.0846773533143</c:v>
                </c:pt>
                <c:pt idx="800">
                  <c:v>52.0850274013732</c:v>
                </c:pt>
                <c:pt idx="801">
                  <c:v>52.0853774482876</c:v>
                </c:pt>
                <c:pt idx="802">
                  <c:v>52.0857274940575</c:v>
                </c:pt>
                <c:pt idx="803">
                  <c:v>52.0860775386827</c:v>
                </c:pt>
                <c:pt idx="804">
                  <c:v>52.0864275821634</c:v>
                </c:pt>
                <c:pt idx="805">
                  <c:v>52.0867776244994</c:v>
                </c:pt>
                <c:pt idx="806">
                  <c:v>52.0871276656908</c:v>
                </c:pt>
                <c:pt idx="807">
                  <c:v>52.0874777057375</c:v>
                </c:pt>
                <c:pt idx="808">
                  <c:v>52.0878277446395</c:v>
                </c:pt>
                <c:pt idx="809">
                  <c:v>52.0881777823968</c:v>
                </c:pt>
                <c:pt idx="810">
                  <c:v>52.0885278190094</c:v>
                </c:pt>
                <c:pt idx="811">
                  <c:v>52.0888778544773</c:v>
                </c:pt>
                <c:pt idx="812">
                  <c:v>52.0892278888004</c:v>
                </c:pt>
                <c:pt idx="813">
                  <c:v>52.0895779219786</c:v>
                </c:pt>
                <c:pt idx="814">
                  <c:v>52.0899279540121</c:v>
                </c:pt>
                <c:pt idx="815">
                  <c:v>52.0902779849007</c:v>
                </c:pt>
                <c:pt idx="816">
                  <c:v>52.0906280146445</c:v>
                </c:pt>
                <c:pt idx="817">
                  <c:v>52.0909780432435</c:v>
                </c:pt>
                <c:pt idx="818">
                  <c:v>52.0913280706975</c:v>
                </c:pt>
                <c:pt idx="819">
                  <c:v>52.0916780970066</c:v>
                </c:pt>
                <c:pt idx="820">
                  <c:v>52.0920281221708</c:v>
                </c:pt>
                <c:pt idx="821">
                  <c:v>52.09237814619</c:v>
                </c:pt>
                <c:pt idx="822">
                  <c:v>52.0927281690642</c:v>
                </c:pt>
                <c:pt idx="823">
                  <c:v>52.0930781907935</c:v>
                </c:pt>
                <c:pt idx="824">
                  <c:v>52.0934282113777</c:v>
                </c:pt>
                <c:pt idx="825">
                  <c:v>52.0937782308169</c:v>
                </c:pt>
                <c:pt idx="826">
                  <c:v>52.0941282491111</c:v>
                </c:pt>
                <c:pt idx="827">
                  <c:v>52.0944782662601</c:v>
                </c:pt>
                <c:pt idx="828">
                  <c:v>52.0948282822641</c:v>
                </c:pt>
                <c:pt idx="829">
                  <c:v>52.0951782971229</c:v>
                </c:pt>
                <c:pt idx="830">
                  <c:v>52.0955283108366</c:v>
                </c:pt>
                <c:pt idx="831">
                  <c:v>52.0958783234051</c:v>
                </c:pt>
                <c:pt idx="832">
                  <c:v>52.0962283348285</c:v>
                </c:pt>
                <c:pt idx="833">
                  <c:v>52.0965783451067</c:v>
                </c:pt>
                <c:pt idx="834">
                  <c:v>52.0969283542396</c:v>
                </c:pt>
                <c:pt idx="835">
                  <c:v>52.0972783622272</c:v>
                </c:pt>
                <c:pt idx="836">
                  <c:v>52.0976283690696</c:v>
                </c:pt>
                <c:pt idx="837">
                  <c:v>52.0979783747668</c:v>
                </c:pt>
                <c:pt idx="838">
                  <c:v>52.0983283793186</c:v>
                </c:pt>
                <c:pt idx="839">
                  <c:v>52.0986783827251</c:v>
                </c:pt>
                <c:pt idx="840">
                  <c:v>52.0990283849862</c:v>
                </c:pt>
                <c:pt idx="841">
                  <c:v>52.099378386102</c:v>
                </c:pt>
                <c:pt idx="842">
                  <c:v>52.0997283860724</c:v>
                </c:pt>
                <c:pt idx="843">
                  <c:v>52.1000783848974</c:v>
                </c:pt>
                <c:pt idx="844">
                  <c:v>52.1004283825769</c:v>
                </c:pt>
                <c:pt idx="845">
                  <c:v>52.100778379111</c:v>
                </c:pt>
                <c:pt idx="846">
                  <c:v>52.1011283744996</c:v>
                </c:pt>
                <c:pt idx="847">
                  <c:v>52.1014783687427</c:v>
                </c:pt>
                <c:pt idx="848">
                  <c:v>52.1018283618403</c:v>
                </c:pt>
                <c:pt idx="849">
                  <c:v>52.1021783537923</c:v>
                </c:pt>
                <c:pt idx="850">
                  <c:v>52.1025283445989</c:v>
                </c:pt>
                <c:pt idx="851">
                  <c:v>52.1028783342598</c:v>
                </c:pt>
                <c:pt idx="852">
                  <c:v>52.1032283227751</c:v>
                </c:pt>
                <c:pt idx="853">
                  <c:v>52.1035783101448</c:v>
                </c:pt>
                <c:pt idx="854">
                  <c:v>52.1039282963689</c:v>
                </c:pt>
                <c:pt idx="855">
                  <c:v>52.1042782814473</c:v>
                </c:pt>
                <c:pt idx="856">
                  <c:v>52.1046282653801</c:v>
                </c:pt>
                <c:pt idx="857">
                  <c:v>52.1049782481671</c:v>
                </c:pt>
                <c:pt idx="858">
                  <c:v>52.1053282298084</c:v>
                </c:pt>
                <c:pt idx="859">
                  <c:v>52.105678210304</c:v>
                </c:pt>
                <c:pt idx="860">
                  <c:v>52.1060281896538</c:v>
                </c:pt>
                <c:pt idx="861">
                  <c:v>52.1063781678578</c:v>
                </c:pt>
                <c:pt idx="862">
                  <c:v>52.106728144916</c:v>
                </c:pt>
                <c:pt idx="863">
                  <c:v>52.1070781208284</c:v>
                </c:pt>
                <c:pt idx="864">
                  <c:v>52.1074280955949</c:v>
                </c:pt>
                <c:pt idx="865">
                  <c:v>52.1077780692156</c:v>
                </c:pt>
                <c:pt idx="866">
                  <c:v>52.1081280416904</c:v>
                </c:pt>
                <c:pt idx="867">
                  <c:v>52.1084780130192</c:v>
                </c:pt>
                <c:pt idx="868">
                  <c:v>52.1088279832022</c:v>
                </c:pt>
                <c:pt idx="869">
                  <c:v>52.1091779522392</c:v>
                </c:pt>
                <c:pt idx="870">
                  <c:v>52.1095279201303</c:v>
                </c:pt>
                <c:pt idx="871">
                  <c:v>52.1098778868753</c:v>
                </c:pt>
                <c:pt idx="872">
                  <c:v>52.1102278524743</c:v>
                </c:pt>
                <c:pt idx="873">
                  <c:v>52.1105778169273</c:v>
                </c:pt>
                <c:pt idx="874">
                  <c:v>52.1109277802342</c:v>
                </c:pt>
                <c:pt idx="875">
                  <c:v>52.1112777423951</c:v>
                </c:pt>
                <c:pt idx="876">
                  <c:v>52.1116277034098</c:v>
                </c:pt>
                <c:pt idx="877">
                  <c:v>52.1119776632785</c:v>
                </c:pt>
                <c:pt idx="878">
                  <c:v>52.112327622001</c:v>
                </c:pt>
                <c:pt idx="879">
                  <c:v>52.1126775795773</c:v>
                </c:pt>
                <c:pt idx="880">
                  <c:v>52.1130275360075</c:v>
                </c:pt>
                <c:pt idx="881">
                  <c:v>52.1133774912915</c:v>
                </c:pt>
                <c:pt idx="882">
                  <c:v>52.1137274454293</c:v>
                </c:pt>
                <c:pt idx="883">
                  <c:v>52.1140773984208</c:v>
                </c:pt>
                <c:pt idx="884">
                  <c:v>52.1144273502661</c:v>
                </c:pt>
                <c:pt idx="885">
                  <c:v>52.114777300965</c:v>
                </c:pt>
                <c:pt idx="886">
                  <c:v>52.1151272505177</c:v>
                </c:pt>
                <c:pt idx="887">
                  <c:v>52.1154771989241</c:v>
                </c:pt>
                <c:pt idx="888">
                  <c:v>52.1158271461841</c:v>
                </c:pt>
                <c:pt idx="889">
                  <c:v>52.1161770922977</c:v>
                </c:pt>
                <c:pt idx="890">
                  <c:v>52.116527037265</c:v>
                </c:pt>
                <c:pt idx="891">
                  <c:v>52.1168769810858</c:v>
                </c:pt>
                <c:pt idx="892">
                  <c:v>52.1172269237603</c:v>
                </c:pt>
                <c:pt idx="893">
                  <c:v>52.1175768652882</c:v>
                </c:pt>
                <c:pt idx="894">
                  <c:v>52.1179268056697</c:v>
                </c:pt>
                <c:pt idx="895">
                  <c:v>52.1182767449048</c:v>
                </c:pt>
                <c:pt idx="896">
                  <c:v>52.1186266829933</c:v>
                </c:pt>
                <c:pt idx="897">
                  <c:v>52.1189766199353</c:v>
                </c:pt>
                <c:pt idx="898">
                  <c:v>52.1193265557307</c:v>
                </c:pt>
                <c:pt idx="899">
                  <c:v>52.1196764903796</c:v>
                </c:pt>
                <c:pt idx="900">
                  <c:v>52.1200264238818</c:v>
                </c:pt>
                <c:pt idx="901">
                  <c:v>52.1203763562375</c:v>
                </c:pt>
                <c:pt idx="902">
                  <c:v>52.1207262874465</c:v>
                </c:pt>
                <c:pt idx="903">
                  <c:v>52.1210762175089</c:v>
                </c:pt>
                <c:pt idx="904">
                  <c:v>52.1214261464246</c:v>
                </c:pt>
                <c:pt idx="905">
                  <c:v>52.1217760741936</c:v>
                </c:pt>
                <c:pt idx="906">
                  <c:v>52.1221260008159</c:v>
                </c:pt>
                <c:pt idx="907">
                  <c:v>52.1224759262914</c:v>
                </c:pt>
                <c:pt idx="908">
                  <c:v>52.1228258506202</c:v>
                </c:pt>
                <c:pt idx="909">
                  <c:v>52.1231757738022</c:v>
                </c:pt>
                <c:pt idx="910">
                  <c:v>52.1235256958374</c:v>
                </c:pt>
                <c:pt idx="911">
                  <c:v>52.1238756167258</c:v>
                </c:pt>
                <c:pt idx="912">
                  <c:v>52.1242255364673</c:v>
                </c:pt>
                <c:pt idx="913">
                  <c:v>52.124575455062</c:v>
                </c:pt>
                <c:pt idx="914">
                  <c:v>52.1249253725098</c:v>
                </c:pt>
                <c:pt idx="915">
                  <c:v>52.1252752888107</c:v>
                </c:pt>
                <c:pt idx="916">
                  <c:v>52.1256252039647</c:v>
                </c:pt>
                <c:pt idx="917">
                  <c:v>52.1259751179717</c:v>
                </c:pt>
                <c:pt idx="918">
                  <c:v>52.1263250308318</c:v>
                </c:pt>
                <c:pt idx="919">
                  <c:v>52.1266749425449</c:v>
                </c:pt>
                <c:pt idx="920">
                  <c:v>52.1270248531109</c:v>
                </c:pt>
                <c:pt idx="921">
                  <c:v>52.12737476253</c:v>
                </c:pt>
                <c:pt idx="922">
                  <c:v>52.127724670802</c:v>
                </c:pt>
                <c:pt idx="923">
                  <c:v>52.1280745779269</c:v>
                </c:pt>
                <c:pt idx="924">
                  <c:v>52.1284244839048</c:v>
                </c:pt>
                <c:pt idx="925">
                  <c:v>52.1287743887355</c:v>
                </c:pt>
                <c:pt idx="926">
                  <c:v>52.1291242924191</c:v>
                </c:pt>
                <c:pt idx="927">
                  <c:v>52.1294741949555</c:v>
                </c:pt>
                <c:pt idx="928">
                  <c:v>52.1298240963448</c:v>
                </c:pt>
                <c:pt idx="929">
                  <c:v>52.1301739965869</c:v>
                </c:pt>
                <c:pt idx="930">
                  <c:v>52.1305238956818</c:v>
                </c:pt>
                <c:pt idx="931">
                  <c:v>52.1308737936294</c:v>
                </c:pt>
                <c:pt idx="932">
                  <c:v>52.1312236904298</c:v>
                </c:pt>
                <c:pt idx="933">
                  <c:v>52.1315735860829</c:v>
                </c:pt>
                <c:pt idx="934">
                  <c:v>52.1319234805887</c:v>
                </c:pt>
                <c:pt idx="935">
                  <c:v>52.1322733739472</c:v>
                </c:pt>
                <c:pt idx="936">
                  <c:v>52.1326232661584</c:v>
                </c:pt>
                <c:pt idx="937">
                  <c:v>52.1329731572222</c:v>
                </c:pt>
                <c:pt idx="938">
                  <c:v>52.1333230471386</c:v>
                </c:pt>
                <c:pt idx="939">
                  <c:v>52.1336729359076</c:v>
                </c:pt>
                <c:pt idx="940">
                  <c:v>52.1340228235292</c:v>
                </c:pt>
                <c:pt idx="941">
                  <c:v>52.1343727100034</c:v>
                </c:pt>
                <c:pt idx="942">
                  <c:v>52.1347225953301</c:v>
                </c:pt>
                <c:pt idx="943">
                  <c:v>52.1350724795093</c:v>
                </c:pt>
                <c:pt idx="944">
                  <c:v>52.135422362541</c:v>
                </c:pt>
                <c:pt idx="945">
                  <c:v>52.1357722444252</c:v>
                </c:pt>
                <c:pt idx="946">
                  <c:v>52.1361221251619</c:v>
                </c:pt>
                <c:pt idx="947">
                  <c:v>52.1364720047509</c:v>
                </c:pt>
                <c:pt idx="948">
                  <c:v>52.1368218831924</c:v>
                </c:pt>
                <c:pt idx="949">
                  <c:v>52.1371717604863</c:v>
                </c:pt>
                <c:pt idx="950">
                  <c:v>52.1375216366326</c:v>
                </c:pt>
                <c:pt idx="951">
                  <c:v>52.1378715116312</c:v>
                </c:pt>
                <c:pt idx="952">
                  <c:v>52.1382213854821</c:v>
                </c:pt>
                <c:pt idx="953">
                  <c:v>52.1385712581854</c:v>
                </c:pt>
                <c:pt idx="954">
                  <c:v>52.1389211297409</c:v>
                </c:pt>
                <c:pt idx="955">
                  <c:v>52.1392710001487</c:v>
                </c:pt>
                <c:pt idx="956">
                  <c:v>52.1396208694088</c:v>
                </c:pt>
                <c:pt idx="957">
                  <c:v>52.1399707375211</c:v>
                </c:pt>
                <c:pt idx="958">
                  <c:v>52.1403206044856</c:v>
                </c:pt>
                <c:pt idx="959">
                  <c:v>52.1406704703023</c:v>
                </c:pt>
                <c:pt idx="960">
                  <c:v>52.1410203349711</c:v>
                </c:pt>
                <c:pt idx="961">
                  <c:v>52.1413701984921</c:v>
                </c:pt>
                <c:pt idx="962">
                  <c:v>52.1417200608652</c:v>
                </c:pt>
                <c:pt idx="963">
                  <c:v>52.1420699220904</c:v>
                </c:pt>
                <c:pt idx="964">
                  <c:v>52.1424197821677</c:v>
                </c:pt>
                <c:pt idx="965">
                  <c:v>52.1427696410971</c:v>
                </c:pt>
                <c:pt idx="966">
                  <c:v>52.1431194988785</c:v>
                </c:pt>
                <c:pt idx="967">
                  <c:v>52.143469355512</c:v>
                </c:pt>
                <c:pt idx="968">
                  <c:v>52.1438192109974</c:v>
                </c:pt>
                <c:pt idx="969">
                  <c:v>52.1441690653348</c:v>
                </c:pt>
                <c:pt idx="970">
                  <c:v>52.1445189185241</c:v>
                </c:pt>
                <c:pt idx="971">
                  <c:v>52.1448687705655</c:v>
                </c:pt>
                <c:pt idx="972">
                  <c:v>52.1452186214587</c:v>
                </c:pt>
                <c:pt idx="973">
                  <c:v>52.1455684712038</c:v>
                </c:pt>
                <c:pt idx="974">
                  <c:v>52.1459183198008</c:v>
                </c:pt>
                <c:pt idx="975">
                  <c:v>52.1462681672497</c:v>
                </c:pt>
                <c:pt idx="976">
                  <c:v>52.1466180135503</c:v>
                </c:pt>
                <c:pt idx="977">
                  <c:v>52.1469678587028</c:v>
                </c:pt>
                <c:pt idx="978">
                  <c:v>52.1473177027071</c:v>
                </c:pt>
                <c:pt idx="979">
                  <c:v>52.1476675455632</c:v>
                </c:pt>
                <c:pt idx="980">
                  <c:v>52.148017387271</c:v>
                </c:pt>
                <c:pt idx="981">
                  <c:v>52.1483672278306</c:v>
                </c:pt>
                <c:pt idx="982">
                  <c:v>52.1487170672419</c:v>
                </c:pt>
                <c:pt idx="983">
                  <c:v>52.1490669055048</c:v>
                </c:pt>
                <c:pt idx="984">
                  <c:v>52.1494167426194</c:v>
                </c:pt>
                <c:pt idx="985">
                  <c:v>52.1497665785857</c:v>
                </c:pt>
                <c:pt idx="986">
                  <c:v>52.1501164134036</c:v>
                </c:pt>
                <c:pt idx="987">
                  <c:v>52.1504662470731</c:v>
                </c:pt>
                <c:pt idx="988">
                  <c:v>52.1508160795942</c:v>
                </c:pt>
                <c:pt idx="989">
                  <c:v>52.1511659109669</c:v>
                </c:pt>
                <c:pt idx="990">
                  <c:v>52.1515157411911</c:v>
                </c:pt>
                <c:pt idx="991">
                  <c:v>52.1518655702668</c:v>
                </c:pt>
                <c:pt idx="992">
                  <c:v>52.1522153981941</c:v>
                </c:pt>
                <c:pt idx="993">
                  <c:v>52.1525652249728</c:v>
                </c:pt>
                <c:pt idx="994">
                  <c:v>52.152915050603</c:v>
                </c:pt>
                <c:pt idx="995">
                  <c:v>52.1532648750846</c:v>
                </c:pt>
                <c:pt idx="996">
                  <c:v>52.1536146984176</c:v>
                </c:pt>
                <c:pt idx="997">
                  <c:v>52.1539645206021</c:v>
                </c:pt>
                <c:pt idx="998">
                  <c:v>52.1543143416379</c:v>
                </c:pt>
                <c:pt idx="999">
                  <c:v>52.1546641615251</c:v>
                </c:pt>
                <c:pt idx="1000">
                  <c:v>52.1550139802636</c:v>
                </c:pt>
              </c:numCache>
            </c:numRef>
          </c:yVal>
          <c:smooth val="0"/>
        </c:ser>
        <c:axId val="5690971"/>
        <c:axId val="90976624"/>
      </c:scatterChart>
      <c:valAx>
        <c:axId val="5690971"/>
        <c:scaling>
          <c:orientation val="minMax"/>
        </c:scaling>
        <c:delete val="0"/>
        <c:axPos val="b"/>
        <c:majorGridlines>
          <c:spPr>
            <a:ln w="3240">
              <a:solidFill>
                <a:srgbClr val="000000"/>
              </a:solidFill>
              <a:prstDash val="sysDash"/>
              <a:round/>
            </a:ln>
          </c:spPr>
        </c:majorGridlines>
        <c:title>
          <c:tx>
            <c:rich>
              <a:bodyPr rot="0"/>
              <a:lstStyle/>
              <a:p>
                <a:pPr>
                  <a:defRPr b="1" sz="1000" spc="-1" strike="noStrike">
                    <a:solidFill>
                      <a:srgbClr val="000000"/>
                    </a:solidFill>
                    <a:latin typeface="Arial"/>
                    <a:ea typeface="Arial"/>
                  </a:defRPr>
                </a:pPr>
                <a:r>
                  <a:rPr b="1"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200" spc="-1" strike="noStrike">
                <a:solidFill>
                  <a:srgbClr val="000000"/>
                </a:solidFill>
                <a:latin typeface="Arial"/>
                <a:ea typeface="Arial"/>
              </a:defRPr>
            </a:pPr>
          </a:p>
        </c:txPr>
        <c:crossAx val="90976624"/>
        <c:crosses val="autoZero"/>
        <c:crossBetween val="midCat"/>
      </c:valAx>
      <c:valAx>
        <c:axId val="90976624"/>
        <c:scaling>
          <c:orientation val="minMax"/>
        </c:scaling>
        <c:delete val="0"/>
        <c:axPos val="l"/>
        <c:majorGridlines>
          <c:spPr>
            <a:ln w="3240">
              <a:solidFill>
                <a:srgbClr val="000000"/>
              </a:solidFill>
              <a:prstDash val="sysDash"/>
              <a:round/>
            </a:ln>
          </c:spPr>
        </c:majorGridlines>
        <c:title>
          <c:tx>
            <c:rich>
              <a:bodyPr rot="-540000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Forces [N]</a:t>
                </a:r>
              </a:p>
            </c:rich>
          </c:tx>
          <c:layout>
            <c:manualLayout>
              <c:xMode val="edge"/>
              <c:yMode val="edge"/>
              <c:x val="0.0200252570810031"/>
              <c:y val="0.333202099737533"/>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200" spc="-1" strike="noStrike">
                <a:solidFill>
                  <a:srgbClr val="000000"/>
                </a:solidFill>
                <a:latin typeface="Arial"/>
                <a:ea typeface="Arial"/>
              </a:defRPr>
            </a:pPr>
          </a:p>
        </c:txPr>
        <c:crossAx val="5690971"/>
        <c:crosses val="autoZero"/>
        <c:crossBetween val="midCat"/>
      </c:valAx>
      <c:spPr>
        <a:noFill/>
        <a:ln w="12600">
          <a:solidFill>
            <a:srgbClr val="808080"/>
          </a:solidFill>
          <a:round/>
        </a:ln>
      </c:spPr>
    </c:plotArea>
    <c:legend>
      <c:legendPos val="r"/>
      <c:layout>
        <c:manualLayout>
          <c:xMode val="edge"/>
          <c:yMode val="edge"/>
          <c:x val="0.830189298271678"/>
          <c:y val="0.3444447944007"/>
          <c:w val="0.130503268459367"/>
          <c:h val="0.228888888888889"/>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Arial"/>
                <a:ea typeface="Arial"/>
              </a:defRPr>
            </a:pPr>
            <a:r>
              <a:rPr b="1" sz="1200" spc="-1" strike="noStrike">
                <a:solidFill>
                  <a:srgbClr val="000000"/>
                </a:solidFill>
                <a:latin typeface="Arial"/>
                <a:ea typeface="Arial"/>
              </a:rPr>
              <a:t>Vitesse</a:t>
            </a:r>
          </a:p>
        </c:rich>
      </c:tx>
      <c:overlay val="0"/>
      <c:spPr>
        <a:noFill/>
        <a:ln w="0">
          <a:noFill/>
        </a:ln>
      </c:spPr>
    </c:title>
    <c:autoTitleDeleted val="0"/>
    <c:plotArea>
      <c:layout>
        <c:manualLayout>
          <c:layoutTarget val="inner"/>
          <c:xMode val="edge"/>
          <c:yMode val="edge"/>
          <c:x val="0.104952191953816"/>
          <c:y val="0.094750656167979"/>
          <c:w val="0.876150099224247"/>
          <c:h val="0.741732283464567"/>
        </c:manualLayout>
      </c:layout>
      <c:scatterChart>
        <c:scatterStyle val="line"/>
        <c:varyColors val="0"/>
        <c:ser>
          <c:idx val="0"/>
          <c:order val="0"/>
          <c:tx>
            <c:strRef>
              <c:f>Courbes!$B$140</c:f>
              <c:strCache>
                <c:ptCount val="1"/>
                <c:pt idx="0">
                  <c:v>Vitesse</c:v>
                </c:pt>
              </c:strCache>
            </c:strRef>
          </c:tx>
          <c:spPr>
            <a:solidFill>
              <a:srgbClr val="800000"/>
            </a:solidFill>
            <a:ln w="25560">
              <a:solidFill>
                <a:srgbClr val="80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34.8000000000002</c:v>
                </c:pt>
                <c:pt idx="709">
                  <c:v>34.9000000000002</c:v>
                </c:pt>
                <c:pt idx="710">
                  <c:v>35.0000000000002</c:v>
                </c:pt>
                <c:pt idx="711">
                  <c:v>35.1000000000002</c:v>
                </c:pt>
                <c:pt idx="712">
                  <c:v>35.2000000000002</c:v>
                </c:pt>
                <c:pt idx="713">
                  <c:v>35.3000000000002</c:v>
                </c:pt>
                <c:pt idx="714">
                  <c:v>35.4000000000002</c:v>
                </c:pt>
                <c:pt idx="715">
                  <c:v>35.5000000000002</c:v>
                </c:pt>
                <c:pt idx="716">
                  <c:v>35.6000000000002</c:v>
                </c:pt>
                <c:pt idx="717">
                  <c:v>35.7000000000002</c:v>
                </c:pt>
                <c:pt idx="718">
                  <c:v>35.7001000000002</c:v>
                </c:pt>
                <c:pt idx="719">
                  <c:v>35.7002000000002</c:v>
                </c:pt>
                <c:pt idx="720">
                  <c:v>35.7003000000002</c:v>
                </c:pt>
                <c:pt idx="721">
                  <c:v>35.7004000000002</c:v>
                </c:pt>
                <c:pt idx="722">
                  <c:v>35.7005000000002</c:v>
                </c:pt>
                <c:pt idx="723">
                  <c:v>35.7006000000002</c:v>
                </c:pt>
                <c:pt idx="724">
                  <c:v>35.7007000000002</c:v>
                </c:pt>
                <c:pt idx="725">
                  <c:v>35.7008000000002</c:v>
                </c:pt>
                <c:pt idx="726">
                  <c:v>35.7009000000002</c:v>
                </c:pt>
                <c:pt idx="727">
                  <c:v>35.7010000000002</c:v>
                </c:pt>
                <c:pt idx="728">
                  <c:v>35.7011000000002</c:v>
                </c:pt>
                <c:pt idx="729">
                  <c:v>35.7012000000002</c:v>
                </c:pt>
                <c:pt idx="730">
                  <c:v>35.7013000000002</c:v>
                </c:pt>
                <c:pt idx="731">
                  <c:v>35.7014000000002</c:v>
                </c:pt>
                <c:pt idx="732">
                  <c:v>35.7015000000002</c:v>
                </c:pt>
                <c:pt idx="733">
                  <c:v>35.7016000000003</c:v>
                </c:pt>
                <c:pt idx="734">
                  <c:v>35.7017000000003</c:v>
                </c:pt>
                <c:pt idx="735">
                  <c:v>35.7018000000003</c:v>
                </c:pt>
                <c:pt idx="736">
                  <c:v>35.7019000000003</c:v>
                </c:pt>
                <c:pt idx="737">
                  <c:v>35.7020000000003</c:v>
                </c:pt>
                <c:pt idx="738">
                  <c:v>35.7021000000003</c:v>
                </c:pt>
                <c:pt idx="739">
                  <c:v>35.7022000000003</c:v>
                </c:pt>
                <c:pt idx="740">
                  <c:v>35.7023000000003</c:v>
                </c:pt>
                <c:pt idx="741">
                  <c:v>35.7024000000003</c:v>
                </c:pt>
                <c:pt idx="742">
                  <c:v>35.7025000000003</c:v>
                </c:pt>
                <c:pt idx="743">
                  <c:v>35.7026000000003</c:v>
                </c:pt>
                <c:pt idx="744">
                  <c:v>35.7027000000003</c:v>
                </c:pt>
                <c:pt idx="745">
                  <c:v>35.7028000000003</c:v>
                </c:pt>
                <c:pt idx="746">
                  <c:v>35.7029000000003</c:v>
                </c:pt>
                <c:pt idx="747">
                  <c:v>35.7030000000003</c:v>
                </c:pt>
                <c:pt idx="748">
                  <c:v>35.7031000000003</c:v>
                </c:pt>
                <c:pt idx="749">
                  <c:v>35.7032000000003</c:v>
                </c:pt>
                <c:pt idx="750">
                  <c:v>35.7033000000003</c:v>
                </c:pt>
                <c:pt idx="751">
                  <c:v>35.7034000000003</c:v>
                </c:pt>
                <c:pt idx="752">
                  <c:v>35.7035000000003</c:v>
                </c:pt>
                <c:pt idx="753">
                  <c:v>35.7036000000003</c:v>
                </c:pt>
                <c:pt idx="754">
                  <c:v>35.7037000000003</c:v>
                </c:pt>
                <c:pt idx="755">
                  <c:v>35.7038000000003</c:v>
                </c:pt>
                <c:pt idx="756">
                  <c:v>35.7039000000003</c:v>
                </c:pt>
                <c:pt idx="757">
                  <c:v>35.7040000000003</c:v>
                </c:pt>
                <c:pt idx="758">
                  <c:v>35.7041000000003</c:v>
                </c:pt>
                <c:pt idx="759">
                  <c:v>35.7042000000003</c:v>
                </c:pt>
                <c:pt idx="760">
                  <c:v>35.7043000000003</c:v>
                </c:pt>
                <c:pt idx="761">
                  <c:v>35.7044000000003</c:v>
                </c:pt>
                <c:pt idx="762">
                  <c:v>35.7045000000003</c:v>
                </c:pt>
                <c:pt idx="763">
                  <c:v>35.7046000000004</c:v>
                </c:pt>
                <c:pt idx="764">
                  <c:v>35.7047000000004</c:v>
                </c:pt>
                <c:pt idx="765">
                  <c:v>35.7048000000004</c:v>
                </c:pt>
                <c:pt idx="766">
                  <c:v>35.7049000000004</c:v>
                </c:pt>
                <c:pt idx="767">
                  <c:v>35.7050000000004</c:v>
                </c:pt>
                <c:pt idx="768">
                  <c:v>35.7051000000004</c:v>
                </c:pt>
                <c:pt idx="769">
                  <c:v>35.7052000000004</c:v>
                </c:pt>
                <c:pt idx="770">
                  <c:v>35.7053000000004</c:v>
                </c:pt>
                <c:pt idx="771">
                  <c:v>35.7054000000004</c:v>
                </c:pt>
                <c:pt idx="772">
                  <c:v>35.7055000000004</c:v>
                </c:pt>
                <c:pt idx="773">
                  <c:v>35.7056000000004</c:v>
                </c:pt>
                <c:pt idx="774">
                  <c:v>35.7057000000004</c:v>
                </c:pt>
                <c:pt idx="775">
                  <c:v>35.7058000000004</c:v>
                </c:pt>
                <c:pt idx="776">
                  <c:v>35.7059000000004</c:v>
                </c:pt>
                <c:pt idx="777">
                  <c:v>35.7060000000004</c:v>
                </c:pt>
                <c:pt idx="778">
                  <c:v>35.7061000000004</c:v>
                </c:pt>
                <c:pt idx="779">
                  <c:v>35.7062000000004</c:v>
                </c:pt>
                <c:pt idx="780">
                  <c:v>35.7063000000004</c:v>
                </c:pt>
                <c:pt idx="781">
                  <c:v>35.7064000000004</c:v>
                </c:pt>
                <c:pt idx="782">
                  <c:v>35.7065000000004</c:v>
                </c:pt>
                <c:pt idx="783">
                  <c:v>35.7066000000004</c:v>
                </c:pt>
                <c:pt idx="784">
                  <c:v>35.7067000000004</c:v>
                </c:pt>
                <c:pt idx="785">
                  <c:v>35.7068000000004</c:v>
                </c:pt>
                <c:pt idx="786">
                  <c:v>35.7069000000004</c:v>
                </c:pt>
                <c:pt idx="787">
                  <c:v>35.7070000000004</c:v>
                </c:pt>
                <c:pt idx="788">
                  <c:v>35.7071000000004</c:v>
                </c:pt>
                <c:pt idx="789">
                  <c:v>35.7072000000004</c:v>
                </c:pt>
                <c:pt idx="790">
                  <c:v>35.7073000000004</c:v>
                </c:pt>
                <c:pt idx="791">
                  <c:v>35.7074000000004</c:v>
                </c:pt>
                <c:pt idx="792">
                  <c:v>35.7075000000004</c:v>
                </c:pt>
                <c:pt idx="793">
                  <c:v>35.7076000000005</c:v>
                </c:pt>
                <c:pt idx="794">
                  <c:v>35.7077000000005</c:v>
                </c:pt>
                <c:pt idx="795">
                  <c:v>35.7078000000005</c:v>
                </c:pt>
                <c:pt idx="796">
                  <c:v>35.7079000000005</c:v>
                </c:pt>
                <c:pt idx="797">
                  <c:v>35.7080000000005</c:v>
                </c:pt>
                <c:pt idx="798">
                  <c:v>35.7081000000005</c:v>
                </c:pt>
                <c:pt idx="799">
                  <c:v>35.7082000000005</c:v>
                </c:pt>
                <c:pt idx="800">
                  <c:v>35.7083000000005</c:v>
                </c:pt>
                <c:pt idx="801">
                  <c:v>35.7084000000005</c:v>
                </c:pt>
                <c:pt idx="802">
                  <c:v>35.7085000000005</c:v>
                </c:pt>
                <c:pt idx="803">
                  <c:v>35.7086000000005</c:v>
                </c:pt>
                <c:pt idx="804">
                  <c:v>35.7087000000005</c:v>
                </c:pt>
                <c:pt idx="805">
                  <c:v>35.7088000000005</c:v>
                </c:pt>
                <c:pt idx="806">
                  <c:v>35.7089000000005</c:v>
                </c:pt>
                <c:pt idx="807">
                  <c:v>35.7090000000005</c:v>
                </c:pt>
                <c:pt idx="808">
                  <c:v>35.7091000000005</c:v>
                </c:pt>
                <c:pt idx="809">
                  <c:v>35.7092000000005</c:v>
                </c:pt>
                <c:pt idx="810">
                  <c:v>35.7093000000005</c:v>
                </c:pt>
                <c:pt idx="811">
                  <c:v>35.7094000000005</c:v>
                </c:pt>
                <c:pt idx="812">
                  <c:v>35.7095000000005</c:v>
                </c:pt>
                <c:pt idx="813">
                  <c:v>35.7096000000005</c:v>
                </c:pt>
                <c:pt idx="814">
                  <c:v>35.7097000000005</c:v>
                </c:pt>
                <c:pt idx="815">
                  <c:v>35.7098000000005</c:v>
                </c:pt>
                <c:pt idx="816">
                  <c:v>35.7099000000005</c:v>
                </c:pt>
                <c:pt idx="817">
                  <c:v>35.7100000000005</c:v>
                </c:pt>
                <c:pt idx="818">
                  <c:v>35.7101000000005</c:v>
                </c:pt>
                <c:pt idx="819">
                  <c:v>35.7102000000005</c:v>
                </c:pt>
                <c:pt idx="820">
                  <c:v>35.7103000000005</c:v>
                </c:pt>
                <c:pt idx="821">
                  <c:v>35.7104000000005</c:v>
                </c:pt>
                <c:pt idx="822">
                  <c:v>35.7105000000005</c:v>
                </c:pt>
                <c:pt idx="823">
                  <c:v>35.7106000000006</c:v>
                </c:pt>
                <c:pt idx="824">
                  <c:v>35.7107000000006</c:v>
                </c:pt>
                <c:pt idx="825">
                  <c:v>35.7108000000006</c:v>
                </c:pt>
                <c:pt idx="826">
                  <c:v>35.7109000000006</c:v>
                </c:pt>
                <c:pt idx="827">
                  <c:v>35.7110000000006</c:v>
                </c:pt>
                <c:pt idx="828">
                  <c:v>35.7111000000006</c:v>
                </c:pt>
                <c:pt idx="829">
                  <c:v>35.7112000000006</c:v>
                </c:pt>
                <c:pt idx="830">
                  <c:v>35.7113000000006</c:v>
                </c:pt>
                <c:pt idx="831">
                  <c:v>35.7114000000006</c:v>
                </c:pt>
                <c:pt idx="832">
                  <c:v>35.7115000000006</c:v>
                </c:pt>
                <c:pt idx="833">
                  <c:v>35.7116000000006</c:v>
                </c:pt>
                <c:pt idx="834">
                  <c:v>35.7117000000006</c:v>
                </c:pt>
                <c:pt idx="835">
                  <c:v>35.7118000000006</c:v>
                </c:pt>
                <c:pt idx="836">
                  <c:v>35.7119000000006</c:v>
                </c:pt>
                <c:pt idx="837">
                  <c:v>35.7120000000006</c:v>
                </c:pt>
                <c:pt idx="838">
                  <c:v>35.7121000000006</c:v>
                </c:pt>
                <c:pt idx="839">
                  <c:v>35.7122000000006</c:v>
                </c:pt>
                <c:pt idx="840">
                  <c:v>35.7123000000006</c:v>
                </c:pt>
                <c:pt idx="841">
                  <c:v>35.7124000000006</c:v>
                </c:pt>
                <c:pt idx="842">
                  <c:v>35.7125000000006</c:v>
                </c:pt>
                <c:pt idx="843">
                  <c:v>35.7126000000006</c:v>
                </c:pt>
                <c:pt idx="844">
                  <c:v>35.7127000000006</c:v>
                </c:pt>
                <c:pt idx="845">
                  <c:v>35.7128000000006</c:v>
                </c:pt>
                <c:pt idx="846">
                  <c:v>35.7129000000006</c:v>
                </c:pt>
                <c:pt idx="847">
                  <c:v>35.7130000000006</c:v>
                </c:pt>
                <c:pt idx="848">
                  <c:v>35.7131000000006</c:v>
                </c:pt>
                <c:pt idx="849">
                  <c:v>35.7132000000006</c:v>
                </c:pt>
                <c:pt idx="850">
                  <c:v>35.7133000000006</c:v>
                </c:pt>
                <c:pt idx="851">
                  <c:v>35.7134000000006</c:v>
                </c:pt>
                <c:pt idx="852">
                  <c:v>35.7135000000006</c:v>
                </c:pt>
                <c:pt idx="853">
                  <c:v>35.7136000000006</c:v>
                </c:pt>
                <c:pt idx="854">
                  <c:v>35.7137000000007</c:v>
                </c:pt>
                <c:pt idx="855">
                  <c:v>35.7138000000007</c:v>
                </c:pt>
                <c:pt idx="856">
                  <c:v>35.7139000000007</c:v>
                </c:pt>
                <c:pt idx="857">
                  <c:v>35.7140000000007</c:v>
                </c:pt>
                <c:pt idx="858">
                  <c:v>35.7141000000007</c:v>
                </c:pt>
                <c:pt idx="859">
                  <c:v>35.7142000000007</c:v>
                </c:pt>
                <c:pt idx="860">
                  <c:v>35.7143000000007</c:v>
                </c:pt>
                <c:pt idx="861">
                  <c:v>35.7144000000007</c:v>
                </c:pt>
                <c:pt idx="862">
                  <c:v>35.7145000000007</c:v>
                </c:pt>
                <c:pt idx="863">
                  <c:v>35.7146000000007</c:v>
                </c:pt>
                <c:pt idx="864">
                  <c:v>35.7147000000007</c:v>
                </c:pt>
                <c:pt idx="865">
                  <c:v>35.7148000000007</c:v>
                </c:pt>
                <c:pt idx="866">
                  <c:v>35.7149000000007</c:v>
                </c:pt>
                <c:pt idx="867">
                  <c:v>35.7150000000007</c:v>
                </c:pt>
                <c:pt idx="868">
                  <c:v>35.7151000000007</c:v>
                </c:pt>
                <c:pt idx="869">
                  <c:v>35.7152000000007</c:v>
                </c:pt>
                <c:pt idx="870">
                  <c:v>35.7153000000007</c:v>
                </c:pt>
                <c:pt idx="871">
                  <c:v>35.7154000000007</c:v>
                </c:pt>
                <c:pt idx="872">
                  <c:v>35.7155000000007</c:v>
                </c:pt>
                <c:pt idx="873">
                  <c:v>35.7156000000007</c:v>
                </c:pt>
                <c:pt idx="874">
                  <c:v>35.7157000000007</c:v>
                </c:pt>
                <c:pt idx="875">
                  <c:v>35.7158000000007</c:v>
                </c:pt>
                <c:pt idx="876">
                  <c:v>35.7159000000007</c:v>
                </c:pt>
                <c:pt idx="877">
                  <c:v>35.7160000000007</c:v>
                </c:pt>
                <c:pt idx="878">
                  <c:v>35.7161000000007</c:v>
                </c:pt>
                <c:pt idx="879">
                  <c:v>35.7162000000007</c:v>
                </c:pt>
                <c:pt idx="880">
                  <c:v>35.7163000000007</c:v>
                </c:pt>
                <c:pt idx="881">
                  <c:v>35.7164000000007</c:v>
                </c:pt>
                <c:pt idx="882">
                  <c:v>35.7165000000007</c:v>
                </c:pt>
                <c:pt idx="883">
                  <c:v>35.7166000000007</c:v>
                </c:pt>
                <c:pt idx="884">
                  <c:v>35.7167000000008</c:v>
                </c:pt>
                <c:pt idx="885">
                  <c:v>35.7168000000008</c:v>
                </c:pt>
                <c:pt idx="886">
                  <c:v>35.7169000000008</c:v>
                </c:pt>
                <c:pt idx="887">
                  <c:v>35.7170000000008</c:v>
                </c:pt>
                <c:pt idx="888">
                  <c:v>35.7171000000008</c:v>
                </c:pt>
                <c:pt idx="889">
                  <c:v>35.7172000000008</c:v>
                </c:pt>
                <c:pt idx="890">
                  <c:v>35.7173000000008</c:v>
                </c:pt>
                <c:pt idx="891">
                  <c:v>35.7174000000008</c:v>
                </c:pt>
                <c:pt idx="892">
                  <c:v>35.7175000000008</c:v>
                </c:pt>
                <c:pt idx="893">
                  <c:v>35.7176000000008</c:v>
                </c:pt>
                <c:pt idx="894">
                  <c:v>35.7177000000008</c:v>
                </c:pt>
                <c:pt idx="895">
                  <c:v>35.7178000000008</c:v>
                </c:pt>
                <c:pt idx="896">
                  <c:v>35.7179000000008</c:v>
                </c:pt>
                <c:pt idx="897">
                  <c:v>35.7180000000008</c:v>
                </c:pt>
                <c:pt idx="898">
                  <c:v>35.7181000000008</c:v>
                </c:pt>
                <c:pt idx="899">
                  <c:v>35.7182000000008</c:v>
                </c:pt>
                <c:pt idx="900">
                  <c:v>35.7183000000008</c:v>
                </c:pt>
                <c:pt idx="901">
                  <c:v>35.7184000000008</c:v>
                </c:pt>
                <c:pt idx="902">
                  <c:v>35.7185000000008</c:v>
                </c:pt>
                <c:pt idx="903">
                  <c:v>35.7186000000008</c:v>
                </c:pt>
                <c:pt idx="904">
                  <c:v>35.7187000000008</c:v>
                </c:pt>
                <c:pt idx="905">
                  <c:v>35.7188000000008</c:v>
                </c:pt>
                <c:pt idx="906">
                  <c:v>35.7189000000008</c:v>
                </c:pt>
                <c:pt idx="907">
                  <c:v>35.7190000000008</c:v>
                </c:pt>
                <c:pt idx="908">
                  <c:v>35.7191000000008</c:v>
                </c:pt>
                <c:pt idx="909">
                  <c:v>35.7192000000008</c:v>
                </c:pt>
                <c:pt idx="910">
                  <c:v>35.7193000000008</c:v>
                </c:pt>
                <c:pt idx="911">
                  <c:v>35.7194000000008</c:v>
                </c:pt>
                <c:pt idx="912">
                  <c:v>35.7195000000008</c:v>
                </c:pt>
                <c:pt idx="913">
                  <c:v>35.7196000000008</c:v>
                </c:pt>
                <c:pt idx="914">
                  <c:v>35.7197000000009</c:v>
                </c:pt>
                <c:pt idx="915">
                  <c:v>35.7198000000009</c:v>
                </c:pt>
                <c:pt idx="916">
                  <c:v>35.7199000000009</c:v>
                </c:pt>
                <c:pt idx="917">
                  <c:v>35.7200000000009</c:v>
                </c:pt>
                <c:pt idx="918">
                  <c:v>35.7201000000009</c:v>
                </c:pt>
                <c:pt idx="919">
                  <c:v>35.7202000000009</c:v>
                </c:pt>
                <c:pt idx="920">
                  <c:v>35.7203000000009</c:v>
                </c:pt>
                <c:pt idx="921">
                  <c:v>35.7204000000009</c:v>
                </c:pt>
                <c:pt idx="922">
                  <c:v>35.7205000000009</c:v>
                </c:pt>
                <c:pt idx="923">
                  <c:v>35.7206000000009</c:v>
                </c:pt>
                <c:pt idx="924">
                  <c:v>35.7207000000009</c:v>
                </c:pt>
                <c:pt idx="925">
                  <c:v>35.7208000000009</c:v>
                </c:pt>
                <c:pt idx="926">
                  <c:v>35.7209000000009</c:v>
                </c:pt>
                <c:pt idx="927">
                  <c:v>35.7210000000009</c:v>
                </c:pt>
                <c:pt idx="928">
                  <c:v>35.7211000000009</c:v>
                </c:pt>
                <c:pt idx="929">
                  <c:v>35.7212000000009</c:v>
                </c:pt>
                <c:pt idx="930">
                  <c:v>35.7213000000009</c:v>
                </c:pt>
                <c:pt idx="931">
                  <c:v>35.7214000000009</c:v>
                </c:pt>
                <c:pt idx="932">
                  <c:v>35.7215000000009</c:v>
                </c:pt>
                <c:pt idx="933">
                  <c:v>35.7216000000009</c:v>
                </c:pt>
                <c:pt idx="934">
                  <c:v>35.7217000000009</c:v>
                </c:pt>
                <c:pt idx="935">
                  <c:v>35.7218000000009</c:v>
                </c:pt>
                <c:pt idx="936">
                  <c:v>35.7219000000009</c:v>
                </c:pt>
                <c:pt idx="937">
                  <c:v>35.7220000000009</c:v>
                </c:pt>
                <c:pt idx="938">
                  <c:v>35.7221000000009</c:v>
                </c:pt>
                <c:pt idx="939">
                  <c:v>35.7222000000009</c:v>
                </c:pt>
                <c:pt idx="940">
                  <c:v>35.7223000000009</c:v>
                </c:pt>
                <c:pt idx="941">
                  <c:v>35.7224000000009</c:v>
                </c:pt>
                <c:pt idx="942">
                  <c:v>35.7225000000009</c:v>
                </c:pt>
                <c:pt idx="943">
                  <c:v>35.7226000000009</c:v>
                </c:pt>
                <c:pt idx="944">
                  <c:v>35.722700000001</c:v>
                </c:pt>
                <c:pt idx="945">
                  <c:v>35.722800000001</c:v>
                </c:pt>
                <c:pt idx="946">
                  <c:v>35.722900000001</c:v>
                </c:pt>
                <c:pt idx="947">
                  <c:v>35.723000000001</c:v>
                </c:pt>
                <c:pt idx="948">
                  <c:v>35.723100000001</c:v>
                </c:pt>
                <c:pt idx="949">
                  <c:v>35.723200000001</c:v>
                </c:pt>
                <c:pt idx="950">
                  <c:v>35.723300000001</c:v>
                </c:pt>
                <c:pt idx="951">
                  <c:v>35.723400000001</c:v>
                </c:pt>
                <c:pt idx="952">
                  <c:v>35.723500000001</c:v>
                </c:pt>
                <c:pt idx="953">
                  <c:v>35.723600000001</c:v>
                </c:pt>
                <c:pt idx="954">
                  <c:v>35.723700000001</c:v>
                </c:pt>
                <c:pt idx="955">
                  <c:v>35.723800000001</c:v>
                </c:pt>
                <c:pt idx="956">
                  <c:v>35.723900000001</c:v>
                </c:pt>
                <c:pt idx="957">
                  <c:v>35.724000000001</c:v>
                </c:pt>
                <c:pt idx="958">
                  <c:v>35.724100000001</c:v>
                </c:pt>
                <c:pt idx="959">
                  <c:v>35.724200000001</c:v>
                </c:pt>
                <c:pt idx="960">
                  <c:v>35.724300000001</c:v>
                </c:pt>
                <c:pt idx="961">
                  <c:v>35.724400000001</c:v>
                </c:pt>
                <c:pt idx="962">
                  <c:v>35.724500000001</c:v>
                </c:pt>
                <c:pt idx="963">
                  <c:v>35.724600000001</c:v>
                </c:pt>
                <c:pt idx="964">
                  <c:v>35.724700000001</c:v>
                </c:pt>
                <c:pt idx="965">
                  <c:v>35.724800000001</c:v>
                </c:pt>
                <c:pt idx="966">
                  <c:v>35.724900000001</c:v>
                </c:pt>
                <c:pt idx="967">
                  <c:v>35.725000000001</c:v>
                </c:pt>
                <c:pt idx="968">
                  <c:v>35.725100000001</c:v>
                </c:pt>
                <c:pt idx="969">
                  <c:v>35.725200000001</c:v>
                </c:pt>
                <c:pt idx="970">
                  <c:v>35.725300000001</c:v>
                </c:pt>
                <c:pt idx="971">
                  <c:v>35.725400000001</c:v>
                </c:pt>
                <c:pt idx="972">
                  <c:v>35.725500000001</c:v>
                </c:pt>
                <c:pt idx="973">
                  <c:v>35.725600000001</c:v>
                </c:pt>
                <c:pt idx="974">
                  <c:v>35.7257000000011</c:v>
                </c:pt>
                <c:pt idx="975">
                  <c:v>35.7258000000011</c:v>
                </c:pt>
                <c:pt idx="976">
                  <c:v>35.7259000000011</c:v>
                </c:pt>
                <c:pt idx="977">
                  <c:v>35.7260000000011</c:v>
                </c:pt>
                <c:pt idx="978">
                  <c:v>35.7261000000011</c:v>
                </c:pt>
                <c:pt idx="979">
                  <c:v>35.7262000000011</c:v>
                </c:pt>
                <c:pt idx="980">
                  <c:v>35.7263000000011</c:v>
                </c:pt>
                <c:pt idx="981">
                  <c:v>35.7264000000011</c:v>
                </c:pt>
                <c:pt idx="982">
                  <c:v>35.7265000000011</c:v>
                </c:pt>
                <c:pt idx="983">
                  <c:v>35.7266000000011</c:v>
                </c:pt>
                <c:pt idx="984">
                  <c:v>35.7267000000011</c:v>
                </c:pt>
                <c:pt idx="985">
                  <c:v>35.7268000000011</c:v>
                </c:pt>
                <c:pt idx="986">
                  <c:v>35.7269000000011</c:v>
                </c:pt>
                <c:pt idx="987">
                  <c:v>35.7270000000011</c:v>
                </c:pt>
                <c:pt idx="988">
                  <c:v>35.7271000000011</c:v>
                </c:pt>
                <c:pt idx="989">
                  <c:v>35.7272000000011</c:v>
                </c:pt>
                <c:pt idx="990">
                  <c:v>35.7273000000011</c:v>
                </c:pt>
                <c:pt idx="991">
                  <c:v>35.7274000000011</c:v>
                </c:pt>
                <c:pt idx="992">
                  <c:v>35.7275000000011</c:v>
                </c:pt>
                <c:pt idx="993">
                  <c:v>35.7276000000011</c:v>
                </c:pt>
                <c:pt idx="994">
                  <c:v>35.7277000000011</c:v>
                </c:pt>
                <c:pt idx="995">
                  <c:v>35.7278000000011</c:v>
                </c:pt>
                <c:pt idx="996">
                  <c:v>35.7279000000011</c:v>
                </c:pt>
                <c:pt idx="997">
                  <c:v>35.7280000000011</c:v>
                </c:pt>
                <c:pt idx="998">
                  <c:v>35.7281000000011</c:v>
                </c:pt>
                <c:pt idx="999">
                  <c:v>35.7282000000011</c:v>
                </c:pt>
                <c:pt idx="1000">
                  <c:v>35.7283000000011</c:v>
                </c:pt>
              </c:numCache>
            </c:numRef>
          </c:xVal>
          <c:yVal>
            <c:numRef>
              <c:f>Calculs!$I$4:$I$1004</c:f>
              <c:numCache>
                <c:formatCode>General</c:formatCode>
                <c:ptCount val="1001"/>
                <c:pt idx="0">
                  <c:v>0</c:v>
                </c:pt>
                <c:pt idx="1">
                  <c:v>0</c:v>
                </c:pt>
                <c:pt idx="2">
                  <c:v>0.180054887526597</c:v>
                </c:pt>
                <c:pt idx="3">
                  <c:v>0.544659431420091</c:v>
                </c:pt>
                <c:pt idx="4">
                  <c:v>1.09395824667774</c:v>
                </c:pt>
                <c:pt idx="5">
                  <c:v>1.82814628901796</c:v>
                </c:pt>
                <c:pt idx="6">
                  <c:v>2.65397519984537</c:v>
                </c:pt>
                <c:pt idx="7">
                  <c:v>3.47803557552948</c:v>
                </c:pt>
                <c:pt idx="8">
                  <c:v>4.3003209622268</c:v>
                </c:pt>
                <c:pt idx="9">
                  <c:v>5.12082492789513</c:v>
                </c:pt>
                <c:pt idx="10">
                  <c:v>5.93954106246002</c:v>
                </c:pt>
                <c:pt idx="11">
                  <c:v>6.75646297797998</c:v>
                </c:pt>
                <c:pt idx="12">
                  <c:v>7.57158430881044</c:v>
                </c:pt>
                <c:pt idx="13">
                  <c:v>8.38489871176633</c:v>
                </c:pt>
                <c:pt idx="14">
                  <c:v>9.19639986628344</c:v>
                </c:pt>
                <c:pt idx="15">
                  <c:v>10.0060814745783</c:v>
                </c:pt>
                <c:pt idx="16">
                  <c:v>10.8139372618071</c:v>
                </c:pt>
                <c:pt idx="17">
                  <c:v>11.6199609762225</c:v>
                </c:pt>
                <c:pt idx="18">
                  <c:v>12.4241463893302</c:v>
                </c:pt>
                <c:pt idx="19">
                  <c:v>13.2264872960429</c:v>
                </c:pt>
                <c:pt idx="20">
                  <c:v>14.026977514834</c:v>
                </c:pt>
                <c:pt idx="21">
                  <c:v>14.8256108878892</c:v>
                </c:pt>
                <c:pt idx="22">
                  <c:v>15.622381281257</c:v>
                </c:pt>
                <c:pt idx="23">
                  <c:v>16.4172825849978</c:v>
                </c:pt>
                <c:pt idx="24">
                  <c:v>17.2103087133312</c:v>
                </c:pt>
                <c:pt idx="25">
                  <c:v>18.0014536047829</c:v>
                </c:pt>
                <c:pt idx="26">
                  <c:v>18.7907112223287</c:v>
                </c:pt>
                <c:pt idx="27">
                  <c:v>19.5780755535385</c:v>
                </c:pt>
                <c:pt idx="28">
                  <c:v>20.3635406107178</c:v>
                </c:pt>
                <c:pt idx="29">
                  <c:v>21.1471004310485</c:v>
                </c:pt>
                <c:pt idx="30">
                  <c:v>21.9287490767276</c:v>
                </c:pt>
                <c:pt idx="31">
                  <c:v>22.7084806351052</c:v>
                </c:pt>
                <c:pt idx="32">
                  <c:v>23.48628921882</c:v>
                </c:pt>
                <c:pt idx="33">
                  <c:v>24.2621689659343</c:v>
                </c:pt>
                <c:pt idx="34">
                  <c:v>25.0361140400673</c:v>
                </c:pt>
                <c:pt idx="35">
                  <c:v>25.8081186305261</c:v>
                </c:pt>
                <c:pt idx="36">
                  <c:v>26.5781822519749</c:v>
                </c:pt>
                <c:pt idx="37">
                  <c:v>27.3463046674325</c:v>
                </c:pt>
                <c:pt idx="38">
                  <c:v>28.1124799177565</c:v>
                </c:pt>
                <c:pt idx="39">
                  <c:v>28.8767020812304</c:v>
                </c:pt>
                <c:pt idx="40">
                  <c:v>29.6389652727968</c:v>
                </c:pt>
                <c:pt idx="41">
                  <c:v>30.3992636434141</c:v>
                </c:pt>
                <c:pt idx="42">
                  <c:v>31.1575913794863</c:v>
                </c:pt>
                <c:pt idx="43">
                  <c:v>31.9139427023576</c:v>
                </c:pt>
                <c:pt idx="44">
                  <c:v>32.6683118678628</c:v>
                </c:pt>
                <c:pt idx="45">
                  <c:v>33.4206931659283</c:v>
                </c:pt>
                <c:pt idx="46">
                  <c:v>34.1710809202171</c:v>
                </c:pt>
                <c:pt idx="47">
                  <c:v>34.9194694878128</c:v>
                </c:pt>
                <c:pt idx="48">
                  <c:v>35.6658532589382</c:v>
                </c:pt>
                <c:pt idx="49">
                  <c:v>36.4102266567057</c:v>
                </c:pt>
                <c:pt idx="50">
                  <c:v>37.1525841368945</c:v>
                </c:pt>
                <c:pt idx="51">
                  <c:v>37.8934115458122</c:v>
                </c:pt>
                <c:pt idx="52">
                  <c:v>38.6331954809638</c:v>
                </c:pt>
                <c:pt idx="53">
                  <c:v>39.3719315082907</c:v>
                </c:pt>
                <c:pt idx="54">
                  <c:v>40.1096152092556</c:v>
                </c:pt>
                <c:pt idx="55">
                  <c:v>40.8462421807325</c:v>
                </c:pt>
                <c:pt idx="56">
                  <c:v>41.5818080349103</c:v>
                </c:pt>
                <c:pt idx="57">
                  <c:v>42.3163083992096</c:v>
                </c:pt>
                <c:pt idx="58">
                  <c:v>43.0497389162105</c:v>
                </c:pt>
                <c:pt idx="59">
                  <c:v>43.7820952435915</c:v>
                </c:pt>
                <c:pt idx="60">
                  <c:v>44.5133730540768</c:v>
                </c:pt>
                <c:pt idx="61">
                  <c:v>45.2435680353941</c:v>
                </c:pt>
                <c:pt idx="62">
                  <c:v>45.9726758902388</c:v>
                </c:pt>
                <c:pt idx="63">
                  <c:v>46.7006923362462</c:v>
                </c:pt>
                <c:pt idx="64">
                  <c:v>47.4276131059708</c:v>
                </c:pt>
                <c:pt idx="65">
                  <c:v>48.153433946871</c:v>
                </c:pt>
                <c:pt idx="66">
                  <c:v>48.8781506213002</c:v>
                </c:pt>
                <c:pt idx="67">
                  <c:v>49.6017589065022</c:v>
                </c:pt>
                <c:pt idx="68">
                  <c:v>50.3242545946123</c:v>
                </c:pt>
                <c:pt idx="69">
                  <c:v>51.0456334926623</c:v>
                </c:pt>
                <c:pt idx="70">
                  <c:v>51.7658914225896</c:v>
                </c:pt>
                <c:pt idx="71">
                  <c:v>52.4850242212499</c:v>
                </c:pt>
                <c:pt idx="72">
                  <c:v>53.2030277404334</c:v>
                </c:pt>
                <c:pt idx="73">
                  <c:v>53.9198978468846</c:v>
                </c:pt>
                <c:pt idx="74">
                  <c:v>54.6356304223239</c:v>
                </c:pt>
                <c:pt idx="75">
                  <c:v>55.3502213634729</c:v>
                </c:pt>
                <c:pt idx="76">
                  <c:v>56.0636665820815</c:v>
                </c:pt>
                <c:pt idx="77">
                  <c:v>56.7759620049577</c:v>
                </c:pt>
                <c:pt idx="78">
                  <c:v>57.4871035739989</c:v>
                </c:pt>
                <c:pt idx="79">
                  <c:v>58.1970872462254</c:v>
                </c:pt>
                <c:pt idx="80">
                  <c:v>58.9059089938158</c:v>
                </c:pt>
                <c:pt idx="81">
                  <c:v>59.6135648041438</c:v>
                </c:pt>
                <c:pt idx="82">
                  <c:v>60.3200506798158</c:v>
                </c:pt>
                <c:pt idx="83">
                  <c:v>61.0253626387112</c:v>
                </c:pt>
                <c:pt idx="84">
                  <c:v>61.7294967140225</c:v>
                </c:pt>
                <c:pt idx="85">
                  <c:v>62.4324489542974</c:v>
                </c:pt>
                <c:pt idx="86">
                  <c:v>63.1342154234814</c:v>
                </c:pt>
                <c:pt idx="87">
                  <c:v>63.8347922009615</c:v>
                </c:pt>
                <c:pt idx="88">
                  <c:v>64.5341753816105</c:v>
                </c:pt>
                <c:pt idx="89">
                  <c:v>65.2323610758323</c:v>
                </c:pt>
                <c:pt idx="90">
                  <c:v>65.9293454096074</c:v>
                </c:pt>
                <c:pt idx="91">
                  <c:v>66.6251245245395</c:v>
                </c:pt>
                <c:pt idx="92">
                  <c:v>67.3196945779021</c:v>
                </c:pt>
                <c:pt idx="93">
                  <c:v>68.0130517426858</c:v>
                </c:pt>
                <c:pt idx="94">
                  <c:v>68.7051922076459</c:v>
                </c:pt>
                <c:pt idx="95">
                  <c:v>69.3961121773499</c:v>
                </c:pt>
                <c:pt idx="96">
                  <c:v>70.0858078722262</c:v>
                </c:pt>
                <c:pt idx="97">
                  <c:v>70.7742755286122</c:v>
                </c:pt>
                <c:pt idx="98">
                  <c:v>71.4615113988024</c:v>
                </c:pt>
                <c:pt idx="99">
                  <c:v>72.1475117510975</c:v>
                </c:pt>
                <c:pt idx="100">
                  <c:v>72.8322728698527</c:v>
                </c:pt>
                <c:pt idx="101">
                  <c:v>73.5155648277526</c:v>
                </c:pt>
                <c:pt idx="102">
                  <c:v>74.1971574526765</c:v>
                </c:pt>
                <c:pt idx="103">
                  <c:v>74.8770467403334</c:v>
                </c:pt>
                <c:pt idx="104">
                  <c:v>75.5552287098444</c:v>
                </c:pt>
                <c:pt idx="105">
                  <c:v>76.2316994037832</c:v>
                </c:pt>
                <c:pt idx="106">
                  <c:v>76.9064548882167</c:v>
                </c:pt>
                <c:pt idx="107">
                  <c:v>77.5794912527445</c:v>
                </c:pt>
                <c:pt idx="108">
                  <c:v>78.2508046105382</c:v>
                </c:pt>
                <c:pt idx="109">
                  <c:v>78.9203910983799</c:v>
                </c:pt>
                <c:pt idx="110">
                  <c:v>79.5882468767</c:v>
                </c:pt>
                <c:pt idx="111">
                  <c:v>80.2543681296151</c:v>
                </c:pt>
                <c:pt idx="112">
                  <c:v>80.9187510649639</c:v>
                </c:pt>
                <c:pt idx="113">
                  <c:v>81.5813919143441</c:v>
                </c:pt>
                <c:pt idx="114">
                  <c:v>82.2422869331466</c:v>
                </c:pt>
                <c:pt idx="115">
                  <c:v>82.9014324005913</c:v>
                </c:pt>
                <c:pt idx="116">
                  <c:v>83.5588246197598</c:v>
                </c:pt>
                <c:pt idx="117">
                  <c:v>84.2144599176293</c:v>
                </c:pt>
                <c:pt idx="118">
                  <c:v>84.8683346451044</c:v>
                </c:pt>
                <c:pt idx="119">
                  <c:v>85.5204451770491</c:v>
                </c:pt>
                <c:pt idx="120">
                  <c:v>86.1707879123169</c:v>
                </c:pt>
                <c:pt idx="121">
                  <c:v>86.8193592737812</c:v>
                </c:pt>
                <c:pt idx="122">
                  <c:v>87.4661557083643</c:v>
                </c:pt>
                <c:pt idx="123">
                  <c:v>88.1111736870655</c:v>
                </c:pt>
                <c:pt idx="124">
                  <c:v>88.7544097049883</c:v>
                </c:pt>
                <c:pt idx="125">
                  <c:v>89.3958602813674</c:v>
                </c:pt>
                <c:pt idx="126">
                  <c:v>90.0355219595941</c:v>
                </c:pt>
                <c:pt idx="127">
                  <c:v>90.6733913072409</c:v>
                </c:pt>
                <c:pt idx="128">
                  <c:v>91.3094649160857</c:v>
                </c:pt>
                <c:pt idx="129">
                  <c:v>91.9437394021345</c:v>
                </c:pt>
                <c:pt idx="130">
                  <c:v>92.5762114056438</c:v>
                </c:pt>
                <c:pt idx="131">
                  <c:v>93.2068775911412</c:v>
                </c:pt>
                <c:pt idx="132">
                  <c:v>93.8357346474462</c:v>
                </c:pt>
                <c:pt idx="133">
                  <c:v>94.4627792876895</c:v>
                </c:pt>
                <c:pt idx="134">
                  <c:v>95.0880082493308</c:v>
                </c:pt>
                <c:pt idx="135">
                  <c:v>95.711418294177</c:v>
                </c:pt>
                <c:pt idx="136">
                  <c:v>96.333006208398</c:v>
                </c:pt>
                <c:pt idx="137">
                  <c:v>96.9527688025428</c:v>
                </c:pt>
                <c:pt idx="138">
                  <c:v>97.5707029115538</c:v>
                </c:pt>
                <c:pt idx="139">
                  <c:v>98.1868053947807</c:v>
                </c:pt>
                <c:pt idx="140">
                  <c:v>98.8010731359929</c:v>
                </c:pt>
                <c:pt idx="141">
                  <c:v>99.4135030433915</c:v>
                </c:pt>
                <c:pt idx="142">
                  <c:v>100.02409204962</c:v>
                </c:pt>
                <c:pt idx="143">
                  <c:v>100.632837111773</c:v>
                </c:pt>
                <c:pt idx="144">
                  <c:v>101.239735211408</c:v>
                </c:pt>
                <c:pt idx="145">
                  <c:v>101.84478335455</c:v>
                </c:pt>
                <c:pt idx="146">
                  <c:v>102.4479785717</c:v>
                </c:pt>
                <c:pt idx="147">
                  <c:v>103.049317917841</c:v>
                </c:pt>
                <c:pt idx="148">
                  <c:v>103.648798472441</c:v>
                </c:pt>
                <c:pt idx="149">
                  <c:v>104.246417339461</c:v>
                </c:pt>
                <c:pt idx="150">
                  <c:v>104.842171647355</c:v>
                </c:pt>
                <c:pt idx="151">
                  <c:v>105.436135403214</c:v>
                </c:pt>
                <c:pt idx="152">
                  <c:v>106.028382700306</c:v>
                </c:pt>
                <c:pt idx="153">
                  <c:v>106.618910806816</c:v>
                </c:pt>
                <c:pt idx="154">
                  <c:v>107.207717013064</c:v>
                </c:pt>
                <c:pt idx="155">
                  <c:v>107.794798631507</c:v>
                </c:pt>
                <c:pt idx="156">
                  <c:v>108.380152996745</c:v>
                </c:pt>
                <c:pt idx="157">
                  <c:v>108.963777465525</c:v>
                </c:pt>
                <c:pt idx="158">
                  <c:v>109.545669416743</c:v>
                </c:pt>
                <c:pt idx="159">
                  <c:v>110.125826251443</c:v>
                </c:pt>
                <c:pt idx="160">
                  <c:v>110.70424539282</c:v>
                </c:pt>
                <c:pt idx="161">
                  <c:v>111.280924286222</c:v>
                </c:pt>
                <c:pt idx="162">
                  <c:v>111.855860399143</c:v>
                </c:pt>
                <c:pt idx="163">
                  <c:v>112.429051221227</c:v>
                </c:pt>
                <c:pt idx="164">
                  <c:v>113.000494264261</c:v>
                </c:pt>
                <c:pt idx="165">
                  <c:v>113.570187062173</c:v>
                </c:pt>
                <c:pt idx="166">
                  <c:v>114.13812717103</c:v>
                </c:pt>
                <c:pt idx="167">
                  <c:v>114.704312169027</c:v>
                </c:pt>
                <c:pt idx="168">
                  <c:v>115.268739656487</c:v>
                </c:pt>
                <c:pt idx="169">
                  <c:v>115.831407255849</c:v>
                </c:pt>
                <c:pt idx="170">
                  <c:v>116.392312611662</c:v>
                </c:pt>
                <c:pt idx="171">
                  <c:v>116.951453390579</c:v>
                </c:pt>
                <c:pt idx="172">
                  <c:v>117.508827281342</c:v>
                </c:pt>
                <c:pt idx="173">
                  <c:v>118.064431994777</c:v>
                </c:pt>
                <c:pt idx="174">
                  <c:v>118.618265263778</c:v>
                </c:pt>
                <c:pt idx="175">
                  <c:v>119.170324843298</c:v>
                </c:pt>
                <c:pt idx="176">
                  <c:v>119.720608510337</c:v>
                </c:pt>
                <c:pt idx="177">
                  <c:v>120.269114063923</c:v>
                </c:pt>
                <c:pt idx="178">
                  <c:v>120.815839325105</c:v>
                </c:pt>
                <c:pt idx="179">
                  <c:v>121.36078213693</c:v>
                </c:pt>
                <c:pt idx="180">
                  <c:v>121.903940364433</c:v>
                </c:pt>
                <c:pt idx="181">
                  <c:v>122.445311894616</c:v>
                </c:pt>
                <c:pt idx="182">
                  <c:v>122.984894636432</c:v>
                </c:pt>
                <c:pt idx="183">
                  <c:v>123.522686520765</c:v>
                </c:pt>
                <c:pt idx="184">
                  <c:v>124.058685500412</c:v>
                </c:pt>
                <c:pt idx="185">
                  <c:v>124.592889550061</c:v>
                </c:pt>
                <c:pt idx="186">
                  <c:v>125.125296666274</c:v>
                </c:pt>
                <c:pt idx="187">
                  <c:v>125.655904867457</c:v>
                </c:pt>
                <c:pt idx="188">
                  <c:v>126.184712193848</c:v>
                </c:pt>
                <c:pt idx="189">
                  <c:v>126.711716707483</c:v>
                </c:pt>
                <c:pt idx="190">
                  <c:v>127.23691649218</c:v>
                </c:pt>
                <c:pt idx="191">
                  <c:v>127.760309653509</c:v>
                </c:pt>
                <c:pt idx="192">
                  <c:v>128.281894318766</c:v>
                </c:pt>
                <c:pt idx="193">
                  <c:v>128.801668636952</c:v>
                </c:pt>
                <c:pt idx="194">
                  <c:v>129.319630778739</c:v>
                </c:pt>
                <c:pt idx="195">
                  <c:v>129.835778936445</c:v>
                </c:pt>
                <c:pt idx="196">
                  <c:v>130.350111324005</c:v>
                </c:pt>
                <c:pt idx="197">
                  <c:v>130.862626176939</c:v>
                </c:pt>
                <c:pt idx="198">
                  <c:v>131.373321752326</c:v>
                </c:pt>
                <c:pt idx="199">
                  <c:v>131.882196328769</c:v>
                </c:pt>
                <c:pt idx="200">
                  <c:v>132.389248206363</c:v>
                </c:pt>
                <c:pt idx="201">
                  <c:v>132.894475706666</c:v>
                </c:pt>
                <c:pt idx="202">
                  <c:v>133.397877172661</c:v>
                </c:pt>
                <c:pt idx="203">
                  <c:v>133.899450968725</c:v>
                </c:pt>
                <c:pt idx="204">
                  <c:v>134.399195480592</c:v>
                </c:pt>
                <c:pt idx="205">
                  <c:v>134.897109115318</c:v>
                </c:pt>
                <c:pt idx="206">
                  <c:v>135.393190301246</c:v>
                </c:pt>
                <c:pt idx="207">
                  <c:v>135.887437487968</c:v>
                </c:pt>
                <c:pt idx="208">
                  <c:v>136.379849146285</c:v>
                </c:pt>
                <c:pt idx="209">
                  <c:v>136.870423768172</c:v>
                </c:pt>
                <c:pt idx="210">
                  <c:v>137.359159866737</c:v>
                </c:pt>
                <c:pt idx="211">
                  <c:v>137.846055976181</c:v>
                </c:pt>
                <c:pt idx="212">
                  <c:v>138.331110651758</c:v>
                </c:pt>
                <c:pt idx="213">
                  <c:v>138.814322469732</c:v>
                </c:pt>
                <c:pt idx="214">
                  <c:v>139.295690027337</c:v>
                </c:pt>
                <c:pt idx="215">
                  <c:v>139.775211942735</c:v>
                </c:pt>
                <c:pt idx="216">
                  <c:v>140.252886854969</c:v>
                </c:pt>
                <c:pt idx="217">
                  <c:v>140.728713423922</c:v>
                </c:pt>
                <c:pt idx="218">
                  <c:v>141.202690330274</c:v>
                </c:pt>
                <c:pt idx="219">
                  <c:v>141.674816275449</c:v>
                </c:pt>
                <c:pt idx="220">
                  <c:v>142.145089981578</c:v>
                </c:pt>
                <c:pt idx="221">
                  <c:v>142.613510191448</c:v>
                </c:pt>
                <c:pt idx="222">
                  <c:v>143.080075668453</c:v>
                </c:pt>
                <c:pt idx="223">
                  <c:v>143.544785196551</c:v>
                </c:pt>
                <c:pt idx="224">
                  <c:v>144.00763758021</c:v>
                </c:pt>
                <c:pt idx="225">
                  <c:v>144.468631644363</c:v>
                </c:pt>
                <c:pt idx="226">
                  <c:v>144.927766234355</c:v>
                </c:pt>
                <c:pt idx="227">
                  <c:v>145.385040215897</c:v>
                </c:pt>
                <c:pt idx="228">
                  <c:v>145.840452475007</c:v>
                </c:pt>
                <c:pt idx="229">
                  <c:v>146.294001917968</c:v>
                </c:pt>
                <c:pt idx="230">
                  <c:v>146.745687471268</c:v>
                </c:pt>
                <c:pt idx="231">
                  <c:v>147.195508081552</c:v>
                </c:pt>
                <c:pt idx="232">
                  <c:v>147.643462715563</c:v>
                </c:pt>
                <c:pt idx="233">
                  <c:v>148.089550360096</c:v>
                </c:pt>
                <c:pt idx="234">
                  <c:v>148.533770021936</c:v>
                </c:pt>
                <c:pt idx="235">
                  <c:v>148.976120727806</c:v>
                </c:pt>
                <c:pt idx="236">
                  <c:v>149.416601524311</c:v>
                </c:pt>
                <c:pt idx="237">
                  <c:v>149.855211477881</c:v>
                </c:pt>
                <c:pt idx="238">
                  <c:v>150.291949674715</c:v>
                </c:pt>
                <c:pt idx="239">
                  <c:v>150.726815220722</c:v>
                </c:pt>
                <c:pt idx="240">
                  <c:v>151.159807241465</c:v>
                </c:pt>
                <c:pt idx="241">
                  <c:v>151.590924882101</c:v>
                </c:pt>
                <c:pt idx="242">
                  <c:v>152.020167307321</c:v>
                </c:pt>
                <c:pt idx="243">
                  <c:v>152.447533701294</c:v>
                </c:pt>
                <c:pt idx="244">
                  <c:v>152.873023267601</c:v>
                </c:pt>
                <c:pt idx="245">
                  <c:v>153.296635229181</c:v>
                </c:pt>
                <c:pt idx="246">
                  <c:v>153.718368828264</c:v>
                </c:pt>
                <c:pt idx="247">
                  <c:v>154.138223326314</c:v>
                </c:pt>
                <c:pt idx="248">
                  <c:v>154.556198003963</c:v>
                </c:pt>
                <c:pt idx="249">
                  <c:v>154.972292160949</c:v>
                </c:pt>
                <c:pt idx="250">
                  <c:v>155.386505116055</c:v>
                </c:pt>
                <c:pt idx="251">
                  <c:v>155.798505800992</c:v>
                </c:pt>
                <c:pt idx="252">
                  <c:v>156.207963107171</c:v>
                </c:pt>
                <c:pt idx="253">
                  <c:v>156.614876489194</c:v>
                </c:pt>
                <c:pt idx="254">
                  <c:v>157.019245429185</c:v>
                </c:pt>
                <c:pt idx="255">
                  <c:v>157.42106943667</c:v>
                </c:pt>
                <c:pt idx="256">
                  <c:v>157.820348048449</c:v>
                </c:pt>
                <c:pt idx="257">
                  <c:v>158.217080828479</c:v>
                </c:pt>
                <c:pt idx="258">
                  <c:v>158.611267367742</c:v>
                </c:pt>
                <c:pt idx="259">
                  <c:v>159.002907284124</c:v>
                </c:pt>
                <c:pt idx="260">
                  <c:v>159.392000222289</c:v>
                </c:pt>
                <c:pt idx="261">
                  <c:v>159.77854585355</c:v>
                </c:pt>
                <c:pt idx="262">
                  <c:v>160.162543875742</c:v>
                </c:pt>
                <c:pt idx="263">
                  <c:v>160.543994013095</c:v>
                </c:pt>
                <c:pt idx="264">
                  <c:v>160.922896016107</c:v>
                </c:pt>
                <c:pt idx="265">
                  <c:v>161.299249661412</c:v>
                </c:pt>
                <c:pt idx="266">
                  <c:v>161.673054751649</c:v>
                </c:pt>
                <c:pt idx="267">
                  <c:v>162.044311115337</c:v>
                </c:pt>
                <c:pt idx="268">
                  <c:v>162.413018606739</c:v>
                </c:pt>
                <c:pt idx="269">
                  <c:v>162.779177105732</c:v>
                </c:pt>
                <c:pt idx="270">
                  <c:v>163.142786517677</c:v>
                </c:pt>
                <c:pt idx="271">
                  <c:v>163.503846773283</c:v>
                </c:pt>
                <c:pt idx="272">
                  <c:v>163.862357828476</c:v>
                </c:pt>
                <c:pt idx="273">
                  <c:v>164.218319664265</c:v>
                </c:pt>
                <c:pt idx="274">
                  <c:v>164.571732286608</c:v>
                </c:pt>
                <c:pt idx="275">
                  <c:v>164.922595726277</c:v>
                </c:pt>
                <c:pt idx="276">
                  <c:v>165.270910038722</c:v>
                </c:pt>
                <c:pt idx="277">
                  <c:v>165.616675303939</c:v>
                </c:pt>
                <c:pt idx="278">
                  <c:v>165.959891626329</c:v>
                </c:pt>
                <c:pt idx="279">
                  <c:v>166.300559134565</c:v>
                </c:pt>
                <c:pt idx="280">
                  <c:v>166.638677981455</c:v>
                </c:pt>
                <c:pt idx="281">
                  <c:v>166.9742483438</c:v>
                </c:pt>
                <c:pt idx="282">
                  <c:v>167.307270422265</c:v>
                </c:pt>
                <c:pt idx="283">
                  <c:v>167.637744441232</c:v>
                </c:pt>
                <c:pt idx="284">
                  <c:v>167.965670648668</c:v>
                </c:pt>
                <c:pt idx="285">
                  <c:v>168.29104931598</c:v>
                </c:pt>
                <c:pt idx="286">
                  <c:v>168.613880737883</c:v>
                </c:pt>
                <c:pt idx="287">
                  <c:v>168.934165232252</c:v>
                </c:pt>
                <c:pt idx="288">
                  <c:v>169.251903139991</c:v>
                </c:pt>
                <c:pt idx="289">
                  <c:v>169.567094824885</c:v>
                </c:pt>
                <c:pt idx="290">
                  <c:v>169.879740673462</c:v>
                </c:pt>
                <c:pt idx="291">
                  <c:v>170.189841094854</c:v>
                </c:pt>
                <c:pt idx="292">
                  <c:v>170.497396520653</c:v>
                </c:pt>
                <c:pt idx="293">
                  <c:v>170.802407404772</c:v>
                </c:pt>
                <c:pt idx="294">
                  <c:v>171.1048742233</c:v>
                </c:pt>
                <c:pt idx="295">
                  <c:v>171.40479747436</c:v>
                </c:pt>
                <c:pt idx="296">
                  <c:v>171.702177677972</c:v>
                </c:pt>
                <c:pt idx="297">
                  <c:v>171.997015375902</c:v>
                </c:pt>
                <c:pt idx="298">
                  <c:v>172.285690360719</c:v>
                </c:pt>
                <c:pt idx="299">
                  <c:v>172.564583021344</c:v>
                </c:pt>
                <c:pt idx="300">
                  <c:v>172.83369692092</c:v>
                </c:pt>
                <c:pt idx="301">
                  <c:v>173.093035806926</c:v>
                </c:pt>
                <c:pt idx="302">
                  <c:v>173.342603609216</c:v>
                </c:pt>
                <c:pt idx="303">
                  <c:v>173.58240443805</c:v>
                </c:pt>
                <c:pt idx="304">
                  <c:v>173.812442582128</c:v>
                </c:pt>
                <c:pt idx="305">
                  <c:v>174.03272250661</c:v>
                </c:pt>
                <c:pt idx="306">
                  <c:v>174.243248851138</c:v>
                </c:pt>
                <c:pt idx="307">
                  <c:v>174.444026427851</c:v>
                </c:pt>
                <c:pt idx="308">
                  <c:v>174.635060219394</c:v>
                </c:pt>
                <c:pt idx="309">
                  <c:v>174.816355376931</c:v>
                </c:pt>
                <c:pt idx="310">
                  <c:v>174.987917218143</c:v>
                </c:pt>
                <c:pt idx="311">
                  <c:v>175.149751225232</c:v>
                </c:pt>
                <c:pt idx="312">
                  <c:v>175.301863042921</c:v>
                </c:pt>
                <c:pt idx="313">
                  <c:v>175.444258476448</c:v>
                </c:pt>
                <c:pt idx="314">
                  <c:v>175.576943489562</c:v>
                </c:pt>
                <c:pt idx="315">
                  <c:v>175.699924202513</c:v>
                </c:pt>
                <c:pt idx="316">
                  <c:v>175.813206890043</c:v>
                </c:pt>
                <c:pt idx="317">
                  <c:v>175.916797979379</c:v>
                </c:pt>
                <c:pt idx="318">
                  <c:v>176.010704048216</c:v>
                </c:pt>
                <c:pt idx="319">
                  <c:v>176.094931822709</c:v>
                </c:pt>
                <c:pt idx="320">
                  <c:v>176.16948817546</c:v>
                </c:pt>
                <c:pt idx="321">
                  <c:v>176.235819224908</c:v>
                </c:pt>
                <c:pt idx="322">
                  <c:v>176.295370317532</c:v>
                </c:pt>
                <c:pt idx="323">
                  <c:v>176.348146525621</c:v>
                </c:pt>
                <c:pt idx="324">
                  <c:v>176.394152989902</c:v>
                </c:pt>
                <c:pt idx="325">
                  <c:v>176.433394918536</c:v>
                </c:pt>
                <c:pt idx="326">
                  <c:v>176.465877586134</c:v>
                </c:pt>
                <c:pt idx="327">
                  <c:v>176.491606332767</c:v>
                </c:pt>
                <c:pt idx="328">
                  <c:v>176.510586562979</c:v>
                </c:pt>
                <c:pt idx="329">
                  <c:v>176.522823744801</c:v>
                </c:pt>
                <c:pt idx="330">
                  <c:v>176.528323408766</c:v>
                </c:pt>
                <c:pt idx="331">
                  <c:v>176.527091146931</c:v>
                </c:pt>
                <c:pt idx="332">
                  <c:v>176.519132611894</c:v>
                </c:pt>
                <c:pt idx="333">
                  <c:v>176.504453515818</c:v>
                </c:pt>
                <c:pt idx="334">
                  <c:v>176.483059629457</c:v>
                </c:pt>
                <c:pt idx="335">
                  <c:v>176.454956781179</c:v>
                </c:pt>
                <c:pt idx="336">
                  <c:v>176.420150855998</c:v>
                </c:pt>
                <c:pt idx="337">
                  <c:v>176.378647794606</c:v>
                </c:pt>
                <c:pt idx="338">
                  <c:v>176.330453592406</c:v>
                </c:pt>
                <c:pt idx="339">
                  <c:v>176.275574298547</c:v>
                </c:pt>
                <c:pt idx="340">
                  <c:v>176.214016014968</c:v>
                </c:pt>
                <c:pt idx="341">
                  <c:v>176.145784895434</c:v>
                </c:pt>
                <c:pt idx="342">
                  <c:v>176.070887144583</c:v>
                </c:pt>
                <c:pt idx="343">
                  <c:v>175.989329016977</c:v>
                </c:pt>
                <c:pt idx="344">
                  <c:v>175.901116816147</c:v>
                </c:pt>
                <c:pt idx="345">
                  <c:v>175.806256893647</c:v>
                </c:pt>
                <c:pt idx="346">
                  <c:v>175.704755648114</c:v>
                </c:pt>
                <c:pt idx="347">
                  <c:v>175.596619524324</c:v>
                </c:pt>
                <c:pt idx="348">
                  <c:v>175.482010157474</c:v>
                </c:pt>
                <c:pt idx="349">
                  <c:v>175.361089074113</c:v>
                </c:pt>
                <c:pt idx="350">
                  <c:v>175.233862532624</c:v>
                </c:pt>
                <c:pt idx="351">
                  <c:v>175.100336828943</c:v>
                </c:pt>
                <c:pt idx="352">
                  <c:v>174.960518295725</c:v>
                </c:pt>
                <c:pt idx="353">
                  <c:v>174.814413301504</c:v>
                </c:pt>
                <c:pt idx="354">
                  <c:v>174.662028249868</c:v>
                </c:pt>
                <c:pt idx="355">
                  <c:v>174.503369578631</c:v>
                </c:pt>
                <c:pt idx="356">
                  <c:v>174.338443759004</c:v>
                </c:pt>
                <c:pt idx="357">
                  <c:v>174.167257294782</c:v>
                </c:pt>
                <c:pt idx="358">
                  <c:v>173.98981672152</c:v>
                </c:pt>
                <c:pt idx="359">
                  <c:v>173.806128605722</c:v>
                </c:pt>
                <c:pt idx="360">
                  <c:v>173.619426004923</c:v>
                </c:pt>
                <c:pt idx="361">
                  <c:v>173.43293842035</c:v>
                </c:pt>
                <c:pt idx="362">
                  <c:v>173.246665336345</c:v>
                </c:pt>
                <c:pt idx="363">
                  <c:v>173.060606238911</c:v>
                </c:pt>
                <c:pt idx="364">
                  <c:v>172.874760615709</c:v>
                </c:pt>
                <c:pt idx="365">
                  <c:v>172.689127956048</c:v>
                </c:pt>
                <c:pt idx="366">
                  <c:v>172.503707750881</c:v>
                </c:pt>
                <c:pt idx="367">
                  <c:v>172.318499492797</c:v>
                </c:pt>
                <c:pt idx="368">
                  <c:v>172.133502676014</c:v>
                </c:pt>
                <c:pt idx="369">
                  <c:v>171.948716796375</c:v>
                </c:pt>
                <c:pt idx="370">
                  <c:v>171.76414135134</c:v>
                </c:pt>
                <c:pt idx="371">
                  <c:v>171.579775839978</c:v>
                </c:pt>
                <c:pt idx="372">
                  <c:v>171.395619762966</c:v>
                </c:pt>
                <c:pt idx="373">
                  <c:v>171.211672622576</c:v>
                </c:pt>
                <c:pt idx="374">
                  <c:v>171.027933922673</c:v>
                </c:pt>
                <c:pt idx="375">
                  <c:v>170.844403168709</c:v>
                </c:pt>
                <c:pt idx="376">
                  <c:v>170.661079867713</c:v>
                </c:pt>
                <c:pt idx="377">
                  <c:v>170.477963528291</c:v>
                </c:pt>
                <c:pt idx="378">
                  <c:v>170.295053660612</c:v>
                </c:pt>
                <c:pt idx="379">
                  <c:v>170.11234977641</c:v>
                </c:pt>
                <c:pt idx="380">
                  <c:v>169.929851388972</c:v>
                </c:pt>
                <c:pt idx="381">
                  <c:v>169.747558013135</c:v>
                </c:pt>
                <c:pt idx="382">
                  <c:v>169.565469165278</c:v>
                </c:pt>
                <c:pt idx="383">
                  <c:v>169.383584363319</c:v>
                </c:pt>
                <c:pt idx="384">
                  <c:v>169.201903126704</c:v>
                </c:pt>
                <c:pt idx="385">
                  <c:v>169.020424976406</c:v>
                </c:pt>
                <c:pt idx="386">
                  <c:v>168.839149434919</c:v>
                </c:pt>
                <c:pt idx="387">
                  <c:v>168.658076026248</c:v>
                </c:pt>
                <c:pt idx="388">
                  <c:v>168.477204275906</c:v>
                </c:pt>
                <c:pt idx="389">
                  <c:v>168.296533710907</c:v>
                </c:pt>
                <c:pt idx="390">
                  <c:v>168.116063859764</c:v>
                </c:pt>
                <c:pt idx="391">
                  <c:v>167.935794252477</c:v>
                </c:pt>
                <c:pt idx="392">
                  <c:v>167.755724420532</c:v>
                </c:pt>
                <c:pt idx="393">
                  <c:v>167.575853896894</c:v>
                </c:pt>
                <c:pt idx="394">
                  <c:v>167.396182215999</c:v>
                </c:pt>
                <c:pt idx="395">
                  <c:v>167.216708913754</c:v>
                </c:pt>
                <c:pt idx="396">
                  <c:v>167.037433527525</c:v>
                </c:pt>
                <c:pt idx="397">
                  <c:v>166.858355596136</c:v>
                </c:pt>
                <c:pt idx="398">
                  <c:v>166.67947465986</c:v>
                </c:pt>
                <c:pt idx="399">
                  <c:v>166.500790260416</c:v>
                </c:pt>
                <c:pt idx="400">
                  <c:v>166.322301940964</c:v>
                </c:pt>
                <c:pt idx="401">
                  <c:v>164.539534071493</c:v>
                </c:pt>
                <c:pt idx="402">
                  <c:v>162.77617036557</c:v>
                </c:pt>
                <c:pt idx="403">
                  <c:v>161.031765977331</c:v>
                </c:pt>
                <c:pt idx="404">
                  <c:v>159.305889800714</c:v>
                </c:pt>
                <c:pt idx="405">
                  <c:v>157.598123961544</c:v>
                </c:pt>
                <c:pt idx="406">
                  <c:v>155.908063333444</c:v>
                </c:pt>
                <c:pt idx="407">
                  <c:v>154.235315076336</c:v>
                </c:pt>
                <c:pt idx="408">
                  <c:v>152.57949819638</c:v>
                </c:pt>
                <c:pt idx="409">
                  <c:v>150.940243126285</c:v>
                </c:pt>
                <c:pt idx="410">
                  <c:v>149.317191324953</c:v>
                </c:pt>
                <c:pt idx="411">
                  <c:v>147.709994895531</c:v>
                </c:pt>
                <c:pt idx="412">
                  <c:v>146.118316220957</c:v>
                </c:pt>
                <c:pt idx="413">
                  <c:v>144.541827616175</c:v>
                </c:pt>
                <c:pt idx="414">
                  <c:v>142.980210996222</c:v>
                </c:pt>
                <c:pt idx="415">
                  <c:v>141.433157559447</c:v>
                </c:pt>
                <c:pt idx="416">
                  <c:v>139.900367485178</c:v>
                </c:pt>
                <c:pt idx="417">
                  <c:v>138.381549645167</c:v>
                </c:pt>
                <c:pt idx="418">
                  <c:v>136.87642132822</c:v>
                </c:pt>
                <c:pt idx="419">
                  <c:v>135.384707977416</c:v>
                </c:pt>
                <c:pt idx="420">
                  <c:v>133.906142939399</c:v>
                </c:pt>
                <c:pt idx="421">
                  <c:v>132.440467225214</c:v>
                </c:pt>
                <c:pt idx="422">
                  <c:v>130.987429282232</c:v>
                </c:pt>
                <c:pt idx="423">
                  <c:v>129.546784776708</c:v>
                </c:pt>
                <c:pt idx="424">
                  <c:v>128.118296386568</c:v>
                </c:pt>
                <c:pt idx="425">
                  <c:v>126.701733604019</c:v>
                </c:pt>
                <c:pt idx="426">
                  <c:v>125.296872547646</c:v>
                </c:pt>
                <c:pt idx="427">
                  <c:v>123.903495783636</c:v>
                </c:pt>
                <c:pt idx="428">
                  <c:v>122.521392155829</c:v>
                </c:pt>
                <c:pt idx="429">
                  <c:v>121.150356624298</c:v>
                </c:pt>
                <c:pt idx="430">
                  <c:v>119.790190112196</c:v>
                </c:pt>
                <c:pt idx="431">
                  <c:v>118.44069936062</c:v>
                </c:pt>
                <c:pt idx="432">
                  <c:v>117.101696791263</c:v>
                </c:pt>
                <c:pt idx="433">
                  <c:v>115.773000376644</c:v>
                </c:pt>
                <c:pt idx="434">
                  <c:v>114.454433517746</c:v>
                </c:pt>
                <c:pt idx="435">
                  <c:v>113.145824928861</c:v>
                </c:pt>
                <c:pt idx="436">
                  <c:v>111.847008529527</c:v>
                </c:pt>
                <c:pt idx="437">
                  <c:v>110.557823343394</c:v>
                </c:pt>
                <c:pt idx="438">
                  <c:v>109.278113403925</c:v>
                </c:pt>
                <c:pt idx="439">
                  <c:v>108.007727666828</c:v>
                </c:pt>
                <c:pt idx="440">
                  <c:v>106.746519929133</c:v>
                </c:pt>
                <c:pt idx="441">
                  <c:v>105.494348754865</c:v>
                </c:pt>
                <c:pt idx="442">
                  <c:v>104.251077407261</c:v>
                </c:pt>
                <c:pt idx="443">
                  <c:v>103.016573787505</c:v>
                </c:pt>
                <c:pt idx="444">
                  <c:v>101.790710379974</c:v>
                </c:pt>
                <c:pt idx="445">
                  <c:v>100.573364204011</c:v>
                </c:pt>
                <c:pt idx="446">
                  <c:v>99.364416772237</c:v>
                </c:pt>
                <c:pt idx="447">
                  <c:v>98.1637540554722</c:v>
                </c:pt>
                <c:pt idx="448">
                  <c:v>96.9712664543134</c:v>
                </c:pt>
                <c:pt idx="449">
                  <c:v>95.7868487774673</c:v>
                </c:pt>
                <c:pt idx="450">
                  <c:v>94.6104002269423</c:v>
                </c:pt>
                <c:pt idx="451">
                  <c:v>93.4418243902307</c:v>
                </c:pt>
                <c:pt idx="452">
                  <c:v>92.2810292396308</c:v>
                </c:pt>
                <c:pt idx="453">
                  <c:v>91.1279271388866</c:v>
                </c:pt>
                <c:pt idx="454">
                  <c:v>89.9824348573429</c:v>
                </c:pt>
                <c:pt idx="455">
                  <c:v>88.8444735918413</c:v>
                </c:pt>
                <c:pt idx="456">
                  <c:v>87.7139689966086</c:v>
                </c:pt>
                <c:pt idx="457">
                  <c:v>86.5908512214172</c:v>
                </c:pt>
                <c:pt idx="458">
                  <c:v>85.4750549583253</c:v>
                </c:pt>
                <c:pt idx="459">
                  <c:v>84.3665194973388</c:v>
                </c:pt>
                <c:pt idx="460">
                  <c:v>83.2651887913644</c:v>
                </c:pt>
                <c:pt idx="461">
                  <c:v>82.171011530862</c:v>
                </c:pt>
                <c:pt idx="462">
                  <c:v>81.0839412286384</c:v>
                </c:pt>
                <c:pt idx="463">
                  <c:v>80.0039363152618</c:v>
                </c:pt>
                <c:pt idx="464">
                  <c:v>78.9309602456168</c:v>
                </c:pt>
                <c:pt idx="465">
                  <c:v>77.8649816171633</c:v>
                </c:pt>
                <c:pt idx="466">
                  <c:v>76.8059743005016</c:v>
                </c:pt>
                <c:pt idx="467">
                  <c:v>75.7539175828982</c:v>
                </c:pt>
                <c:pt idx="468">
                  <c:v>74.7087963254687</c:v>
                </c:pt>
                <c:pt idx="469">
                  <c:v>73.6706011347685</c:v>
                </c:pt>
                <c:pt idx="470">
                  <c:v>72.6393285495913</c:v>
                </c:pt>
                <c:pt idx="471">
                  <c:v>71.6149812438297</c:v>
                </c:pt>
                <c:pt idx="472">
                  <c:v>70.5975682463065</c:v>
                </c:pt>
                <c:pt idx="473">
                  <c:v>69.5871051785426</c:v>
                </c:pt>
                <c:pt idx="474">
                  <c:v>68.5836145114822</c:v>
                </c:pt>
                <c:pt idx="475">
                  <c:v>67.5871258422547</c:v>
                </c:pt>
                <c:pt idx="476">
                  <c:v>66.5976761921074</c:v>
                </c:pt>
                <c:pt idx="477">
                  <c:v>65.6153103266988</c:v>
                </c:pt>
                <c:pt idx="478">
                  <c:v>64.6400810999915</c:v>
                </c:pt>
                <c:pt idx="479">
                  <c:v>63.6720498230353</c:v>
                </c:pt>
                <c:pt idx="480">
                  <c:v>62.7112866589674</c:v>
                </c:pt>
                <c:pt idx="481">
                  <c:v>61.7578710455925</c:v>
                </c:pt>
                <c:pt idx="482">
                  <c:v>60.8118921469265</c:v>
                </c:pt>
                <c:pt idx="483">
                  <c:v>59.8734493350926</c:v>
                </c:pt>
                <c:pt idx="484">
                  <c:v>58.9426527039512</c:v>
                </c:pt>
                <c:pt idx="485">
                  <c:v>58.0196236158051</c:v>
                </c:pt>
                <c:pt idx="486">
                  <c:v>57.1044952824634</c:v>
                </c:pt>
                <c:pt idx="487">
                  <c:v>56.1974133818431</c:v>
                </c:pt>
                <c:pt idx="488">
                  <c:v>55.2985367111501</c:v>
                </c:pt>
                <c:pt idx="489">
                  <c:v>54.4080378774801</c:v>
                </c:pt>
                <c:pt idx="490">
                  <c:v>53.5261040264264</c:v>
                </c:pt>
                <c:pt idx="491">
                  <c:v>52.6529376089425</c:v>
                </c:pt>
                <c:pt idx="492">
                  <c:v>51.7887571862833</c:v>
                </c:pt>
                <c:pt idx="493">
                  <c:v>50.9337982723167</c:v>
                </c:pt>
                <c:pt idx="494">
                  <c:v>50.0883142118376</c:v>
                </c:pt>
                <c:pt idx="495">
                  <c:v>49.2525770927138</c:v>
                </c:pt>
                <c:pt idx="496">
                  <c:v>48.4268786887182</c:v>
                </c:pt>
                <c:pt idx="497">
                  <c:v>47.6115314287333</c:v>
                </c:pt>
                <c:pt idx="498">
                  <c:v>46.8068693866245</c:v>
                </c:pt>
                <c:pt idx="499">
                  <c:v>46.0132492844388</c:v>
                </c:pt>
                <c:pt idx="500">
                  <c:v>45.2310514996658</c:v>
                </c:pt>
                <c:pt idx="501">
                  <c:v>44.4606810650747</c:v>
                </c:pt>
                <c:pt idx="502">
                  <c:v>43.7025686470811</c:v>
                </c:pt>
                <c:pt idx="503">
                  <c:v>42.9571714856915</c:v>
                </c:pt>
                <c:pt idx="504">
                  <c:v>42.2249742757915</c:v>
                </c:pt>
                <c:pt idx="505">
                  <c:v>41.5064899659069</c:v>
                </c:pt>
                <c:pt idx="506">
                  <c:v>40.8022604465694</c:v>
                </c:pt>
                <c:pt idx="507">
                  <c:v>40.1128570961111</c:v>
                </c:pt>
                <c:pt idx="508">
                  <c:v>39.4388811471623</c:v>
                </c:pt>
                <c:pt idx="509">
                  <c:v>38.7809638324278</c:v>
                </c:pt>
                <c:pt idx="510">
                  <c:v>38.139766263639</c:v>
                </c:pt>
                <c:pt idx="511">
                  <c:v>37.5159789931052</c:v>
                </c:pt>
                <c:pt idx="512">
                  <c:v>36.9103212033008</c:v>
                </c:pt>
                <c:pt idx="513">
                  <c:v>36.3235394667551</c:v>
                </c:pt>
                <c:pt idx="514">
                  <c:v>35.7564060165598</c:v>
                </c:pt>
                <c:pt idx="515">
                  <c:v>35.2097164675546</c:v>
                </c:pt>
                <c:pt idx="516">
                  <c:v>34.6842869302207</c:v>
                </c:pt>
                <c:pt idx="517">
                  <c:v>34.1809504640696</c:v>
                </c:pt>
                <c:pt idx="518">
                  <c:v>33.7005528254272</c:v>
                </c:pt>
                <c:pt idx="519">
                  <c:v>33.2439474765095</c:v>
                </c:pt>
                <c:pt idx="520">
                  <c:v>32.8119898389656</c:v>
                </c:pt>
                <c:pt idx="521">
                  <c:v>32.4055307958739</c:v>
                </c:pt>
                <c:pt idx="522">
                  <c:v>32.0254094714625</c:v>
                </c:pt>
                <c:pt idx="523">
                  <c:v>31.6724453472102</c:v>
                </c:pt>
                <c:pt idx="524">
                  <c:v>31.3474298056372</c:v>
                </c:pt>
                <c:pt idx="525">
                  <c:v>31.051117227734</c:v>
                </c:pt>
                <c:pt idx="526">
                  <c:v>30.7842158048159</c:v>
                </c:pt>
                <c:pt idx="527">
                  <c:v>30.5473782584267</c:v>
                </c:pt>
                <c:pt idx="528">
                  <c:v>30.3411926902171</c:v>
                </c:pt>
                <c:pt idx="529">
                  <c:v>30.166173804852</c:v>
                </c:pt>
                <c:pt idx="530">
                  <c:v>30.0227547604249</c:v>
                </c:pt>
                <c:pt idx="531">
                  <c:v>29.911279900485</c:v>
                </c:pt>
                <c:pt idx="532">
                  <c:v>29.8319986082176</c:v>
                </c:pt>
                <c:pt idx="533">
                  <c:v>29.7850604961553</c:v>
                </c:pt>
                <c:pt idx="534">
                  <c:v>29.7705121047428</c:v>
                </c:pt>
                <c:pt idx="535">
                  <c:v>29.7882952320404</c:v>
                </c:pt>
                <c:pt idx="536">
                  <c:v>29.8382469577808</c:v>
                </c:pt>
                <c:pt idx="537">
                  <c:v>29.920101361681</c:v>
                </c:pt>
                <c:pt idx="538">
                  <c:v>30.0334928725598</c:v>
                </c:pt>
                <c:pt idx="539">
                  <c:v>30.177961125662</c:v>
                </c:pt>
                <c:pt idx="540">
                  <c:v>30.3529571544202</c:v>
                </c:pt>
                <c:pt idx="541">
                  <c:v>30.5578507026938</c:v>
                </c:pt>
                <c:pt idx="542">
                  <c:v>30.7919384162248</c:v>
                </c:pt>
                <c:pt idx="543">
                  <c:v>31.0544526583883</c:v>
                </c:pt>
                <c:pt idx="544">
                  <c:v>31.3445706948964</c:v>
                </c:pt>
                <c:pt idx="545">
                  <c:v>31.6614240035562</c:v>
                </c:pt>
                <c:pt idx="546">
                  <c:v>32.0041074863902</c:v>
                </c:pt>
                <c:pt idx="547">
                  <c:v>32.3716883898734</c:v>
                </c:pt>
                <c:pt idx="548">
                  <c:v>32.7632147720545</c:v>
                </c:pt>
                <c:pt idx="549">
                  <c:v>33.1777233903847</c:v>
                </c:pt>
                <c:pt idx="550">
                  <c:v>33.6142469189255</c:v>
                </c:pt>
                <c:pt idx="551">
                  <c:v>34.0718204364791</c:v>
                </c:pt>
                <c:pt idx="552">
                  <c:v>34.5494871567459</c:v>
                </c:pt>
                <c:pt idx="553">
                  <c:v>35.0463033970599</c:v>
                </c:pt>
                <c:pt idx="554">
                  <c:v>35.5613428031713</c:v>
                </c:pt>
                <c:pt idx="555">
                  <c:v>36.0936998639042</c:v>
                </c:pt>
                <c:pt idx="556">
                  <c:v>36.6424927615445</c:v>
                </c:pt>
                <c:pt idx="557">
                  <c:v>37.2068656119323</c:v>
                </c:pt>
                <c:pt idx="558">
                  <c:v>37.7859901529587</c:v>
                </c:pt>
                <c:pt idx="559">
                  <c:v>38.3790669420918</c:v>
                </c:pt>
                <c:pt idx="560">
                  <c:v>38.985326123232</c:v>
                </c:pt>
                <c:pt idx="561">
                  <c:v>39.6040278211754</c:v>
                </c:pt>
                <c:pt idx="562">
                  <c:v>40.2344622187094</c:v>
                </c:pt>
                <c:pt idx="563">
                  <c:v>40.8759493673009</c:v>
                </c:pt>
                <c:pt idx="564">
                  <c:v>41.527838777785</c:v>
                </c:pt>
                <c:pt idx="565">
                  <c:v>42.1895088327118</c:v>
                </c:pt>
                <c:pt idx="566">
                  <c:v>42.8603660572448</c:v>
                </c:pt>
                <c:pt idx="567">
                  <c:v>43.5398442808947</c:v>
                </c:pt>
                <c:pt idx="568">
                  <c:v>44.2274037180164</c:v>
                </c:pt>
                <c:pt idx="569">
                  <c:v>44.9225299909584</c:v>
                </c:pt>
                <c:pt idx="570">
                  <c:v>45.6247331160761</c:v>
                </c:pt>
                <c:pt idx="571">
                  <c:v>46.333546469518</c:v>
                </c:pt>
                <c:pt idx="572">
                  <c:v>47.048525746759</c:v>
                </c:pt>
                <c:pt idx="573">
                  <c:v>47.7692479272831</c:v>
                </c:pt>
                <c:pt idx="574">
                  <c:v>48.4953102535791</c:v>
                </c:pt>
                <c:pt idx="575">
                  <c:v>49.2263292316855</c:v>
                </c:pt>
                <c:pt idx="576">
                  <c:v>49.9619396588771</c:v>
                </c:pt>
                <c:pt idx="577">
                  <c:v>50.7017936826921</c:v>
                </c:pt>
                <c:pt idx="578">
                  <c:v>51.445559894329</c:v>
                </c:pt>
                <c:pt idx="579">
                  <c:v>52.1929224584713</c:v>
                </c:pt>
                <c:pt idx="580">
                  <c:v>52.9435802807944</c:v>
                </c:pt>
                <c:pt idx="581">
                  <c:v>53.6972462137537</c:v>
                </c:pt>
                <c:pt idx="582">
                  <c:v>54.4536463007268</c:v>
                </c:pt>
                <c:pt idx="583">
                  <c:v>55.2125190581562</c:v>
                </c:pt>
                <c:pt idx="584">
                  <c:v>55.9736147950139</c:v>
                </c:pt>
                <c:pt idx="585">
                  <c:v>56.7366949686483</c:v>
                </c:pt>
                <c:pt idx="586">
                  <c:v>57.501531575889</c:v>
                </c:pt>
                <c:pt idx="587">
                  <c:v>58.2679065781389</c:v>
                </c:pt>
                <c:pt idx="588">
                  <c:v>59.0356113590961</c:v>
                </c:pt>
                <c:pt idx="589">
                  <c:v>59.80444621368</c:v>
                </c:pt>
                <c:pt idx="590">
                  <c:v>60.5742198667105</c:v>
                </c:pt>
                <c:pt idx="591">
                  <c:v>61.3447490198773</c:v>
                </c:pt>
                <c:pt idx="592">
                  <c:v>62.1158579255477</c:v>
                </c:pt>
                <c:pt idx="593">
                  <c:v>62.8873779859835</c:v>
                </c:pt>
                <c:pt idx="594">
                  <c:v>63.6591473765741</c:v>
                </c:pt>
                <c:pt idx="595">
                  <c:v>64.4310106917328</c:v>
                </c:pt>
                <c:pt idx="596">
                  <c:v>65.2028186121565</c:v>
                </c:pt>
                <c:pt idx="597">
                  <c:v>65.9744275921951</c:v>
                </c:pt>
                <c:pt idx="598">
                  <c:v>66.7456995661388</c:v>
                </c:pt>
                <c:pt idx="599">
                  <c:v>67.5165016722833</c:v>
                </c:pt>
                <c:pt idx="600">
                  <c:v>68.2867059936916</c:v>
                </c:pt>
                <c:pt idx="601">
                  <c:v>69.0561893146278</c:v>
                </c:pt>
                <c:pt idx="602">
                  <c:v>69.8248328916933</c:v>
                </c:pt>
                <c:pt idx="603">
                  <c:v>70.5925222387514</c:v>
                </c:pt>
                <c:pt idx="604">
                  <c:v>71.3591469247762</c:v>
                </c:pt>
                <c:pt idx="605">
                  <c:v>72.124600383816</c:v>
                </c:pt>
                <c:pt idx="606">
                  <c:v>72.8887797363066</c:v>
                </c:pt>
                <c:pt idx="607">
                  <c:v>73.6515856210192</c:v>
                </c:pt>
                <c:pt idx="608">
                  <c:v>74.4129220369685</c:v>
                </c:pt>
                <c:pt idx="609">
                  <c:v>75.1726961946529</c:v>
                </c:pt>
                <c:pt idx="610">
                  <c:v>75.9308183760326</c:v>
                </c:pt>
                <c:pt idx="611">
                  <c:v>76.6872018026948</c:v>
                </c:pt>
                <c:pt idx="612">
                  <c:v>77.4417625116864</c:v>
                </c:pt>
                <c:pt idx="613">
                  <c:v>78.1944192385288</c:v>
                </c:pt>
                <c:pt idx="614">
                  <c:v>78.9450933069618</c:v>
                </c:pt>
                <c:pt idx="615">
                  <c:v>79.6937085249917</c:v>
                </c:pt>
                <c:pt idx="616">
                  <c:v>80.4401910868461</c:v>
                </c:pt>
                <c:pt idx="617">
                  <c:v>81.1844694804647</c:v>
                </c:pt>
                <c:pt idx="618">
                  <c:v>81.9264744001788</c:v>
                </c:pt>
                <c:pt idx="619">
                  <c:v>82.666138664254</c:v>
                </c:pt>
                <c:pt idx="620">
                  <c:v>83.4033971369937</c:v>
                </c:pt>
                <c:pt idx="621">
                  <c:v>84.138186655119</c:v>
                </c:pt>
                <c:pt idx="622">
                  <c:v>84.870445958159</c:v>
                </c:pt>
                <c:pt idx="623">
                  <c:v>85.6001156226043</c:v>
                </c:pt>
                <c:pt idx="624">
                  <c:v>86.3271379995907</c:v>
                </c:pt>
                <c:pt idx="625">
                  <c:v>87.0514571558963</c:v>
                </c:pt>
                <c:pt idx="626">
                  <c:v>87.7730188180485</c:v>
                </c:pt>
                <c:pt idx="627">
                  <c:v>88.4917703193512</c:v>
                </c:pt>
                <c:pt idx="628">
                  <c:v>89.2076605496539</c:v>
                </c:pt>
                <c:pt idx="629">
                  <c:v>89.9206399076961</c:v>
                </c:pt>
                <c:pt idx="630">
                  <c:v>90.6306602558716</c:v>
                </c:pt>
                <c:pt idx="631">
                  <c:v>91.3376748772658</c:v>
                </c:pt>
                <c:pt idx="632">
                  <c:v>92.0416384348301</c:v>
                </c:pt>
                <c:pt idx="633">
                  <c:v>92.7425069325653</c:v>
                </c:pt>
                <c:pt idx="634">
                  <c:v>93.4402376785925</c:v>
                </c:pt>
                <c:pt idx="635">
                  <c:v>94.1347892500012</c:v>
                </c:pt>
                <c:pt idx="636">
                  <c:v>94.8261214593674</c:v>
                </c:pt>
                <c:pt idx="637">
                  <c:v>95.5141953228436</c:v>
                </c:pt>
                <c:pt idx="638">
                  <c:v>96.1989730297276</c:v>
                </c:pt>
                <c:pt idx="639">
                  <c:v>96.8804179134234</c:v>
                </c:pt>
                <c:pt idx="640">
                  <c:v>97.558494423712</c:v>
                </c:pt>
                <c:pt idx="641">
                  <c:v>98.2331681002567</c:v>
                </c:pt>
                <c:pt idx="642">
                  <c:v>98.9044055472686</c:v>
                </c:pt>
                <c:pt idx="643">
                  <c:v>99.5721744092681</c:v>
                </c:pt>
                <c:pt idx="644">
                  <c:v>100.236443347875</c:v>
                </c:pt>
                <c:pt idx="645">
                  <c:v>100.897182019572</c:v>
                </c:pt>
                <c:pt idx="646">
                  <c:v>101.554361054381</c:v>
                </c:pt>
                <c:pt idx="647">
                  <c:v>102.207952035403</c:v>
                </c:pt>
                <c:pt idx="648">
                  <c:v>102.857927479172</c:v>
                </c:pt>
                <c:pt idx="649">
                  <c:v>103.504260816771</c:v>
                </c:pt>
                <c:pt idx="650">
                  <c:v>104.146926375679</c:v>
                </c:pt>
                <c:pt idx="651">
                  <c:v>104.785899362287</c:v>
                </c:pt>
                <c:pt idx="652">
                  <c:v>105.421155845073</c:v>
                </c:pt>
                <c:pt idx="653">
                  <c:v>106.052672738365</c:v>
                </c:pt>
                <c:pt idx="654">
                  <c:v>106.680427786695</c:v>
                </c:pt>
                <c:pt idx="655">
                  <c:v>107.304399549675</c:v>
                </c:pt>
                <c:pt idx="656">
                  <c:v>107.924567387396</c:v>
                </c:pt>
                <c:pt idx="657">
                  <c:v>108.540911446301</c:v>
                </c:pt>
                <c:pt idx="658">
                  <c:v>109.153412645514</c:v>
                </c:pt>
                <c:pt idx="659">
                  <c:v>109.762052663596</c:v>
                </c:pt>
                <c:pt idx="660">
                  <c:v>110.366813925709</c:v>
                </c:pt>
                <c:pt idx="661">
                  <c:v>110.967679591157</c:v>
                </c:pt>
                <c:pt idx="662">
                  <c:v>111.564633541295</c:v>
                </c:pt>
                <c:pt idx="663">
                  <c:v>112.157660367769</c:v>
                </c:pt>
                <c:pt idx="664">
                  <c:v>112.746745361092</c:v>
                </c:pt>
                <c:pt idx="665">
                  <c:v>113.331874499509</c:v>
                </c:pt>
                <c:pt idx="666">
                  <c:v>113.913034438161</c:v>
                </c:pt>
                <c:pt idx="667">
                  <c:v>114.490212498518</c:v>
                </c:pt>
                <c:pt idx="668">
                  <c:v>115.063396658067</c:v>
                </c:pt>
                <c:pt idx="669">
                  <c:v>115.632575540245</c:v>
                </c:pt>
                <c:pt idx="670">
                  <c:v>116.197738404602</c:v>
                </c:pt>
                <c:pt idx="671">
                  <c:v>116.758875137183</c:v>
                </c:pt>
                <c:pt idx="672">
                  <c:v>117.31597624111</c:v>
                </c:pt>
                <c:pt idx="673">
                  <c:v>117.869032827371</c:v>
                </c:pt>
                <c:pt idx="674">
                  <c:v>118.418036605776</c:v>
                </c:pt>
                <c:pt idx="675">
                  <c:v>118.962979876109</c:v>
                </c:pt>
                <c:pt idx="676">
                  <c:v>119.503855519424</c:v>
                </c:pt>
                <c:pt idx="677">
                  <c:v>120.040656989517</c:v>
                </c:pt>
                <c:pt idx="678">
                  <c:v>120.573378304533</c:v>
                </c:pt>
                <c:pt idx="679">
                  <c:v>121.102014038723</c:v>
                </c:pt>
                <c:pt idx="680">
                  <c:v>121.626559314327</c:v>
                </c:pt>
                <c:pt idx="681">
                  <c:v>122.147009793595</c:v>
                </c:pt>
                <c:pt idx="682">
                  <c:v>122.663361670916</c:v>
                </c:pt>
                <c:pt idx="683">
                  <c:v>123.175611665075</c:v>
                </c:pt>
                <c:pt idx="684">
                  <c:v>123.683757011605</c:v>
                </c:pt>
                <c:pt idx="685">
                  <c:v>124.187795455257</c:v>
                </c:pt>
                <c:pt idx="686">
                  <c:v>124.687725242559</c:v>
                </c:pt>
                <c:pt idx="687">
                  <c:v>125.183545114473</c:v>
                </c:pt>
                <c:pt idx="688">
                  <c:v>125.675254299142</c:v>
                </c:pt>
                <c:pt idx="689">
                  <c:v>126.162852504722</c:v>
                </c:pt>
                <c:pt idx="690">
                  <c:v>126.646339912294</c:v>
                </c:pt>
                <c:pt idx="691">
                  <c:v>127.125717168862</c:v>
                </c:pt>
                <c:pt idx="692">
                  <c:v>127.600985380415</c:v>
                </c:pt>
                <c:pt idx="693">
                  <c:v>128.072146105067</c:v>
                </c:pt>
                <c:pt idx="694">
                  <c:v>128.539201346269</c:v>
                </c:pt>
                <c:pt idx="695">
                  <c:v>129.00215354608</c:v>
                </c:pt>
                <c:pt idx="696">
                  <c:v>129.461005578506</c:v>
                </c:pt>
                <c:pt idx="697">
                  <c:v>129.915760742897</c:v>
                </c:pt>
                <c:pt idx="698">
                  <c:v>130.366422757409</c:v>
                </c:pt>
                <c:pt idx="699">
                  <c:v>130.812995752518</c:v>
                </c:pt>
                <c:pt idx="700">
                  <c:v>131.255484264587</c:v>
                </c:pt>
                <c:pt idx="701">
                  <c:v>131.693893229493</c:v>
                </c:pt>
                <c:pt idx="702">
                  <c:v>132.128227976301</c:v>
                </c:pt>
                <c:pt idx="703">
                  <c:v>132.558494220987</c:v>
                </c:pt>
                <c:pt idx="704">
                  <c:v>132.984698060214</c:v>
                </c:pt>
                <c:pt idx="705">
                  <c:v>133.406845965153</c:v>
                </c:pt>
                <c:pt idx="706">
                  <c:v>133.824944775349</c:v>
                </c:pt>
                <c:pt idx="707">
                  <c:v>134.239001692636</c:v>
                </c:pt>
                <c:pt idx="708">
                  <c:v>134.64902427509</c:v>
                </c:pt>
                <c:pt idx="709">
                  <c:v>135.055020431031</c:v>
                </c:pt>
                <c:pt idx="710">
                  <c:v>135.456998413067</c:v>
                </c:pt>
                <c:pt idx="711">
                  <c:v>135.854966812175</c:v>
                </c:pt>
                <c:pt idx="712">
                  <c:v>136.248934551827</c:v>
                </c:pt>
                <c:pt idx="713">
                  <c:v>136.638910882156</c:v>
                </c:pt>
                <c:pt idx="714">
                  <c:v>137.024905374163</c:v>
                </c:pt>
                <c:pt idx="715">
                  <c:v>137.406927913957</c:v>
                </c:pt>
                <c:pt idx="716">
                  <c:v>137.784988697044</c:v>
                </c:pt>
                <c:pt idx="717">
                  <c:v>138.159098222646</c:v>
                </c:pt>
                <c:pt idx="718">
                  <c:v>138.159468326707</c:v>
                </c:pt>
                <c:pt idx="719">
                  <c:v>138.159838426852</c:v>
                </c:pt>
                <c:pt idx="720">
                  <c:v>138.160208523081</c:v>
                </c:pt>
                <c:pt idx="721">
                  <c:v>138.160578615393</c:v>
                </c:pt>
                <c:pt idx="722">
                  <c:v>138.160948703789</c:v>
                </c:pt>
                <c:pt idx="723">
                  <c:v>138.161318788268</c:v>
                </c:pt>
                <c:pt idx="724">
                  <c:v>138.161688868831</c:v>
                </c:pt>
                <c:pt idx="725">
                  <c:v>138.162058945477</c:v>
                </c:pt>
                <c:pt idx="726">
                  <c:v>138.162429018208</c:v>
                </c:pt>
                <c:pt idx="727">
                  <c:v>138.162799087021</c:v>
                </c:pt>
                <c:pt idx="728">
                  <c:v>138.163169151919</c:v>
                </c:pt>
                <c:pt idx="729">
                  <c:v>138.1635392129</c:v>
                </c:pt>
                <c:pt idx="730">
                  <c:v>138.163909269965</c:v>
                </c:pt>
                <c:pt idx="731">
                  <c:v>138.164279323113</c:v>
                </c:pt>
                <c:pt idx="732">
                  <c:v>138.164649372345</c:v>
                </c:pt>
                <c:pt idx="733">
                  <c:v>138.165019417661</c:v>
                </c:pt>
                <c:pt idx="734">
                  <c:v>138.16538945906</c:v>
                </c:pt>
                <c:pt idx="735">
                  <c:v>138.165759496543</c:v>
                </c:pt>
                <c:pt idx="736">
                  <c:v>138.16612953011</c:v>
                </c:pt>
                <c:pt idx="737">
                  <c:v>138.166499559761</c:v>
                </c:pt>
                <c:pt idx="738">
                  <c:v>138.166869585495</c:v>
                </c:pt>
                <c:pt idx="739">
                  <c:v>138.167239607313</c:v>
                </c:pt>
                <c:pt idx="740">
                  <c:v>138.167609625215</c:v>
                </c:pt>
                <c:pt idx="741">
                  <c:v>138.167979639201</c:v>
                </c:pt>
                <c:pt idx="742">
                  <c:v>138.16834964927</c:v>
                </c:pt>
                <c:pt idx="743">
                  <c:v>138.168719655424</c:v>
                </c:pt>
                <c:pt idx="744">
                  <c:v>138.169089657661</c:v>
                </c:pt>
                <c:pt idx="745">
                  <c:v>138.169459655982</c:v>
                </c:pt>
                <c:pt idx="746">
                  <c:v>138.169829650387</c:v>
                </c:pt>
                <c:pt idx="747">
                  <c:v>138.170199640875</c:v>
                </c:pt>
                <c:pt idx="748">
                  <c:v>138.170569627448</c:v>
                </c:pt>
                <c:pt idx="749">
                  <c:v>138.170939610104</c:v>
                </c:pt>
                <c:pt idx="750">
                  <c:v>138.171309588844</c:v>
                </c:pt>
                <c:pt idx="751">
                  <c:v>138.171679563668</c:v>
                </c:pt>
                <c:pt idx="752">
                  <c:v>138.172049534576</c:v>
                </c:pt>
                <c:pt idx="753">
                  <c:v>138.172419501568</c:v>
                </c:pt>
                <c:pt idx="754">
                  <c:v>138.172789464644</c:v>
                </c:pt>
                <c:pt idx="755">
                  <c:v>138.173159423804</c:v>
                </c:pt>
                <c:pt idx="756">
                  <c:v>138.173529379048</c:v>
                </c:pt>
                <c:pt idx="757">
                  <c:v>138.173899330375</c:v>
                </c:pt>
                <c:pt idx="758">
                  <c:v>138.174269277787</c:v>
                </c:pt>
                <c:pt idx="759">
                  <c:v>138.174639221282</c:v>
                </c:pt>
                <c:pt idx="760">
                  <c:v>138.175009160862</c:v>
                </c:pt>
                <c:pt idx="761">
                  <c:v>138.175379096526</c:v>
                </c:pt>
                <c:pt idx="762">
                  <c:v>138.175749028273</c:v>
                </c:pt>
                <c:pt idx="763">
                  <c:v>138.176118956105</c:v>
                </c:pt>
                <c:pt idx="764">
                  <c:v>138.176488880021</c:v>
                </c:pt>
                <c:pt idx="765">
                  <c:v>138.17685880002</c:v>
                </c:pt>
                <c:pt idx="766">
                  <c:v>138.177228716104</c:v>
                </c:pt>
                <c:pt idx="767">
                  <c:v>138.177598628272</c:v>
                </c:pt>
                <c:pt idx="768">
                  <c:v>138.177968536524</c:v>
                </c:pt>
                <c:pt idx="769">
                  <c:v>138.17833844086</c:v>
                </c:pt>
                <c:pt idx="770">
                  <c:v>138.17870834128</c:v>
                </c:pt>
                <c:pt idx="771">
                  <c:v>138.179078237785</c:v>
                </c:pt>
                <c:pt idx="772">
                  <c:v>138.179448130373</c:v>
                </c:pt>
                <c:pt idx="773">
                  <c:v>138.179818019045</c:v>
                </c:pt>
                <c:pt idx="774">
                  <c:v>138.180187903802</c:v>
                </c:pt>
                <c:pt idx="775">
                  <c:v>138.180557784643</c:v>
                </c:pt>
                <c:pt idx="776">
                  <c:v>138.180927661568</c:v>
                </c:pt>
                <c:pt idx="777">
                  <c:v>138.181297534577</c:v>
                </c:pt>
                <c:pt idx="778">
                  <c:v>138.18166740367</c:v>
                </c:pt>
                <c:pt idx="779">
                  <c:v>138.182037268848</c:v>
                </c:pt>
                <c:pt idx="780">
                  <c:v>138.18240713011</c:v>
                </c:pt>
                <c:pt idx="781">
                  <c:v>138.182776987455</c:v>
                </c:pt>
                <c:pt idx="782">
                  <c:v>138.183146840886</c:v>
                </c:pt>
                <c:pt idx="783">
                  <c:v>138.1835166904</c:v>
                </c:pt>
                <c:pt idx="784">
                  <c:v>138.183886535999</c:v>
                </c:pt>
                <c:pt idx="785">
                  <c:v>138.184256377682</c:v>
                </c:pt>
                <c:pt idx="786">
                  <c:v>138.184626215449</c:v>
                </c:pt>
                <c:pt idx="787">
                  <c:v>138.184996049301</c:v>
                </c:pt>
                <c:pt idx="788">
                  <c:v>138.185365879236</c:v>
                </c:pt>
                <c:pt idx="789">
                  <c:v>138.185735705257</c:v>
                </c:pt>
                <c:pt idx="790">
                  <c:v>138.186105527361</c:v>
                </c:pt>
                <c:pt idx="791">
                  <c:v>138.18647534555</c:v>
                </c:pt>
                <c:pt idx="792">
                  <c:v>138.186845159823</c:v>
                </c:pt>
                <c:pt idx="793">
                  <c:v>138.18721497018</c:v>
                </c:pt>
                <c:pt idx="794">
                  <c:v>138.187584776622</c:v>
                </c:pt>
                <c:pt idx="795">
                  <c:v>138.187954579149</c:v>
                </c:pt>
                <c:pt idx="796">
                  <c:v>138.188324377759</c:v>
                </c:pt>
                <c:pt idx="797">
                  <c:v>138.188694172454</c:v>
                </c:pt>
                <c:pt idx="798">
                  <c:v>138.189063963234</c:v>
                </c:pt>
                <c:pt idx="799">
                  <c:v>138.189433750098</c:v>
                </c:pt>
                <c:pt idx="800">
                  <c:v>138.189803533046</c:v>
                </c:pt>
                <c:pt idx="801">
                  <c:v>138.190173312079</c:v>
                </c:pt>
                <c:pt idx="802">
                  <c:v>138.190543087196</c:v>
                </c:pt>
                <c:pt idx="803">
                  <c:v>138.190912858397</c:v>
                </c:pt>
                <c:pt idx="804">
                  <c:v>138.191282625684</c:v>
                </c:pt>
                <c:pt idx="805">
                  <c:v>138.191652389054</c:v>
                </c:pt>
                <c:pt idx="806">
                  <c:v>138.192022148509</c:v>
                </c:pt>
                <c:pt idx="807">
                  <c:v>138.192391904049</c:v>
                </c:pt>
                <c:pt idx="808">
                  <c:v>138.192761655673</c:v>
                </c:pt>
                <c:pt idx="809">
                  <c:v>138.193131403382</c:v>
                </c:pt>
                <c:pt idx="810">
                  <c:v>138.193501147175</c:v>
                </c:pt>
                <c:pt idx="811">
                  <c:v>138.193870887053</c:v>
                </c:pt>
                <c:pt idx="812">
                  <c:v>138.194240623015</c:v>
                </c:pt>
                <c:pt idx="813">
                  <c:v>138.194610355062</c:v>
                </c:pt>
                <c:pt idx="814">
                  <c:v>138.194980083193</c:v>
                </c:pt>
                <c:pt idx="815">
                  <c:v>138.19534980741</c:v>
                </c:pt>
                <c:pt idx="816">
                  <c:v>138.19571952771</c:v>
                </c:pt>
                <c:pt idx="817">
                  <c:v>138.196089244096</c:v>
                </c:pt>
                <c:pt idx="818">
                  <c:v>138.196458956566</c:v>
                </c:pt>
                <c:pt idx="819">
                  <c:v>138.19682866512</c:v>
                </c:pt>
                <c:pt idx="820">
                  <c:v>138.197198369759</c:v>
                </c:pt>
                <c:pt idx="821">
                  <c:v>138.197568070483</c:v>
                </c:pt>
                <c:pt idx="822">
                  <c:v>138.197937767292</c:v>
                </c:pt>
                <c:pt idx="823">
                  <c:v>138.198307460185</c:v>
                </c:pt>
                <c:pt idx="824">
                  <c:v>138.198677149163</c:v>
                </c:pt>
                <c:pt idx="825">
                  <c:v>138.199046834226</c:v>
                </c:pt>
                <c:pt idx="826">
                  <c:v>138.199416515373</c:v>
                </c:pt>
                <c:pt idx="827">
                  <c:v>138.199786192605</c:v>
                </c:pt>
                <c:pt idx="828">
                  <c:v>138.200155865922</c:v>
                </c:pt>
                <c:pt idx="829">
                  <c:v>138.200525535324</c:v>
                </c:pt>
                <c:pt idx="830">
                  <c:v>138.20089520081</c:v>
                </c:pt>
                <c:pt idx="831">
                  <c:v>138.201264862381</c:v>
                </c:pt>
                <c:pt idx="832">
                  <c:v>138.201634520037</c:v>
                </c:pt>
                <c:pt idx="833">
                  <c:v>138.202004173778</c:v>
                </c:pt>
                <c:pt idx="834">
                  <c:v>138.202373823604</c:v>
                </c:pt>
                <c:pt idx="835">
                  <c:v>138.202743469514</c:v>
                </c:pt>
                <c:pt idx="836">
                  <c:v>138.203113111509</c:v>
                </c:pt>
                <c:pt idx="837">
                  <c:v>138.203482749589</c:v>
                </c:pt>
                <c:pt idx="838">
                  <c:v>138.203852383754</c:v>
                </c:pt>
                <c:pt idx="839">
                  <c:v>138.204222014004</c:v>
                </c:pt>
                <c:pt idx="840">
                  <c:v>138.204591640339</c:v>
                </c:pt>
                <c:pt idx="841">
                  <c:v>138.204961262758</c:v>
                </c:pt>
                <c:pt idx="842">
                  <c:v>138.205330881262</c:v>
                </c:pt>
                <c:pt idx="843">
                  <c:v>138.205700495852</c:v>
                </c:pt>
                <c:pt idx="844">
                  <c:v>138.206070106526</c:v>
                </c:pt>
                <c:pt idx="845">
                  <c:v>138.206439713285</c:v>
                </c:pt>
                <c:pt idx="846">
                  <c:v>138.206809316129</c:v>
                </c:pt>
                <c:pt idx="847">
                  <c:v>138.207178915058</c:v>
                </c:pt>
                <c:pt idx="848">
                  <c:v>138.207548510072</c:v>
                </c:pt>
                <c:pt idx="849">
                  <c:v>138.207918101171</c:v>
                </c:pt>
                <c:pt idx="850">
                  <c:v>138.208287688355</c:v>
                </c:pt>
                <c:pt idx="851">
                  <c:v>138.208657271624</c:v>
                </c:pt>
                <c:pt idx="852">
                  <c:v>138.209026850978</c:v>
                </c:pt>
                <c:pt idx="853">
                  <c:v>138.209396426417</c:v>
                </c:pt>
                <c:pt idx="854">
                  <c:v>138.209765997941</c:v>
                </c:pt>
                <c:pt idx="855">
                  <c:v>138.21013556555</c:v>
                </c:pt>
                <c:pt idx="856">
                  <c:v>138.210505129245</c:v>
                </c:pt>
                <c:pt idx="857">
                  <c:v>138.210874689024</c:v>
                </c:pt>
                <c:pt idx="858">
                  <c:v>138.211244244888</c:v>
                </c:pt>
                <c:pt idx="859">
                  <c:v>138.211613796837</c:v>
                </c:pt>
                <c:pt idx="860">
                  <c:v>138.211983344872</c:v>
                </c:pt>
                <c:pt idx="861">
                  <c:v>138.212352888991</c:v>
                </c:pt>
                <c:pt idx="862">
                  <c:v>138.212722429196</c:v>
                </c:pt>
                <c:pt idx="863">
                  <c:v>138.213091965486</c:v>
                </c:pt>
                <c:pt idx="864">
                  <c:v>138.213461497861</c:v>
                </c:pt>
                <c:pt idx="865">
                  <c:v>138.213831026321</c:v>
                </c:pt>
                <c:pt idx="866">
                  <c:v>138.214200550866</c:v>
                </c:pt>
                <c:pt idx="867">
                  <c:v>138.214570071496</c:v>
                </c:pt>
                <c:pt idx="868">
                  <c:v>138.214939588212</c:v>
                </c:pt>
                <c:pt idx="869">
                  <c:v>138.215309101013</c:v>
                </c:pt>
                <c:pt idx="870">
                  <c:v>138.215678609899</c:v>
                </c:pt>
                <c:pt idx="871">
                  <c:v>138.21604811487</c:v>
                </c:pt>
                <c:pt idx="872">
                  <c:v>138.216417615926</c:v>
                </c:pt>
                <c:pt idx="873">
                  <c:v>138.216787113068</c:v>
                </c:pt>
                <c:pt idx="874">
                  <c:v>138.217156606295</c:v>
                </c:pt>
                <c:pt idx="875">
                  <c:v>138.217526095607</c:v>
                </c:pt>
                <c:pt idx="876">
                  <c:v>138.217895581005</c:v>
                </c:pt>
                <c:pt idx="877">
                  <c:v>138.218265062487</c:v>
                </c:pt>
                <c:pt idx="878">
                  <c:v>138.218634540056</c:v>
                </c:pt>
                <c:pt idx="879">
                  <c:v>138.219004013709</c:v>
                </c:pt>
                <c:pt idx="880">
                  <c:v>138.219373483448</c:v>
                </c:pt>
                <c:pt idx="881">
                  <c:v>138.219742949271</c:v>
                </c:pt>
                <c:pt idx="882">
                  <c:v>138.220112411181</c:v>
                </c:pt>
                <c:pt idx="883">
                  <c:v>138.220481869176</c:v>
                </c:pt>
                <c:pt idx="884">
                  <c:v>138.220851323256</c:v>
                </c:pt>
                <c:pt idx="885">
                  <c:v>138.221220773421</c:v>
                </c:pt>
                <c:pt idx="886">
                  <c:v>138.221590219672</c:v>
                </c:pt>
                <c:pt idx="887">
                  <c:v>138.221959662008</c:v>
                </c:pt>
                <c:pt idx="888">
                  <c:v>138.22232910043</c:v>
                </c:pt>
                <c:pt idx="889">
                  <c:v>138.222698534937</c:v>
                </c:pt>
                <c:pt idx="890">
                  <c:v>138.223067965529</c:v>
                </c:pt>
                <c:pt idx="891">
                  <c:v>138.223437392207</c:v>
                </c:pt>
                <c:pt idx="892">
                  <c:v>138.22380681497</c:v>
                </c:pt>
                <c:pt idx="893">
                  <c:v>138.224176233819</c:v>
                </c:pt>
                <c:pt idx="894">
                  <c:v>138.224545648753</c:v>
                </c:pt>
                <c:pt idx="895">
                  <c:v>138.224915059773</c:v>
                </c:pt>
                <c:pt idx="896">
                  <c:v>138.225284466878</c:v>
                </c:pt>
                <c:pt idx="897">
                  <c:v>138.225653870069</c:v>
                </c:pt>
                <c:pt idx="898">
                  <c:v>138.226023269345</c:v>
                </c:pt>
                <c:pt idx="899">
                  <c:v>138.226392664707</c:v>
                </c:pt>
                <c:pt idx="900">
                  <c:v>138.226762056154</c:v>
                </c:pt>
                <c:pt idx="901">
                  <c:v>138.227131443687</c:v>
                </c:pt>
                <c:pt idx="902">
                  <c:v>138.227500827306</c:v>
                </c:pt>
                <c:pt idx="903">
                  <c:v>138.22787020701</c:v>
                </c:pt>
                <c:pt idx="904">
                  <c:v>138.228239582799</c:v>
                </c:pt>
                <c:pt idx="905">
                  <c:v>138.228608954675</c:v>
                </c:pt>
                <c:pt idx="906">
                  <c:v>138.228978322635</c:v>
                </c:pt>
                <c:pt idx="907">
                  <c:v>138.229347686682</c:v>
                </c:pt>
                <c:pt idx="908">
                  <c:v>138.229717046814</c:v>
                </c:pt>
                <c:pt idx="909">
                  <c:v>138.230086403032</c:v>
                </c:pt>
                <c:pt idx="910">
                  <c:v>138.230455755335</c:v>
                </c:pt>
                <c:pt idx="911">
                  <c:v>138.230825103724</c:v>
                </c:pt>
                <c:pt idx="912">
                  <c:v>138.231194448198</c:v>
                </c:pt>
                <c:pt idx="913">
                  <c:v>138.231563788759</c:v>
                </c:pt>
                <c:pt idx="914">
                  <c:v>138.231933125405</c:v>
                </c:pt>
                <c:pt idx="915">
                  <c:v>138.232302458137</c:v>
                </c:pt>
                <c:pt idx="916">
                  <c:v>138.232671786954</c:v>
                </c:pt>
                <c:pt idx="917">
                  <c:v>138.233041111857</c:v>
                </c:pt>
                <c:pt idx="918">
                  <c:v>138.233410432846</c:v>
                </c:pt>
                <c:pt idx="919">
                  <c:v>138.233779749921</c:v>
                </c:pt>
                <c:pt idx="920">
                  <c:v>138.234149063081</c:v>
                </c:pt>
                <c:pt idx="921">
                  <c:v>138.234518372327</c:v>
                </c:pt>
                <c:pt idx="922">
                  <c:v>138.234887677659</c:v>
                </c:pt>
                <c:pt idx="923">
                  <c:v>138.235256979077</c:v>
                </c:pt>
                <c:pt idx="924">
                  <c:v>138.235626276581</c:v>
                </c:pt>
                <c:pt idx="925">
                  <c:v>138.23599557017</c:v>
                </c:pt>
                <c:pt idx="926">
                  <c:v>138.236364859845</c:v>
                </c:pt>
                <c:pt idx="927">
                  <c:v>138.236734145606</c:v>
                </c:pt>
                <c:pt idx="928">
                  <c:v>138.237103427453</c:v>
                </c:pt>
                <c:pt idx="929">
                  <c:v>138.237472705386</c:v>
                </c:pt>
                <c:pt idx="930">
                  <c:v>138.237841979405</c:v>
                </c:pt>
                <c:pt idx="931">
                  <c:v>138.238211249509</c:v>
                </c:pt>
                <c:pt idx="932">
                  <c:v>138.238580515699</c:v>
                </c:pt>
                <c:pt idx="933">
                  <c:v>138.238949777976</c:v>
                </c:pt>
                <c:pt idx="934">
                  <c:v>138.239319036338</c:v>
                </c:pt>
                <c:pt idx="935">
                  <c:v>138.239688290786</c:v>
                </c:pt>
                <c:pt idx="936">
                  <c:v>138.24005754132</c:v>
                </c:pt>
                <c:pt idx="937">
                  <c:v>138.24042678794</c:v>
                </c:pt>
                <c:pt idx="938">
                  <c:v>138.240796030646</c:v>
                </c:pt>
                <c:pt idx="939">
                  <c:v>138.241165269438</c:v>
                </c:pt>
                <c:pt idx="940">
                  <c:v>138.241534504316</c:v>
                </c:pt>
                <c:pt idx="941">
                  <c:v>138.24190373528</c:v>
                </c:pt>
                <c:pt idx="942">
                  <c:v>138.24227296233</c:v>
                </c:pt>
                <c:pt idx="943">
                  <c:v>138.242642185466</c:v>
                </c:pt>
                <c:pt idx="944">
                  <c:v>138.243011404688</c:v>
                </c:pt>
                <c:pt idx="945">
                  <c:v>138.243380619996</c:v>
                </c:pt>
                <c:pt idx="946">
                  <c:v>138.24374983139</c:v>
                </c:pt>
                <c:pt idx="947">
                  <c:v>138.24411903887</c:v>
                </c:pt>
                <c:pt idx="948">
                  <c:v>138.244488242436</c:v>
                </c:pt>
                <c:pt idx="949">
                  <c:v>138.244857442089</c:v>
                </c:pt>
                <c:pt idx="950">
                  <c:v>138.245226637827</c:v>
                </c:pt>
                <c:pt idx="951">
                  <c:v>138.245595829651</c:v>
                </c:pt>
                <c:pt idx="952">
                  <c:v>138.245965017562</c:v>
                </c:pt>
                <c:pt idx="953">
                  <c:v>138.246334201559</c:v>
                </c:pt>
                <c:pt idx="954">
                  <c:v>138.246703381642</c:v>
                </c:pt>
                <c:pt idx="955">
                  <c:v>138.247072557811</c:v>
                </c:pt>
                <c:pt idx="956">
                  <c:v>138.247441730066</c:v>
                </c:pt>
                <c:pt idx="957">
                  <c:v>138.247810898407</c:v>
                </c:pt>
                <c:pt idx="958">
                  <c:v>138.248180062834</c:v>
                </c:pt>
                <c:pt idx="959">
                  <c:v>138.248549223348</c:v>
                </c:pt>
                <c:pt idx="960">
                  <c:v>138.248918379948</c:v>
                </c:pt>
                <c:pt idx="961">
                  <c:v>138.249287532634</c:v>
                </c:pt>
                <c:pt idx="962">
                  <c:v>138.249656681407</c:v>
                </c:pt>
                <c:pt idx="963">
                  <c:v>138.250025826265</c:v>
                </c:pt>
                <c:pt idx="964">
                  <c:v>138.25039496721</c:v>
                </c:pt>
                <c:pt idx="965">
                  <c:v>138.250764104241</c:v>
                </c:pt>
                <c:pt idx="966">
                  <c:v>138.251133237358</c:v>
                </c:pt>
                <c:pt idx="967">
                  <c:v>138.251502366562</c:v>
                </c:pt>
                <c:pt idx="968">
                  <c:v>138.251871491852</c:v>
                </c:pt>
                <c:pt idx="969">
                  <c:v>138.252240613228</c:v>
                </c:pt>
                <c:pt idx="970">
                  <c:v>138.252609730691</c:v>
                </c:pt>
                <c:pt idx="971">
                  <c:v>138.25297884424</c:v>
                </c:pt>
                <c:pt idx="972">
                  <c:v>138.253347953875</c:v>
                </c:pt>
                <c:pt idx="973">
                  <c:v>138.253717059596</c:v>
                </c:pt>
                <c:pt idx="974">
                  <c:v>138.254086161404</c:v>
                </c:pt>
                <c:pt idx="975">
                  <c:v>138.254455259298</c:v>
                </c:pt>
                <c:pt idx="976">
                  <c:v>138.254824353279</c:v>
                </c:pt>
                <c:pt idx="977">
                  <c:v>138.255193443346</c:v>
                </c:pt>
                <c:pt idx="978">
                  <c:v>138.2555625295</c:v>
                </c:pt>
                <c:pt idx="979">
                  <c:v>138.255931611739</c:v>
                </c:pt>
                <c:pt idx="980">
                  <c:v>138.256300690066</c:v>
                </c:pt>
                <c:pt idx="981">
                  <c:v>138.256669764478</c:v>
                </c:pt>
                <c:pt idx="982">
                  <c:v>138.257038834978</c:v>
                </c:pt>
                <c:pt idx="983">
                  <c:v>138.257407901563</c:v>
                </c:pt>
                <c:pt idx="984">
                  <c:v>138.257776964235</c:v>
                </c:pt>
                <c:pt idx="985">
                  <c:v>138.258146022994</c:v>
                </c:pt>
                <c:pt idx="986">
                  <c:v>138.258515077839</c:v>
                </c:pt>
                <c:pt idx="987">
                  <c:v>138.258884128771</c:v>
                </c:pt>
                <c:pt idx="988">
                  <c:v>138.259253175789</c:v>
                </c:pt>
                <c:pt idx="989">
                  <c:v>138.259622218893</c:v>
                </c:pt>
                <c:pt idx="990">
                  <c:v>138.259991258084</c:v>
                </c:pt>
                <c:pt idx="991">
                  <c:v>138.260360293362</c:v>
                </c:pt>
                <c:pt idx="992">
                  <c:v>138.260729324726</c:v>
                </c:pt>
                <c:pt idx="993">
                  <c:v>138.261098352177</c:v>
                </c:pt>
                <c:pt idx="994">
                  <c:v>138.261467375715</c:v>
                </c:pt>
                <c:pt idx="995">
                  <c:v>138.261836395339</c:v>
                </c:pt>
                <c:pt idx="996">
                  <c:v>138.262205411049</c:v>
                </c:pt>
                <c:pt idx="997">
                  <c:v>138.262574422846</c:v>
                </c:pt>
                <c:pt idx="998">
                  <c:v>138.26294343073</c:v>
                </c:pt>
                <c:pt idx="999">
                  <c:v>138.263312434701</c:v>
                </c:pt>
                <c:pt idx="1000">
                  <c:v>138.263681434758</c:v>
                </c:pt>
              </c:numCache>
            </c:numRef>
          </c:yVal>
          <c:smooth val="0"/>
        </c:ser>
        <c:axId val="28086125"/>
        <c:axId val="46490239"/>
      </c:scatterChart>
      <c:valAx>
        <c:axId val="28086125"/>
        <c:scaling>
          <c:orientation val="minMax"/>
        </c:scaling>
        <c:delete val="0"/>
        <c:axPos val="b"/>
        <c:majorGridlines>
          <c:spPr>
            <a:ln w="3240">
              <a:solidFill>
                <a:srgbClr val="000000"/>
              </a:solidFill>
              <a:prstDash val="sysDash"/>
              <a:round/>
            </a:ln>
          </c:spPr>
        </c:majorGridlines>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46490239"/>
        <c:crosses val="autoZero"/>
        <c:crossBetween val="midCat"/>
      </c:valAx>
      <c:valAx>
        <c:axId val="46490239"/>
        <c:scaling>
          <c:orientation val="minMax"/>
        </c:scaling>
        <c:delete val="0"/>
        <c:axPos val="l"/>
        <c:majorGridlines>
          <c:spPr>
            <a:ln w="3240">
              <a:solidFill>
                <a:srgbClr val="000000"/>
              </a:solidFill>
              <a:prstDash val="sysDash"/>
              <a:round/>
            </a:ln>
          </c:spPr>
        </c:majorGridlines>
        <c:title>
          <c:tx>
            <c:rich>
              <a:bodyPr rot="-5400000"/>
              <a:lstStyle/>
              <a:p>
                <a:pPr>
                  <a:defRPr b="1" sz="1000" spc="-1" strike="noStrike">
                    <a:solidFill>
                      <a:srgbClr val="000000"/>
                    </a:solidFill>
                    <a:latin typeface="Arial"/>
                    <a:ea typeface="Arial"/>
                  </a:defRPr>
                </a:pPr>
                <a:r>
                  <a:rPr b="1" sz="1000" spc="-1" strike="noStrike">
                    <a:solidFill>
                      <a:srgbClr val="000000"/>
                    </a:solidFill>
                    <a:latin typeface="Arial"/>
                    <a:ea typeface="Arial"/>
                  </a:rPr>
                  <a:t>Vitesse [m/s]</a:t>
                </a:r>
              </a:p>
            </c:rich>
          </c:tx>
          <c:layout>
            <c:manualLayout>
              <c:xMode val="edge"/>
              <c:yMode val="edge"/>
              <c:x val="0.0259787118888688"/>
              <c:y val="0.228608923884514"/>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28086125"/>
        <c:crosses val="autoZero"/>
        <c:crossBetween val="midCat"/>
      </c:valAx>
      <c:spPr>
        <a:noFill/>
        <a:ln w="12600">
          <a:solidFill>
            <a:srgbClr val="808080"/>
          </a:solidFill>
          <a:round/>
        </a:ln>
      </c:spPr>
    </c:plotArea>
    <c:legend>
      <c:legendPos val="r"/>
      <c:layout>
        <c:manualLayout>
          <c:xMode val="edge"/>
          <c:yMode val="edge"/>
          <c:x val="0.81839684544149"/>
          <c:y val="0.4644447944007"/>
          <c:w val="0.132075595503392"/>
          <c:h val="0.077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Accélérations</a:t>
            </a:r>
          </a:p>
        </c:rich>
      </c:tx>
      <c:overlay val="0"/>
      <c:spPr>
        <a:noFill/>
        <a:ln w="0">
          <a:noFill/>
        </a:ln>
      </c:spPr>
    </c:title>
    <c:autoTitleDeleted val="0"/>
    <c:plotArea>
      <c:layout>
        <c:manualLayout>
          <c:layoutTarget val="inner"/>
          <c:xMode val="edge"/>
          <c:yMode val="edge"/>
          <c:x val="0.0943532383186"/>
          <c:y val="0.094750656167979"/>
          <c:w val="0.886749052859462"/>
          <c:h val="0.816929133858268"/>
        </c:manualLayout>
      </c:layout>
      <c:scatterChart>
        <c:scatterStyle val="line"/>
        <c:varyColors val="0"/>
        <c:ser>
          <c:idx val="0"/>
          <c:order val="0"/>
          <c:tx>
            <c:strRef>
              <c:f>Courbes!$B$137</c:f>
              <c:strCache>
                <c:ptCount val="1"/>
                <c:pt idx="0">
                  <c:v>Accélération longitudinale</c:v>
                </c:pt>
              </c:strCache>
            </c:strRef>
          </c:tx>
          <c:spPr>
            <a:solidFill>
              <a:srgbClr val="800000"/>
            </a:solidFill>
            <a:ln w="25560">
              <a:solidFill>
                <a:srgbClr val="80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34.8000000000002</c:v>
                </c:pt>
                <c:pt idx="709">
                  <c:v>34.9000000000002</c:v>
                </c:pt>
                <c:pt idx="710">
                  <c:v>35.0000000000002</c:v>
                </c:pt>
                <c:pt idx="711">
                  <c:v>35.1000000000002</c:v>
                </c:pt>
                <c:pt idx="712">
                  <c:v>35.2000000000002</c:v>
                </c:pt>
                <c:pt idx="713">
                  <c:v>35.3000000000002</c:v>
                </c:pt>
                <c:pt idx="714">
                  <c:v>35.4000000000002</c:v>
                </c:pt>
                <c:pt idx="715">
                  <c:v>35.5000000000002</c:v>
                </c:pt>
                <c:pt idx="716">
                  <c:v>35.6000000000002</c:v>
                </c:pt>
                <c:pt idx="717">
                  <c:v>35.7000000000002</c:v>
                </c:pt>
                <c:pt idx="718">
                  <c:v>35.7001000000002</c:v>
                </c:pt>
                <c:pt idx="719">
                  <c:v>35.7002000000002</c:v>
                </c:pt>
                <c:pt idx="720">
                  <c:v>35.7003000000002</c:v>
                </c:pt>
                <c:pt idx="721">
                  <c:v>35.7004000000002</c:v>
                </c:pt>
                <c:pt idx="722">
                  <c:v>35.7005000000002</c:v>
                </c:pt>
                <c:pt idx="723">
                  <c:v>35.7006000000002</c:v>
                </c:pt>
                <c:pt idx="724">
                  <c:v>35.7007000000002</c:v>
                </c:pt>
                <c:pt idx="725">
                  <c:v>35.7008000000002</c:v>
                </c:pt>
                <c:pt idx="726">
                  <c:v>35.7009000000002</c:v>
                </c:pt>
                <c:pt idx="727">
                  <c:v>35.7010000000002</c:v>
                </c:pt>
                <c:pt idx="728">
                  <c:v>35.7011000000002</c:v>
                </c:pt>
                <c:pt idx="729">
                  <c:v>35.7012000000002</c:v>
                </c:pt>
                <c:pt idx="730">
                  <c:v>35.7013000000002</c:v>
                </c:pt>
                <c:pt idx="731">
                  <c:v>35.7014000000002</c:v>
                </c:pt>
                <c:pt idx="732">
                  <c:v>35.7015000000002</c:v>
                </c:pt>
                <c:pt idx="733">
                  <c:v>35.7016000000003</c:v>
                </c:pt>
                <c:pt idx="734">
                  <c:v>35.7017000000003</c:v>
                </c:pt>
                <c:pt idx="735">
                  <c:v>35.7018000000003</c:v>
                </c:pt>
                <c:pt idx="736">
                  <c:v>35.7019000000003</c:v>
                </c:pt>
                <c:pt idx="737">
                  <c:v>35.7020000000003</c:v>
                </c:pt>
                <c:pt idx="738">
                  <c:v>35.7021000000003</c:v>
                </c:pt>
                <c:pt idx="739">
                  <c:v>35.7022000000003</c:v>
                </c:pt>
                <c:pt idx="740">
                  <c:v>35.7023000000003</c:v>
                </c:pt>
                <c:pt idx="741">
                  <c:v>35.7024000000003</c:v>
                </c:pt>
                <c:pt idx="742">
                  <c:v>35.7025000000003</c:v>
                </c:pt>
                <c:pt idx="743">
                  <c:v>35.7026000000003</c:v>
                </c:pt>
                <c:pt idx="744">
                  <c:v>35.7027000000003</c:v>
                </c:pt>
                <c:pt idx="745">
                  <c:v>35.7028000000003</c:v>
                </c:pt>
                <c:pt idx="746">
                  <c:v>35.7029000000003</c:v>
                </c:pt>
                <c:pt idx="747">
                  <c:v>35.7030000000003</c:v>
                </c:pt>
                <c:pt idx="748">
                  <c:v>35.7031000000003</c:v>
                </c:pt>
                <c:pt idx="749">
                  <c:v>35.7032000000003</c:v>
                </c:pt>
                <c:pt idx="750">
                  <c:v>35.7033000000003</c:v>
                </c:pt>
                <c:pt idx="751">
                  <c:v>35.7034000000003</c:v>
                </c:pt>
                <c:pt idx="752">
                  <c:v>35.7035000000003</c:v>
                </c:pt>
                <c:pt idx="753">
                  <c:v>35.7036000000003</c:v>
                </c:pt>
                <c:pt idx="754">
                  <c:v>35.7037000000003</c:v>
                </c:pt>
                <c:pt idx="755">
                  <c:v>35.7038000000003</c:v>
                </c:pt>
                <c:pt idx="756">
                  <c:v>35.7039000000003</c:v>
                </c:pt>
                <c:pt idx="757">
                  <c:v>35.7040000000003</c:v>
                </c:pt>
                <c:pt idx="758">
                  <c:v>35.7041000000003</c:v>
                </c:pt>
                <c:pt idx="759">
                  <c:v>35.7042000000003</c:v>
                </c:pt>
                <c:pt idx="760">
                  <c:v>35.7043000000003</c:v>
                </c:pt>
                <c:pt idx="761">
                  <c:v>35.7044000000003</c:v>
                </c:pt>
                <c:pt idx="762">
                  <c:v>35.7045000000003</c:v>
                </c:pt>
                <c:pt idx="763">
                  <c:v>35.7046000000004</c:v>
                </c:pt>
                <c:pt idx="764">
                  <c:v>35.7047000000004</c:v>
                </c:pt>
                <c:pt idx="765">
                  <c:v>35.7048000000004</c:v>
                </c:pt>
                <c:pt idx="766">
                  <c:v>35.7049000000004</c:v>
                </c:pt>
                <c:pt idx="767">
                  <c:v>35.7050000000004</c:v>
                </c:pt>
                <c:pt idx="768">
                  <c:v>35.7051000000004</c:v>
                </c:pt>
                <c:pt idx="769">
                  <c:v>35.7052000000004</c:v>
                </c:pt>
                <c:pt idx="770">
                  <c:v>35.7053000000004</c:v>
                </c:pt>
                <c:pt idx="771">
                  <c:v>35.7054000000004</c:v>
                </c:pt>
                <c:pt idx="772">
                  <c:v>35.7055000000004</c:v>
                </c:pt>
                <c:pt idx="773">
                  <c:v>35.7056000000004</c:v>
                </c:pt>
                <c:pt idx="774">
                  <c:v>35.7057000000004</c:v>
                </c:pt>
                <c:pt idx="775">
                  <c:v>35.7058000000004</c:v>
                </c:pt>
                <c:pt idx="776">
                  <c:v>35.7059000000004</c:v>
                </c:pt>
                <c:pt idx="777">
                  <c:v>35.7060000000004</c:v>
                </c:pt>
                <c:pt idx="778">
                  <c:v>35.7061000000004</c:v>
                </c:pt>
                <c:pt idx="779">
                  <c:v>35.7062000000004</c:v>
                </c:pt>
                <c:pt idx="780">
                  <c:v>35.7063000000004</c:v>
                </c:pt>
                <c:pt idx="781">
                  <c:v>35.7064000000004</c:v>
                </c:pt>
                <c:pt idx="782">
                  <c:v>35.7065000000004</c:v>
                </c:pt>
                <c:pt idx="783">
                  <c:v>35.7066000000004</c:v>
                </c:pt>
                <c:pt idx="784">
                  <c:v>35.7067000000004</c:v>
                </c:pt>
                <c:pt idx="785">
                  <c:v>35.7068000000004</c:v>
                </c:pt>
                <c:pt idx="786">
                  <c:v>35.7069000000004</c:v>
                </c:pt>
                <c:pt idx="787">
                  <c:v>35.7070000000004</c:v>
                </c:pt>
                <c:pt idx="788">
                  <c:v>35.7071000000004</c:v>
                </c:pt>
                <c:pt idx="789">
                  <c:v>35.7072000000004</c:v>
                </c:pt>
                <c:pt idx="790">
                  <c:v>35.7073000000004</c:v>
                </c:pt>
                <c:pt idx="791">
                  <c:v>35.7074000000004</c:v>
                </c:pt>
                <c:pt idx="792">
                  <c:v>35.7075000000004</c:v>
                </c:pt>
                <c:pt idx="793">
                  <c:v>35.7076000000005</c:v>
                </c:pt>
                <c:pt idx="794">
                  <c:v>35.7077000000005</c:v>
                </c:pt>
                <c:pt idx="795">
                  <c:v>35.7078000000005</c:v>
                </c:pt>
                <c:pt idx="796">
                  <c:v>35.7079000000005</c:v>
                </c:pt>
                <c:pt idx="797">
                  <c:v>35.7080000000005</c:v>
                </c:pt>
                <c:pt idx="798">
                  <c:v>35.7081000000005</c:v>
                </c:pt>
                <c:pt idx="799">
                  <c:v>35.7082000000005</c:v>
                </c:pt>
                <c:pt idx="800">
                  <c:v>35.7083000000005</c:v>
                </c:pt>
                <c:pt idx="801">
                  <c:v>35.7084000000005</c:v>
                </c:pt>
                <c:pt idx="802">
                  <c:v>35.7085000000005</c:v>
                </c:pt>
                <c:pt idx="803">
                  <c:v>35.7086000000005</c:v>
                </c:pt>
                <c:pt idx="804">
                  <c:v>35.7087000000005</c:v>
                </c:pt>
                <c:pt idx="805">
                  <c:v>35.7088000000005</c:v>
                </c:pt>
                <c:pt idx="806">
                  <c:v>35.7089000000005</c:v>
                </c:pt>
                <c:pt idx="807">
                  <c:v>35.7090000000005</c:v>
                </c:pt>
                <c:pt idx="808">
                  <c:v>35.7091000000005</c:v>
                </c:pt>
                <c:pt idx="809">
                  <c:v>35.7092000000005</c:v>
                </c:pt>
                <c:pt idx="810">
                  <c:v>35.7093000000005</c:v>
                </c:pt>
                <c:pt idx="811">
                  <c:v>35.7094000000005</c:v>
                </c:pt>
                <c:pt idx="812">
                  <c:v>35.7095000000005</c:v>
                </c:pt>
                <c:pt idx="813">
                  <c:v>35.7096000000005</c:v>
                </c:pt>
                <c:pt idx="814">
                  <c:v>35.7097000000005</c:v>
                </c:pt>
                <c:pt idx="815">
                  <c:v>35.7098000000005</c:v>
                </c:pt>
                <c:pt idx="816">
                  <c:v>35.7099000000005</c:v>
                </c:pt>
                <c:pt idx="817">
                  <c:v>35.7100000000005</c:v>
                </c:pt>
                <c:pt idx="818">
                  <c:v>35.7101000000005</c:v>
                </c:pt>
                <c:pt idx="819">
                  <c:v>35.7102000000005</c:v>
                </c:pt>
                <c:pt idx="820">
                  <c:v>35.7103000000005</c:v>
                </c:pt>
                <c:pt idx="821">
                  <c:v>35.7104000000005</c:v>
                </c:pt>
                <c:pt idx="822">
                  <c:v>35.7105000000005</c:v>
                </c:pt>
                <c:pt idx="823">
                  <c:v>35.7106000000006</c:v>
                </c:pt>
                <c:pt idx="824">
                  <c:v>35.7107000000006</c:v>
                </c:pt>
                <c:pt idx="825">
                  <c:v>35.7108000000006</c:v>
                </c:pt>
                <c:pt idx="826">
                  <c:v>35.7109000000006</c:v>
                </c:pt>
                <c:pt idx="827">
                  <c:v>35.7110000000006</c:v>
                </c:pt>
                <c:pt idx="828">
                  <c:v>35.7111000000006</c:v>
                </c:pt>
                <c:pt idx="829">
                  <c:v>35.7112000000006</c:v>
                </c:pt>
                <c:pt idx="830">
                  <c:v>35.7113000000006</c:v>
                </c:pt>
                <c:pt idx="831">
                  <c:v>35.7114000000006</c:v>
                </c:pt>
                <c:pt idx="832">
                  <c:v>35.7115000000006</c:v>
                </c:pt>
                <c:pt idx="833">
                  <c:v>35.7116000000006</c:v>
                </c:pt>
                <c:pt idx="834">
                  <c:v>35.7117000000006</c:v>
                </c:pt>
                <c:pt idx="835">
                  <c:v>35.7118000000006</c:v>
                </c:pt>
                <c:pt idx="836">
                  <c:v>35.7119000000006</c:v>
                </c:pt>
                <c:pt idx="837">
                  <c:v>35.7120000000006</c:v>
                </c:pt>
                <c:pt idx="838">
                  <c:v>35.7121000000006</c:v>
                </c:pt>
                <c:pt idx="839">
                  <c:v>35.7122000000006</c:v>
                </c:pt>
                <c:pt idx="840">
                  <c:v>35.7123000000006</c:v>
                </c:pt>
                <c:pt idx="841">
                  <c:v>35.7124000000006</c:v>
                </c:pt>
                <c:pt idx="842">
                  <c:v>35.7125000000006</c:v>
                </c:pt>
                <c:pt idx="843">
                  <c:v>35.7126000000006</c:v>
                </c:pt>
                <c:pt idx="844">
                  <c:v>35.7127000000006</c:v>
                </c:pt>
                <c:pt idx="845">
                  <c:v>35.7128000000006</c:v>
                </c:pt>
                <c:pt idx="846">
                  <c:v>35.7129000000006</c:v>
                </c:pt>
                <c:pt idx="847">
                  <c:v>35.7130000000006</c:v>
                </c:pt>
                <c:pt idx="848">
                  <c:v>35.7131000000006</c:v>
                </c:pt>
                <c:pt idx="849">
                  <c:v>35.7132000000006</c:v>
                </c:pt>
                <c:pt idx="850">
                  <c:v>35.7133000000006</c:v>
                </c:pt>
                <c:pt idx="851">
                  <c:v>35.7134000000006</c:v>
                </c:pt>
                <c:pt idx="852">
                  <c:v>35.7135000000006</c:v>
                </c:pt>
                <c:pt idx="853">
                  <c:v>35.7136000000006</c:v>
                </c:pt>
                <c:pt idx="854">
                  <c:v>35.7137000000007</c:v>
                </c:pt>
                <c:pt idx="855">
                  <c:v>35.7138000000007</c:v>
                </c:pt>
                <c:pt idx="856">
                  <c:v>35.7139000000007</c:v>
                </c:pt>
                <c:pt idx="857">
                  <c:v>35.7140000000007</c:v>
                </c:pt>
                <c:pt idx="858">
                  <c:v>35.7141000000007</c:v>
                </c:pt>
                <c:pt idx="859">
                  <c:v>35.7142000000007</c:v>
                </c:pt>
                <c:pt idx="860">
                  <c:v>35.7143000000007</c:v>
                </c:pt>
                <c:pt idx="861">
                  <c:v>35.7144000000007</c:v>
                </c:pt>
                <c:pt idx="862">
                  <c:v>35.7145000000007</c:v>
                </c:pt>
                <c:pt idx="863">
                  <c:v>35.7146000000007</c:v>
                </c:pt>
                <c:pt idx="864">
                  <c:v>35.7147000000007</c:v>
                </c:pt>
                <c:pt idx="865">
                  <c:v>35.7148000000007</c:v>
                </c:pt>
                <c:pt idx="866">
                  <c:v>35.7149000000007</c:v>
                </c:pt>
                <c:pt idx="867">
                  <c:v>35.7150000000007</c:v>
                </c:pt>
                <c:pt idx="868">
                  <c:v>35.7151000000007</c:v>
                </c:pt>
                <c:pt idx="869">
                  <c:v>35.7152000000007</c:v>
                </c:pt>
                <c:pt idx="870">
                  <c:v>35.7153000000007</c:v>
                </c:pt>
                <c:pt idx="871">
                  <c:v>35.7154000000007</c:v>
                </c:pt>
                <c:pt idx="872">
                  <c:v>35.7155000000007</c:v>
                </c:pt>
                <c:pt idx="873">
                  <c:v>35.7156000000007</c:v>
                </c:pt>
                <c:pt idx="874">
                  <c:v>35.7157000000007</c:v>
                </c:pt>
                <c:pt idx="875">
                  <c:v>35.7158000000007</c:v>
                </c:pt>
                <c:pt idx="876">
                  <c:v>35.7159000000007</c:v>
                </c:pt>
                <c:pt idx="877">
                  <c:v>35.7160000000007</c:v>
                </c:pt>
                <c:pt idx="878">
                  <c:v>35.7161000000007</c:v>
                </c:pt>
                <c:pt idx="879">
                  <c:v>35.7162000000007</c:v>
                </c:pt>
                <c:pt idx="880">
                  <c:v>35.7163000000007</c:v>
                </c:pt>
                <c:pt idx="881">
                  <c:v>35.7164000000007</c:v>
                </c:pt>
                <c:pt idx="882">
                  <c:v>35.7165000000007</c:v>
                </c:pt>
                <c:pt idx="883">
                  <c:v>35.7166000000007</c:v>
                </c:pt>
                <c:pt idx="884">
                  <c:v>35.7167000000008</c:v>
                </c:pt>
                <c:pt idx="885">
                  <c:v>35.7168000000008</c:v>
                </c:pt>
                <c:pt idx="886">
                  <c:v>35.7169000000008</c:v>
                </c:pt>
                <c:pt idx="887">
                  <c:v>35.7170000000008</c:v>
                </c:pt>
                <c:pt idx="888">
                  <c:v>35.7171000000008</c:v>
                </c:pt>
                <c:pt idx="889">
                  <c:v>35.7172000000008</c:v>
                </c:pt>
                <c:pt idx="890">
                  <c:v>35.7173000000008</c:v>
                </c:pt>
                <c:pt idx="891">
                  <c:v>35.7174000000008</c:v>
                </c:pt>
                <c:pt idx="892">
                  <c:v>35.7175000000008</c:v>
                </c:pt>
                <c:pt idx="893">
                  <c:v>35.7176000000008</c:v>
                </c:pt>
                <c:pt idx="894">
                  <c:v>35.7177000000008</c:v>
                </c:pt>
                <c:pt idx="895">
                  <c:v>35.7178000000008</c:v>
                </c:pt>
                <c:pt idx="896">
                  <c:v>35.7179000000008</c:v>
                </c:pt>
                <c:pt idx="897">
                  <c:v>35.7180000000008</c:v>
                </c:pt>
                <c:pt idx="898">
                  <c:v>35.7181000000008</c:v>
                </c:pt>
                <c:pt idx="899">
                  <c:v>35.7182000000008</c:v>
                </c:pt>
                <c:pt idx="900">
                  <c:v>35.7183000000008</c:v>
                </c:pt>
                <c:pt idx="901">
                  <c:v>35.7184000000008</c:v>
                </c:pt>
                <c:pt idx="902">
                  <c:v>35.7185000000008</c:v>
                </c:pt>
                <c:pt idx="903">
                  <c:v>35.7186000000008</c:v>
                </c:pt>
                <c:pt idx="904">
                  <c:v>35.7187000000008</c:v>
                </c:pt>
                <c:pt idx="905">
                  <c:v>35.7188000000008</c:v>
                </c:pt>
                <c:pt idx="906">
                  <c:v>35.7189000000008</c:v>
                </c:pt>
                <c:pt idx="907">
                  <c:v>35.7190000000008</c:v>
                </c:pt>
                <c:pt idx="908">
                  <c:v>35.7191000000008</c:v>
                </c:pt>
                <c:pt idx="909">
                  <c:v>35.7192000000008</c:v>
                </c:pt>
                <c:pt idx="910">
                  <c:v>35.7193000000008</c:v>
                </c:pt>
                <c:pt idx="911">
                  <c:v>35.7194000000008</c:v>
                </c:pt>
                <c:pt idx="912">
                  <c:v>35.7195000000008</c:v>
                </c:pt>
                <c:pt idx="913">
                  <c:v>35.7196000000008</c:v>
                </c:pt>
                <c:pt idx="914">
                  <c:v>35.7197000000009</c:v>
                </c:pt>
                <c:pt idx="915">
                  <c:v>35.7198000000009</c:v>
                </c:pt>
                <c:pt idx="916">
                  <c:v>35.7199000000009</c:v>
                </c:pt>
                <c:pt idx="917">
                  <c:v>35.7200000000009</c:v>
                </c:pt>
                <c:pt idx="918">
                  <c:v>35.7201000000009</c:v>
                </c:pt>
                <c:pt idx="919">
                  <c:v>35.7202000000009</c:v>
                </c:pt>
                <c:pt idx="920">
                  <c:v>35.7203000000009</c:v>
                </c:pt>
                <c:pt idx="921">
                  <c:v>35.7204000000009</c:v>
                </c:pt>
                <c:pt idx="922">
                  <c:v>35.7205000000009</c:v>
                </c:pt>
                <c:pt idx="923">
                  <c:v>35.7206000000009</c:v>
                </c:pt>
                <c:pt idx="924">
                  <c:v>35.7207000000009</c:v>
                </c:pt>
                <c:pt idx="925">
                  <c:v>35.7208000000009</c:v>
                </c:pt>
                <c:pt idx="926">
                  <c:v>35.7209000000009</c:v>
                </c:pt>
                <c:pt idx="927">
                  <c:v>35.7210000000009</c:v>
                </c:pt>
                <c:pt idx="928">
                  <c:v>35.7211000000009</c:v>
                </c:pt>
                <c:pt idx="929">
                  <c:v>35.7212000000009</c:v>
                </c:pt>
                <c:pt idx="930">
                  <c:v>35.7213000000009</c:v>
                </c:pt>
                <c:pt idx="931">
                  <c:v>35.7214000000009</c:v>
                </c:pt>
                <c:pt idx="932">
                  <c:v>35.7215000000009</c:v>
                </c:pt>
                <c:pt idx="933">
                  <c:v>35.7216000000009</c:v>
                </c:pt>
                <c:pt idx="934">
                  <c:v>35.7217000000009</c:v>
                </c:pt>
                <c:pt idx="935">
                  <c:v>35.7218000000009</c:v>
                </c:pt>
                <c:pt idx="936">
                  <c:v>35.7219000000009</c:v>
                </c:pt>
                <c:pt idx="937">
                  <c:v>35.7220000000009</c:v>
                </c:pt>
                <c:pt idx="938">
                  <c:v>35.7221000000009</c:v>
                </c:pt>
                <c:pt idx="939">
                  <c:v>35.7222000000009</c:v>
                </c:pt>
                <c:pt idx="940">
                  <c:v>35.7223000000009</c:v>
                </c:pt>
                <c:pt idx="941">
                  <c:v>35.7224000000009</c:v>
                </c:pt>
                <c:pt idx="942">
                  <c:v>35.7225000000009</c:v>
                </c:pt>
                <c:pt idx="943">
                  <c:v>35.7226000000009</c:v>
                </c:pt>
                <c:pt idx="944">
                  <c:v>35.722700000001</c:v>
                </c:pt>
                <c:pt idx="945">
                  <c:v>35.722800000001</c:v>
                </c:pt>
                <c:pt idx="946">
                  <c:v>35.722900000001</c:v>
                </c:pt>
                <c:pt idx="947">
                  <c:v>35.723000000001</c:v>
                </c:pt>
                <c:pt idx="948">
                  <c:v>35.723100000001</c:v>
                </c:pt>
                <c:pt idx="949">
                  <c:v>35.723200000001</c:v>
                </c:pt>
                <c:pt idx="950">
                  <c:v>35.723300000001</c:v>
                </c:pt>
                <c:pt idx="951">
                  <c:v>35.723400000001</c:v>
                </c:pt>
                <c:pt idx="952">
                  <c:v>35.723500000001</c:v>
                </c:pt>
                <c:pt idx="953">
                  <c:v>35.723600000001</c:v>
                </c:pt>
                <c:pt idx="954">
                  <c:v>35.723700000001</c:v>
                </c:pt>
                <c:pt idx="955">
                  <c:v>35.723800000001</c:v>
                </c:pt>
                <c:pt idx="956">
                  <c:v>35.723900000001</c:v>
                </c:pt>
                <c:pt idx="957">
                  <c:v>35.724000000001</c:v>
                </c:pt>
                <c:pt idx="958">
                  <c:v>35.724100000001</c:v>
                </c:pt>
                <c:pt idx="959">
                  <c:v>35.724200000001</c:v>
                </c:pt>
                <c:pt idx="960">
                  <c:v>35.724300000001</c:v>
                </c:pt>
                <c:pt idx="961">
                  <c:v>35.724400000001</c:v>
                </c:pt>
                <c:pt idx="962">
                  <c:v>35.724500000001</c:v>
                </c:pt>
                <c:pt idx="963">
                  <c:v>35.724600000001</c:v>
                </c:pt>
                <c:pt idx="964">
                  <c:v>35.724700000001</c:v>
                </c:pt>
                <c:pt idx="965">
                  <c:v>35.724800000001</c:v>
                </c:pt>
                <c:pt idx="966">
                  <c:v>35.724900000001</c:v>
                </c:pt>
                <c:pt idx="967">
                  <c:v>35.725000000001</c:v>
                </c:pt>
                <c:pt idx="968">
                  <c:v>35.725100000001</c:v>
                </c:pt>
                <c:pt idx="969">
                  <c:v>35.725200000001</c:v>
                </c:pt>
                <c:pt idx="970">
                  <c:v>35.725300000001</c:v>
                </c:pt>
                <c:pt idx="971">
                  <c:v>35.725400000001</c:v>
                </c:pt>
                <c:pt idx="972">
                  <c:v>35.725500000001</c:v>
                </c:pt>
                <c:pt idx="973">
                  <c:v>35.725600000001</c:v>
                </c:pt>
                <c:pt idx="974">
                  <c:v>35.7257000000011</c:v>
                </c:pt>
                <c:pt idx="975">
                  <c:v>35.7258000000011</c:v>
                </c:pt>
                <c:pt idx="976">
                  <c:v>35.7259000000011</c:v>
                </c:pt>
                <c:pt idx="977">
                  <c:v>35.7260000000011</c:v>
                </c:pt>
                <c:pt idx="978">
                  <c:v>35.7261000000011</c:v>
                </c:pt>
                <c:pt idx="979">
                  <c:v>35.7262000000011</c:v>
                </c:pt>
                <c:pt idx="980">
                  <c:v>35.7263000000011</c:v>
                </c:pt>
                <c:pt idx="981">
                  <c:v>35.7264000000011</c:v>
                </c:pt>
                <c:pt idx="982">
                  <c:v>35.7265000000011</c:v>
                </c:pt>
                <c:pt idx="983">
                  <c:v>35.7266000000011</c:v>
                </c:pt>
                <c:pt idx="984">
                  <c:v>35.7267000000011</c:v>
                </c:pt>
                <c:pt idx="985">
                  <c:v>35.7268000000011</c:v>
                </c:pt>
                <c:pt idx="986">
                  <c:v>35.7269000000011</c:v>
                </c:pt>
                <c:pt idx="987">
                  <c:v>35.7270000000011</c:v>
                </c:pt>
                <c:pt idx="988">
                  <c:v>35.7271000000011</c:v>
                </c:pt>
                <c:pt idx="989">
                  <c:v>35.7272000000011</c:v>
                </c:pt>
                <c:pt idx="990">
                  <c:v>35.7273000000011</c:v>
                </c:pt>
                <c:pt idx="991">
                  <c:v>35.7274000000011</c:v>
                </c:pt>
                <c:pt idx="992">
                  <c:v>35.7275000000011</c:v>
                </c:pt>
                <c:pt idx="993">
                  <c:v>35.7276000000011</c:v>
                </c:pt>
                <c:pt idx="994">
                  <c:v>35.7277000000011</c:v>
                </c:pt>
                <c:pt idx="995">
                  <c:v>35.7278000000011</c:v>
                </c:pt>
                <c:pt idx="996">
                  <c:v>35.7279000000011</c:v>
                </c:pt>
                <c:pt idx="997">
                  <c:v>35.7280000000011</c:v>
                </c:pt>
                <c:pt idx="998">
                  <c:v>35.7281000000011</c:v>
                </c:pt>
                <c:pt idx="999">
                  <c:v>35.7282000000011</c:v>
                </c:pt>
                <c:pt idx="1000">
                  <c:v>35.7283000000011</c:v>
                </c:pt>
              </c:numCache>
            </c:numRef>
          </c:xVal>
          <c:yVal>
            <c:numRef>
              <c:f>Calculs!$AG$4:$AG$1004</c:f>
              <c:numCache>
                <c:formatCode>General</c:formatCode>
                <c:ptCount val="1001"/>
                <c:pt idx="1">
                  <c:v>0</c:v>
                </c:pt>
                <c:pt idx="2">
                  <c:v>18.0054887511062</c:v>
                </c:pt>
                <c:pt idx="3">
                  <c:v>36.4604543872499</c:v>
                </c:pt>
                <c:pt idx="4">
                  <c:v>54.9298815230219</c:v>
                </c:pt>
                <c:pt idx="5">
                  <c:v>73.4188042306141</c:v>
                </c:pt>
                <c:pt idx="6">
                  <c:v>82.5828910789952</c:v>
                </c:pt>
                <c:pt idx="7">
                  <c:v>82.406037564661</c:v>
                </c:pt>
                <c:pt idx="8">
                  <c:v>82.2285386659852</c:v>
                </c:pt>
                <c:pt idx="9">
                  <c:v>82.0503965630906</c:v>
                </c:pt>
                <c:pt idx="10">
                  <c:v>81.8716134527514</c:v>
                </c:pt>
                <c:pt idx="11">
                  <c:v>81.6921915482645</c:v>
                </c:pt>
                <c:pt idx="12">
                  <c:v>81.5121330793197</c:v>
                </c:pt>
                <c:pt idx="13">
                  <c:v>81.3314402918692</c:v>
                </c:pt>
                <c:pt idx="14">
                  <c:v>81.1501154479963</c:v>
                </c:pt>
                <c:pt idx="15">
                  <c:v>80.9681608257825</c:v>
                </c:pt>
                <c:pt idx="16">
                  <c:v>80.785578719174</c:v>
                </c:pt>
                <c:pt idx="17">
                  <c:v>80.6023714378478</c:v>
                </c:pt>
                <c:pt idx="18">
                  <c:v>80.4185413070752</c:v>
                </c:pt>
                <c:pt idx="19">
                  <c:v>80.2340906675865</c:v>
                </c:pt>
                <c:pt idx="20">
                  <c:v>80.0490218754332</c:v>
                </c:pt>
                <c:pt idx="21">
                  <c:v>79.8633373018501</c:v>
                </c:pt>
                <c:pt idx="22">
                  <c:v>79.6770393331162</c:v>
                </c:pt>
                <c:pt idx="23">
                  <c:v>79.4901303704147</c:v>
                </c:pt>
                <c:pt idx="24">
                  <c:v>79.3026128296922</c:v>
                </c:pt>
                <c:pt idx="25">
                  <c:v>79.1144891415178</c:v>
                </c:pt>
                <c:pt idx="26">
                  <c:v>78.9257617509396</c:v>
                </c:pt>
                <c:pt idx="27">
                  <c:v>78.7364331173424</c:v>
                </c:pt>
                <c:pt idx="28">
                  <c:v>78.5465057143033</c:v>
                </c:pt>
                <c:pt idx="29">
                  <c:v>78.355982029447</c:v>
                </c:pt>
                <c:pt idx="30">
                  <c:v>78.1648645643002</c:v>
                </c:pt>
                <c:pt idx="31">
                  <c:v>77.9731558341455</c:v>
                </c:pt>
                <c:pt idx="32">
                  <c:v>77.7808583678741</c:v>
                </c:pt>
                <c:pt idx="33">
                  <c:v>77.5879747078383</c:v>
                </c:pt>
                <c:pt idx="34">
                  <c:v>77.3945074097029</c:v>
                </c:pt>
                <c:pt idx="35">
                  <c:v>77.2004590422963</c:v>
                </c:pt>
                <c:pt idx="36">
                  <c:v>77.0058321874603</c:v>
                </c:pt>
                <c:pt idx="37">
                  <c:v>76.8117071595133</c:v>
                </c:pt>
                <c:pt idx="38">
                  <c:v>76.6170015315334</c:v>
                </c:pt>
                <c:pt idx="39">
                  <c:v>76.4217031930908</c:v>
                </c:pt>
                <c:pt idx="40">
                  <c:v>76.2258158501772</c:v>
                </c:pt>
                <c:pt idx="41">
                  <c:v>76.0293431404889</c:v>
                </c:pt>
                <c:pt idx="42">
                  <c:v>75.8322886412437</c:v>
                </c:pt>
                <c:pt idx="43">
                  <c:v>75.6346558760263</c:v>
                </c:pt>
                <c:pt idx="44">
                  <c:v>75.4364483208017</c:v>
                </c:pt>
                <c:pt idx="45">
                  <c:v>75.2376694092123</c:v>
                </c:pt>
                <c:pt idx="46">
                  <c:v>75.0383225372592</c:v>
                </c:pt>
                <c:pt idx="47">
                  <c:v>74.8384110674461</c:v>
                </c:pt>
                <c:pt idx="48">
                  <c:v>74.6379383324596</c:v>
                </c:pt>
                <c:pt idx="49">
                  <c:v>74.4369076384429</c:v>
                </c:pt>
                <c:pt idx="50">
                  <c:v>74.2353222679148</c:v>
                </c:pt>
                <c:pt idx="51">
                  <c:v>74.0823212937829</c:v>
                </c:pt>
                <c:pt idx="52">
                  <c:v>73.9779798539986</c:v>
                </c:pt>
                <c:pt idx="53">
                  <c:v>73.873194803764</c:v>
                </c:pt>
                <c:pt idx="54">
                  <c:v>73.7679677059134</c:v>
                </c:pt>
                <c:pt idx="55">
                  <c:v>73.6623001115301</c:v>
                </c:pt>
                <c:pt idx="56">
                  <c:v>73.5561935614004</c:v>
                </c:pt>
                <c:pt idx="57">
                  <c:v>73.4496495873348</c:v>
                </c:pt>
                <c:pt idx="58">
                  <c:v>73.3426697133712</c:v>
                </c:pt>
                <c:pt idx="59">
                  <c:v>73.2352554568714</c:v>
                </c:pt>
                <c:pt idx="60">
                  <c:v>73.1274083295219</c:v>
                </c:pt>
                <c:pt idx="61">
                  <c:v>73.0191298382475</c:v>
                </c:pt>
                <c:pt idx="62">
                  <c:v>72.910421486048</c:v>
                </c:pt>
                <c:pt idx="63">
                  <c:v>72.8012847727626</c:v>
                </c:pt>
                <c:pt idx="64">
                  <c:v>72.6917211957711</c:v>
                </c:pt>
                <c:pt idx="65">
                  <c:v>72.5817322506368</c:v>
                </c:pt>
                <c:pt idx="66">
                  <c:v>72.4713194316956</c:v>
                </c:pt>
                <c:pt idx="67">
                  <c:v>72.3604842325974</c:v>
                </c:pt>
                <c:pt idx="68">
                  <c:v>72.2492281468034</c:v>
                </c:pt>
                <c:pt idx="69">
                  <c:v>72.1375526680422</c:v>
                </c:pt>
                <c:pt idx="70">
                  <c:v>72.0254592907299</c:v>
                </c:pt>
                <c:pt idx="71">
                  <c:v>71.9129495103557</c:v>
                </c:pt>
                <c:pt idx="72">
                  <c:v>71.800024823837</c:v>
                </c:pt>
                <c:pt idx="73">
                  <c:v>71.6866867298452</c:v>
                </c:pt>
                <c:pt idx="74">
                  <c:v>71.5729367291056</c:v>
                </c:pt>
                <c:pt idx="75">
                  <c:v>71.4587763246728</c:v>
                </c:pt>
                <c:pt idx="76">
                  <c:v>71.3442070221846</c:v>
                </c:pt>
                <c:pt idx="77">
                  <c:v>71.2292303300935</c:v>
                </c:pt>
                <c:pt idx="78">
                  <c:v>71.113847759881</c:v>
                </c:pt>
                <c:pt idx="79">
                  <c:v>70.9980608262525</c:v>
                </c:pt>
                <c:pt idx="80">
                  <c:v>70.8818710473174</c:v>
                </c:pt>
                <c:pt idx="81">
                  <c:v>70.7652799447523</c:v>
                </c:pt>
                <c:pt idx="82">
                  <c:v>70.6482890439516</c:v>
                </c:pt>
                <c:pt idx="83">
                  <c:v>70.5308998741639</c:v>
                </c:pt>
                <c:pt idx="84">
                  <c:v>70.4131139686165</c:v>
                </c:pt>
                <c:pt idx="85">
                  <c:v>70.2949328646285</c:v>
                </c:pt>
                <c:pt idx="86">
                  <c:v>70.1763581037133</c:v>
                </c:pt>
                <c:pt idx="87">
                  <c:v>70.0573912316712</c:v>
                </c:pt>
                <c:pt idx="88">
                  <c:v>69.9380337986723</c:v>
                </c:pt>
                <c:pt idx="89">
                  <c:v>69.8182873593313</c:v>
                </c:pt>
                <c:pt idx="90">
                  <c:v>69.6981534727739</c:v>
                </c:pt>
                <c:pt idx="91">
                  <c:v>69.5776337026955</c:v>
                </c:pt>
                <c:pt idx="92">
                  <c:v>69.4567296174131</c:v>
                </c:pt>
                <c:pt idx="93">
                  <c:v>69.3354427899099</c:v>
                </c:pt>
                <c:pt idx="94">
                  <c:v>69.2137747978744</c:v>
                </c:pt>
                <c:pt idx="95">
                  <c:v>69.091727223733</c:v>
                </c:pt>
                <c:pt idx="96">
                  <c:v>68.9693016546772</c:v>
                </c:pt>
                <c:pt idx="97">
                  <c:v>68.8464996826857</c:v>
                </c:pt>
                <c:pt idx="98">
                  <c:v>68.7233229045413</c:v>
                </c:pt>
                <c:pt idx="99">
                  <c:v>68.5997729218436</c:v>
                </c:pt>
                <c:pt idx="100">
                  <c:v>68.4758513410172</c:v>
                </c:pt>
                <c:pt idx="101">
                  <c:v>68.328936995122</c:v>
                </c:pt>
                <c:pt idx="102">
                  <c:v>68.1590054037863</c:v>
                </c:pt>
                <c:pt idx="103">
                  <c:v>67.988673350902</c:v>
                </c:pt>
                <c:pt idx="104">
                  <c:v>67.8179431785636</c:v>
                </c:pt>
                <c:pt idx="105">
                  <c:v>67.6468172329081</c:v>
                </c:pt>
                <c:pt idx="106">
                  <c:v>67.4752978640664</c:v>
                </c:pt>
                <c:pt idx="107">
                  <c:v>67.3033874261122</c:v>
                </c:pt>
                <c:pt idx="108">
                  <c:v>67.1310882770074</c:v>
                </c:pt>
                <c:pt idx="109">
                  <c:v>66.9584027785446</c:v>
                </c:pt>
                <c:pt idx="110">
                  <c:v>66.7853332962876</c:v>
                </c:pt>
                <c:pt idx="111">
                  <c:v>66.6118821995086</c:v>
                </c:pt>
                <c:pt idx="112">
                  <c:v>66.4380518611234</c:v>
                </c:pt>
                <c:pt idx="113">
                  <c:v>66.2638446576245</c:v>
                </c:pt>
                <c:pt idx="114">
                  <c:v>66.089262969012</c:v>
                </c:pt>
                <c:pt idx="115">
                  <c:v>65.9143091787222</c:v>
                </c:pt>
                <c:pt idx="116">
                  <c:v>65.7389856735549</c:v>
                </c:pt>
                <c:pt idx="117">
                  <c:v>65.5632948435984</c:v>
                </c:pt>
                <c:pt idx="118">
                  <c:v>65.3872390821533</c:v>
                </c:pt>
                <c:pt idx="119">
                  <c:v>65.2108207856544</c:v>
                </c:pt>
                <c:pt idx="120">
                  <c:v>65.034042353591</c:v>
                </c:pt>
                <c:pt idx="121">
                  <c:v>64.8569061884267</c:v>
                </c:pt>
                <c:pt idx="122">
                  <c:v>64.6794146955165</c:v>
                </c:pt>
                <c:pt idx="123">
                  <c:v>64.5015702830238</c:v>
                </c:pt>
                <c:pt idx="124">
                  <c:v>64.323375361836</c:v>
                </c:pt>
                <c:pt idx="125">
                  <c:v>64.1448323454785</c:v>
                </c:pt>
                <c:pt idx="126">
                  <c:v>63.9659436500282</c:v>
                </c:pt>
                <c:pt idx="127">
                  <c:v>63.7867116940259</c:v>
                </c:pt>
                <c:pt idx="128">
                  <c:v>63.6071388983878</c:v>
                </c:pt>
                <c:pt idx="129">
                  <c:v>63.4272276863161</c:v>
                </c:pt>
                <c:pt idx="130">
                  <c:v>63.246980483209</c:v>
                </c:pt>
                <c:pt idx="131">
                  <c:v>63.0663997165695</c:v>
                </c:pt>
                <c:pt idx="132">
                  <c:v>62.8854878159141</c:v>
                </c:pt>
                <c:pt idx="133">
                  <c:v>62.7042472126805</c:v>
                </c:pt>
                <c:pt idx="134">
                  <c:v>62.5226803401348</c:v>
                </c:pt>
                <c:pt idx="135">
                  <c:v>62.3407896332781</c:v>
                </c:pt>
                <c:pt idx="136">
                  <c:v>62.1585775287528</c:v>
                </c:pt>
                <c:pt idx="137">
                  <c:v>61.9760464647481</c:v>
                </c:pt>
                <c:pt idx="138">
                  <c:v>61.7931988809053</c:v>
                </c:pt>
                <c:pt idx="139">
                  <c:v>61.6100372182224</c:v>
                </c:pt>
                <c:pt idx="140">
                  <c:v>61.4265639189591</c:v>
                </c:pt>
                <c:pt idx="141">
                  <c:v>61.2427814265405</c:v>
                </c:pt>
                <c:pt idx="142">
                  <c:v>61.058692185461</c:v>
                </c:pt>
                <c:pt idx="143">
                  <c:v>60.8742986411883</c:v>
                </c:pt>
                <c:pt idx="144">
                  <c:v>60.6896032400661</c:v>
                </c:pt>
                <c:pt idx="145">
                  <c:v>60.5046084292177</c:v>
                </c:pt>
                <c:pt idx="146">
                  <c:v>60.3193166564491</c:v>
                </c:pt>
                <c:pt idx="147">
                  <c:v>60.1337303701513</c:v>
                </c:pt>
                <c:pt idx="148">
                  <c:v>59.9478520192034</c:v>
                </c:pt>
                <c:pt idx="149">
                  <c:v>59.7616840528752</c:v>
                </c:pt>
                <c:pt idx="150">
                  <c:v>59.5752289207294</c:v>
                </c:pt>
                <c:pt idx="151">
                  <c:v>59.3961744870651</c:v>
                </c:pt>
                <c:pt idx="152">
                  <c:v>59.2245293696763</c:v>
                </c:pt>
                <c:pt idx="153">
                  <c:v>59.0526110605326</c:v>
                </c:pt>
                <c:pt idx="154">
                  <c:v>58.8804217731954</c:v>
                </c:pt>
                <c:pt idx="155">
                  <c:v>58.707963721717</c:v>
                </c:pt>
                <c:pt idx="156">
                  <c:v>58.535239120555</c:v>
                </c:pt>
                <c:pt idx="157">
                  <c:v>58.3622501844863</c:v>
                </c:pt>
                <c:pt idx="158">
                  <c:v>58.1889991285214</c:v>
                </c:pt>
                <c:pt idx="159">
                  <c:v>58.0154881678184</c:v>
                </c:pt>
                <c:pt idx="160">
                  <c:v>57.8417195175977</c:v>
                </c:pt>
                <c:pt idx="161">
                  <c:v>57.6676953930555</c:v>
                </c:pt>
                <c:pt idx="162">
                  <c:v>57.493418009279</c:v>
                </c:pt>
                <c:pt idx="163">
                  <c:v>57.3188895811606</c:v>
                </c:pt>
                <c:pt idx="164">
                  <c:v>57.144112323312</c:v>
                </c:pt>
                <c:pt idx="165">
                  <c:v>56.9690884499795</c:v>
                </c:pt>
                <c:pt idx="166">
                  <c:v>56.7938201749585</c:v>
                </c:pt>
                <c:pt idx="167">
                  <c:v>56.6183097115084</c:v>
                </c:pt>
                <c:pt idx="168">
                  <c:v>56.4425592722678</c:v>
                </c:pt>
                <c:pt idx="169">
                  <c:v>56.2665710691695</c:v>
                </c:pt>
                <c:pt idx="170">
                  <c:v>56.0903473133565</c:v>
                </c:pt>
                <c:pt idx="171">
                  <c:v>55.9138902150969</c:v>
                </c:pt>
                <c:pt idx="172">
                  <c:v>55.7372019837</c:v>
                </c:pt>
                <c:pt idx="173">
                  <c:v>55.5602848274323</c:v>
                </c:pt>
                <c:pt idx="174">
                  <c:v>55.3831409534342</c:v>
                </c:pt>
                <c:pt idx="175">
                  <c:v>55.2057725676354</c:v>
                </c:pt>
                <c:pt idx="176">
                  <c:v>55.0281818746726</c:v>
                </c:pt>
                <c:pt idx="177">
                  <c:v>54.8503710778061</c:v>
                </c:pt>
                <c:pt idx="178">
                  <c:v>54.6723423788367</c:v>
                </c:pt>
                <c:pt idx="179">
                  <c:v>54.4940979780238</c:v>
                </c:pt>
                <c:pt idx="180">
                  <c:v>54.3156400740026</c:v>
                </c:pt>
                <c:pt idx="181">
                  <c:v>54.1369708637024</c:v>
                </c:pt>
                <c:pt idx="182">
                  <c:v>53.958092542265</c:v>
                </c:pt>
                <c:pt idx="183">
                  <c:v>53.7790073029631</c:v>
                </c:pt>
                <c:pt idx="184">
                  <c:v>53.5997173371196</c:v>
                </c:pt>
                <c:pt idx="185">
                  <c:v>53.4202248340264</c:v>
                </c:pt>
                <c:pt idx="186">
                  <c:v>53.2405319808647</c:v>
                </c:pt>
                <c:pt idx="187">
                  <c:v>53.0606409626242</c:v>
                </c:pt>
                <c:pt idx="188">
                  <c:v>52.8805539620238</c:v>
                </c:pt>
                <c:pt idx="189">
                  <c:v>52.7002731594322</c:v>
                </c:pt>
                <c:pt idx="190">
                  <c:v>52.5198007327888</c:v>
                </c:pt>
                <c:pt idx="191">
                  <c:v>52.339138857525</c:v>
                </c:pt>
                <c:pt idx="192">
                  <c:v>52.1582897064864</c:v>
                </c:pt>
                <c:pt idx="193">
                  <c:v>51.9772554498542</c:v>
                </c:pt>
                <c:pt idx="194">
                  <c:v>51.7960382550682</c:v>
                </c:pt>
                <c:pt idx="195">
                  <c:v>51.6146402867496</c:v>
                </c:pt>
                <c:pt idx="196">
                  <c:v>51.433063706624</c:v>
                </c:pt>
                <c:pt idx="197">
                  <c:v>51.2513106734455</c:v>
                </c:pt>
                <c:pt idx="198">
                  <c:v>51.0693833429207</c:v>
                </c:pt>
                <c:pt idx="199">
                  <c:v>50.8872838676329</c:v>
                </c:pt>
                <c:pt idx="200">
                  <c:v>50.7050143969676</c:v>
                </c:pt>
                <c:pt idx="201">
                  <c:v>50.5225770770373</c:v>
                </c:pt>
                <c:pt idx="202">
                  <c:v>50.3399740506075</c:v>
                </c:pt>
                <c:pt idx="203">
                  <c:v>50.1572074570233</c:v>
                </c:pt>
                <c:pt idx="204">
                  <c:v>49.9742794321355</c:v>
                </c:pt>
                <c:pt idx="205">
                  <c:v>49.791192108228</c:v>
                </c:pt>
                <c:pt idx="206">
                  <c:v>49.6079476139457</c:v>
                </c:pt>
                <c:pt idx="207">
                  <c:v>49.4245480742217</c:v>
                </c:pt>
                <c:pt idx="208">
                  <c:v>49.2409956102069</c:v>
                </c:pt>
                <c:pt idx="209">
                  <c:v>49.057292339198</c:v>
                </c:pt>
                <c:pt idx="210">
                  <c:v>48.8734403745674</c:v>
                </c:pt>
                <c:pt idx="211">
                  <c:v>48.6894418256932</c:v>
                </c:pt>
                <c:pt idx="212">
                  <c:v>48.5052987978894</c:v>
                </c:pt>
                <c:pt idx="213">
                  <c:v>48.3210133923367</c:v>
                </c:pt>
                <c:pt idx="214">
                  <c:v>48.1365877060142</c:v>
                </c:pt>
                <c:pt idx="215">
                  <c:v>47.9520238316309</c:v>
                </c:pt>
                <c:pt idx="216">
                  <c:v>47.7673238575584</c:v>
                </c:pt>
                <c:pt idx="217">
                  <c:v>47.5824898677634</c:v>
                </c:pt>
                <c:pt idx="218">
                  <c:v>47.3975239417413</c:v>
                </c:pt>
                <c:pt idx="219">
                  <c:v>47.2124281544501</c:v>
                </c:pt>
                <c:pt idx="220">
                  <c:v>47.0272045762445</c:v>
                </c:pt>
                <c:pt idx="221">
                  <c:v>46.8418552728111</c:v>
                </c:pt>
                <c:pt idx="222">
                  <c:v>46.6563823051036</c:v>
                </c:pt>
                <c:pt idx="223">
                  <c:v>46.4707877292789</c:v>
                </c:pt>
                <c:pt idx="224">
                  <c:v>46.2850735966333</c:v>
                </c:pt>
                <c:pt idx="225">
                  <c:v>46.0992419535397</c:v>
                </c:pt>
                <c:pt idx="226">
                  <c:v>45.9132948413849</c:v>
                </c:pt>
                <c:pt idx="227">
                  <c:v>45.7272342965079</c:v>
                </c:pt>
                <c:pt idx="228">
                  <c:v>45.5410623501381</c:v>
                </c:pt>
                <c:pt idx="229">
                  <c:v>45.3547810283347</c:v>
                </c:pt>
                <c:pt idx="230">
                  <c:v>45.1683923519263</c:v>
                </c:pt>
                <c:pt idx="231">
                  <c:v>44.9818983364508</c:v>
                </c:pt>
                <c:pt idx="232">
                  <c:v>44.7953009920964</c:v>
                </c:pt>
                <c:pt idx="233">
                  <c:v>44.6086023236429</c:v>
                </c:pt>
                <c:pt idx="234">
                  <c:v>44.4218043304032</c:v>
                </c:pt>
                <c:pt idx="235">
                  <c:v>44.234909006166</c:v>
                </c:pt>
                <c:pt idx="236">
                  <c:v>44.0479183391384</c:v>
                </c:pt>
                <c:pt idx="237">
                  <c:v>43.8608343118896</c:v>
                </c:pt>
                <c:pt idx="238">
                  <c:v>43.6736589012948</c:v>
                </c:pt>
                <c:pt idx="239">
                  <c:v>43.4863940784798</c:v>
                </c:pt>
                <c:pt idx="240">
                  <c:v>43.2990418087662</c:v>
                </c:pt>
                <c:pt idx="241">
                  <c:v>43.1116040516167</c:v>
                </c:pt>
                <c:pt idx="242">
                  <c:v>42.924082760582</c:v>
                </c:pt>
                <c:pt idx="243">
                  <c:v>42.7364798832471</c:v>
                </c:pt>
                <c:pt idx="244">
                  <c:v>42.5487973611789</c:v>
                </c:pt>
                <c:pt idx="245">
                  <c:v>42.361037129874</c:v>
                </c:pt>
                <c:pt idx="246">
                  <c:v>42.1732011187072</c:v>
                </c:pt>
                <c:pt idx="247">
                  <c:v>41.9852912508808</c:v>
                </c:pt>
                <c:pt idx="248">
                  <c:v>41.7973094433738</c:v>
                </c:pt>
                <c:pt idx="249">
                  <c:v>41.6092576068927</c:v>
                </c:pt>
                <c:pt idx="250">
                  <c:v>41.4211376458217</c:v>
                </c:pt>
                <c:pt idx="251">
                  <c:v>41.1999108525754</c:v>
                </c:pt>
                <c:pt idx="252">
                  <c:v>40.9455731971003</c:v>
                </c:pt>
                <c:pt idx="253">
                  <c:v>40.6911809983332</c:v>
                </c:pt>
                <c:pt idx="254">
                  <c:v>40.4367370086137</c:v>
                </c:pt>
                <c:pt idx="255">
                  <c:v>40.1822439680161</c:v>
                </c:pt>
                <c:pt idx="256">
                  <c:v>39.9277046042793</c:v>
                </c:pt>
                <c:pt idx="257">
                  <c:v>39.6731216327364</c:v>
                </c:pt>
                <c:pt idx="258">
                  <c:v>39.4184977562466</c:v>
                </c:pt>
                <c:pt idx="259">
                  <c:v>39.1638356651279</c:v>
                </c:pt>
                <c:pt idx="260">
                  <c:v>38.9091380370908</c:v>
                </c:pt>
                <c:pt idx="261">
                  <c:v>38.6544075371732</c:v>
                </c:pt>
                <c:pt idx="262">
                  <c:v>38.3996468176768</c:v>
                </c:pt>
                <c:pt idx="263">
                  <c:v>38.1448585181043</c:v>
                </c:pt>
                <c:pt idx="264">
                  <c:v>37.8900452650975</c:v>
                </c:pt>
                <c:pt idx="265">
                  <c:v>37.6352096723773</c:v>
                </c:pt>
                <c:pt idx="266">
                  <c:v>37.3803543406842</c:v>
                </c:pt>
                <c:pt idx="267">
                  <c:v>37.1254818577203</c:v>
                </c:pt>
                <c:pt idx="268">
                  <c:v>36.8705947980922</c:v>
                </c:pt>
                <c:pt idx="269">
                  <c:v>36.6156957232549</c:v>
                </c:pt>
                <c:pt idx="270">
                  <c:v>36.3607871814576</c:v>
                </c:pt>
                <c:pt idx="271">
                  <c:v>36.1058717076897</c:v>
                </c:pt>
                <c:pt idx="272">
                  <c:v>35.8509518236283</c:v>
                </c:pt>
                <c:pt idx="273">
                  <c:v>35.5960300375872</c:v>
                </c:pt>
                <c:pt idx="274">
                  <c:v>35.3411088444662</c:v>
                </c:pt>
                <c:pt idx="275">
                  <c:v>35.0861907257025</c:v>
                </c:pt>
                <c:pt idx="276">
                  <c:v>34.8312781492221</c:v>
                </c:pt>
                <c:pt idx="277">
                  <c:v>34.5763735693936</c:v>
                </c:pt>
                <c:pt idx="278">
                  <c:v>34.3214794269819</c:v>
                </c:pt>
                <c:pt idx="279">
                  <c:v>34.0665981491035</c:v>
                </c:pt>
                <c:pt idx="280">
                  <c:v>33.8117321491835</c:v>
                </c:pt>
                <c:pt idx="281">
                  <c:v>33.5568838269124</c:v>
                </c:pt>
                <c:pt idx="282">
                  <c:v>33.3020555682053</c:v>
                </c:pt>
                <c:pt idx="283">
                  <c:v>33.0472497451612</c:v>
                </c:pt>
                <c:pt idx="284">
                  <c:v>32.792468716024</c:v>
                </c:pt>
                <c:pt idx="285">
                  <c:v>32.5377148251442</c:v>
                </c:pt>
                <c:pt idx="286">
                  <c:v>32.282990402942</c:v>
                </c:pt>
                <c:pt idx="287">
                  <c:v>32.0282977658713</c:v>
                </c:pt>
                <c:pt idx="288">
                  <c:v>31.7736392163846</c:v>
                </c:pt>
                <c:pt idx="289">
                  <c:v>31.5190170428993</c:v>
                </c:pt>
                <c:pt idx="290">
                  <c:v>31.264433519765</c:v>
                </c:pt>
                <c:pt idx="291">
                  <c:v>31.0098909072314</c:v>
                </c:pt>
                <c:pt idx="292">
                  <c:v>30.7553914514177</c:v>
                </c:pt>
                <c:pt idx="293">
                  <c:v>30.5009373842833</c:v>
                </c:pt>
                <c:pt idx="294">
                  <c:v>30.2465309235986</c:v>
                </c:pt>
                <c:pt idx="295">
                  <c:v>29.992174272918</c:v>
                </c:pt>
                <c:pt idx="296">
                  <c:v>29.7378696215527</c:v>
                </c:pt>
                <c:pt idx="297">
                  <c:v>29.4836191445455</c:v>
                </c:pt>
                <c:pt idx="298">
                  <c:v>28.8673479186665</c:v>
                </c:pt>
                <c:pt idx="299">
                  <c:v>27.8891155761931</c:v>
                </c:pt>
                <c:pt idx="300">
                  <c:v>26.9112395394897</c:v>
                </c:pt>
                <c:pt idx="301">
                  <c:v>25.9337382420261</c:v>
                </c:pt>
                <c:pt idx="302">
                  <c:v>24.9566299212627</c:v>
                </c:pt>
                <c:pt idx="303">
                  <c:v>23.9799326180915</c:v>
                </c:pt>
                <c:pt idx="304">
                  <c:v>23.0036641763098</c:v>
                </c:pt>
                <c:pt idx="305">
                  <c:v>22.0278422421276</c:v>
                </c:pt>
                <c:pt idx="306">
                  <c:v>21.0524842637061</c:v>
                </c:pt>
                <c:pt idx="307">
                  <c:v>20.0776074907301</c:v>
                </c:pt>
                <c:pt idx="308">
                  <c:v>19.103228974011</c:v>
                </c:pt>
                <c:pt idx="309">
                  <c:v>18.1293655651218</c:v>
                </c:pt>
                <c:pt idx="310">
                  <c:v>17.1560339160641</c:v>
                </c:pt>
                <c:pt idx="311">
                  <c:v>16.1832504789653</c:v>
                </c:pt>
                <c:pt idx="312">
                  <c:v>15.2110315058067</c:v>
                </c:pt>
                <c:pt idx="313">
                  <c:v>14.2393930481825</c:v>
                </c:pt>
                <c:pt idx="314">
                  <c:v>13.2683509570883</c:v>
                </c:pt>
                <c:pt idx="315">
                  <c:v>12.2979208827394</c:v>
                </c:pt>
                <c:pt idx="316">
                  <c:v>11.3281182744193</c:v>
                </c:pt>
                <c:pt idx="317">
                  <c:v>10.3589583803559</c:v>
                </c:pt>
                <c:pt idx="318">
                  <c:v>9.39045624762817</c:v>
                </c:pt>
                <c:pt idx="319">
                  <c:v>8.42262672209945</c:v>
                </c:pt>
                <c:pt idx="320">
                  <c:v>7.45548444838036</c:v>
                </c:pt>
                <c:pt idx="321">
                  <c:v>6.63295401178077</c:v>
                </c:pt>
                <c:pt idx="322">
                  <c:v>5.95495821686476</c:v>
                </c:pt>
                <c:pt idx="323">
                  <c:v>5.2774696453784</c:v>
                </c:pt>
                <c:pt idx="324">
                  <c:v>4.60049514040272</c:v>
                </c:pt>
                <c:pt idx="325">
                  <c:v>3.92404144582419</c:v>
                </c:pt>
                <c:pt idx="326">
                  <c:v>3.2481152064849</c:v>
                </c:pt>
                <c:pt idx="327">
                  <c:v>2.57272296834161</c:v>
                </c:pt>
                <c:pt idx="328">
                  <c:v>1.89787117863331</c:v>
                </c:pt>
                <c:pt idx="329">
                  <c:v>1.22356618605734</c:v>
                </c:pt>
                <c:pt idx="330">
                  <c:v>0.549814240953847</c:v>
                </c:pt>
                <c:pt idx="331">
                  <c:v>-0.123378504501579</c:v>
                </c:pt>
                <c:pt idx="332">
                  <c:v>-0.796005996097074</c:v>
                </c:pt>
                <c:pt idx="333">
                  <c:v>-1.46806227737579</c:v>
                </c:pt>
                <c:pt idx="334">
                  <c:v>-2.13954148941937</c:v>
                </c:pt>
                <c:pt idx="335">
                  <c:v>-2.81043787062367</c:v>
                </c:pt>
                <c:pt idx="336">
                  <c:v>-3.48074575646695</c:v>
                </c:pt>
                <c:pt idx="337">
                  <c:v>-4.15045957927068</c:v>
                </c:pt>
                <c:pt idx="338">
                  <c:v>-4.81957386795297</c:v>
                </c:pt>
                <c:pt idx="339">
                  <c:v>-5.48808324777487</c:v>
                </c:pt>
                <c:pt idx="340">
                  <c:v>-6.15598244007971</c:v>
                </c:pt>
                <c:pt idx="341">
                  <c:v>-6.82326626202542</c:v>
                </c:pt>
                <c:pt idx="342">
                  <c:v>-7.48992962631018</c:v>
                </c:pt>
                <c:pt idx="343">
                  <c:v>-8.15596754089139</c:v>
                </c:pt>
                <c:pt idx="344">
                  <c:v>-8.82137510869817</c:v>
                </c:pt>
                <c:pt idx="345">
                  <c:v>-9.48614752733742</c:v>
                </c:pt>
                <c:pt idx="346">
                  <c:v>-10.1502800887937</c:v>
                </c:pt>
                <c:pt idx="347">
                  <c:v>-10.8137681791231</c:v>
                </c:pt>
                <c:pt idx="348">
                  <c:v>-11.4610927560711</c:v>
                </c:pt>
                <c:pt idx="349">
                  <c:v>-12.0922646844501</c:v>
                </c:pt>
                <c:pt idx="350">
                  <c:v>-12.7228107808008</c:v>
                </c:pt>
                <c:pt idx="351">
                  <c:v>-13.3527272898356</c:v>
                </c:pt>
                <c:pt idx="352">
                  <c:v>-13.9820105399633</c:v>
                </c:pt>
                <c:pt idx="353">
                  <c:v>-14.6106569429718</c:v>
                </c:pt>
                <c:pt idx="354">
                  <c:v>-15.2386629937082</c:v>
                </c:pt>
                <c:pt idx="355">
                  <c:v>-15.8660252697537</c:v>
                </c:pt>
                <c:pt idx="356">
                  <c:v>-16.4927404310943</c:v>
                </c:pt>
                <c:pt idx="357">
                  <c:v>-17.1188052197881</c:v>
                </c:pt>
                <c:pt idx="358">
                  <c:v>-17.744216459628</c:v>
                </c:pt>
                <c:pt idx="359">
                  <c:v>-18.3689710558009</c:v>
                </c:pt>
                <c:pt idx="360">
                  <c:v>-18.6704199023655</c:v>
                </c:pt>
                <c:pt idx="361">
                  <c:v>-18.6489186272104</c:v>
                </c:pt>
                <c:pt idx="362">
                  <c:v>-18.6274689188075</c:v>
                </c:pt>
                <c:pt idx="363">
                  <c:v>-18.6060706109098</c:v>
                </c:pt>
                <c:pt idx="364">
                  <c:v>-18.5847235379272</c:v>
                </c:pt>
                <c:pt idx="365">
                  <c:v>-18.5634275349233</c:v>
                </c:pt>
                <c:pt idx="366">
                  <c:v>-18.5421824376121</c:v>
                </c:pt>
                <c:pt idx="367">
                  <c:v>-18.5209880823552</c:v>
                </c:pt>
                <c:pt idx="368">
                  <c:v>-18.4998443061578</c:v>
                </c:pt>
                <c:pt idx="369">
                  <c:v>-18.4787509466665</c:v>
                </c:pt>
                <c:pt idx="370">
                  <c:v>-18.4577078421655</c:v>
                </c:pt>
                <c:pt idx="371">
                  <c:v>-18.4367148315736</c:v>
                </c:pt>
                <c:pt idx="372">
                  <c:v>-18.4157717544413</c:v>
                </c:pt>
                <c:pt idx="373">
                  <c:v>-18.3948784509475</c:v>
                </c:pt>
                <c:pt idx="374">
                  <c:v>-18.3740347618965</c:v>
                </c:pt>
                <c:pt idx="375">
                  <c:v>-18.3532405287149</c:v>
                </c:pt>
                <c:pt idx="376">
                  <c:v>-18.3324955934486</c:v>
                </c:pt>
                <c:pt idx="377">
                  <c:v>-18.3117997987597</c:v>
                </c:pt>
                <c:pt idx="378">
                  <c:v>-18.2911529879237</c:v>
                </c:pt>
                <c:pt idx="379">
                  <c:v>-18.2705550048262</c:v>
                </c:pt>
                <c:pt idx="380">
                  <c:v>-18.2500056939602</c:v>
                </c:pt>
                <c:pt idx="381">
                  <c:v>-18.2295049004228</c:v>
                </c:pt>
                <c:pt idx="382">
                  <c:v>-18.2090524699129</c:v>
                </c:pt>
                <c:pt idx="383">
                  <c:v>-18.1886482487274</c:v>
                </c:pt>
                <c:pt idx="384">
                  <c:v>-18.168292083759</c:v>
                </c:pt>
                <c:pt idx="385">
                  <c:v>-18.147983822493</c:v>
                </c:pt>
                <c:pt idx="386">
                  <c:v>-18.1277233130044</c:v>
                </c:pt>
                <c:pt idx="387">
                  <c:v>-18.1075104039552</c:v>
                </c:pt>
                <c:pt idx="388">
                  <c:v>-18.0873449445913</c:v>
                </c:pt>
                <c:pt idx="389">
                  <c:v>-18.0672267847401</c:v>
                </c:pt>
                <c:pt idx="390">
                  <c:v>-18.047155774807</c:v>
                </c:pt>
                <c:pt idx="391">
                  <c:v>-18.0271317657734</c:v>
                </c:pt>
                <c:pt idx="392">
                  <c:v>-18.0071546091934</c:v>
                </c:pt>
                <c:pt idx="393">
                  <c:v>-17.987224157191</c:v>
                </c:pt>
                <c:pt idx="394">
                  <c:v>-17.9673402624576</c:v>
                </c:pt>
                <c:pt idx="395">
                  <c:v>-17.9475027782492</c:v>
                </c:pt>
                <c:pt idx="396">
                  <c:v>-17.9277115583835</c:v>
                </c:pt>
                <c:pt idx="397">
                  <c:v>-17.9079664572376</c:v>
                </c:pt>
                <c:pt idx="398">
                  <c:v>-17.8882673297446</c:v>
                </c:pt>
                <c:pt idx="399">
                  <c:v>-17.8686140313916</c:v>
                </c:pt>
                <c:pt idx="400">
                  <c:v>-17.8490064182169</c:v>
                </c:pt>
                <c:pt idx="401">
                  <c:v>-17.8294443468068</c:v>
                </c:pt>
                <c:pt idx="402">
                  <c:v>-17.6354425241123</c:v>
                </c:pt>
                <c:pt idx="403">
                  <c:v>-17.44589027879</c:v>
                </c:pt>
                <c:pt idx="404">
                  <c:v>-17.260650252956</c:v>
                </c:pt>
                <c:pt idx="405">
                  <c:v>-17.0795901695355</c:v>
                </c:pt>
                <c:pt idx="406">
                  <c:v>-16.9025825941463</c:v>
                </c:pt>
                <c:pt idx="407">
                  <c:v>-16.7295047092602</c:v>
                </c:pt>
                <c:pt idx="408">
                  <c:v>-16.5602380998803</c:v>
                </c:pt>
                <c:pt idx="409">
                  <c:v>-16.394668550026</c:v>
                </c:pt>
                <c:pt idx="410">
                  <c:v>-16.2326858493615</c:v>
                </c:pt>
                <c:pt idx="411">
                  <c:v>-16.0741836093478</c:v>
                </c:pt>
                <c:pt idx="412">
                  <c:v>-15.9190590883371</c:v>
                </c:pt>
                <c:pt idx="413">
                  <c:v>-15.767213025064</c:v>
                </c:pt>
                <c:pt idx="414">
                  <c:v>-15.6185494800254</c:v>
                </c:pt>
                <c:pt idx="415">
                  <c:v>-15.4729756842666</c:v>
                </c:pt>
                <c:pt idx="416">
                  <c:v>-15.3304018951252</c:v>
                </c:pt>
                <c:pt idx="417">
                  <c:v>-15.1907412585088</c:v>
                </c:pt>
                <c:pt idx="418">
                  <c:v>-15.0539096773066</c:v>
                </c:pt>
                <c:pt idx="419">
                  <c:v>-14.9198256855591</c:v>
                </c:pt>
                <c:pt idx="420">
                  <c:v>-14.788410328032</c:v>
                </c:pt>
                <c:pt idx="421">
                  <c:v>-14.6595870448566</c:v>
                </c:pt>
                <c:pt idx="422">
                  <c:v>-14.5332815609208</c:v>
                </c:pt>
                <c:pt idx="423">
                  <c:v>-14.4094217797093</c:v>
                </c:pt>
                <c:pt idx="424">
                  <c:v>-14.2879376813066</c:v>
                </c:pt>
                <c:pt idx="425">
                  <c:v>-14.1687612242923</c:v>
                </c:pt>
                <c:pt idx="426">
                  <c:v>-14.0518262512684</c:v>
                </c:pt>
                <c:pt idx="427">
                  <c:v>-13.9370683977726</c:v>
                </c:pt>
                <c:pt idx="428">
                  <c:v>-13.8244250043412</c:v>
                </c:pt>
                <c:pt idx="429">
                  <c:v>-13.7138350314939</c:v>
                </c:pt>
                <c:pt idx="430">
                  <c:v>-13.605238977424</c:v>
                </c:pt>
                <c:pt idx="431">
                  <c:v>-13.4985787981832</c:v>
                </c:pt>
                <c:pt idx="432">
                  <c:v>-13.3937978301592</c:v>
                </c:pt>
                <c:pt idx="433">
                  <c:v>-13.2908407146479</c:v>
                </c:pt>
                <c:pt idx="434">
                  <c:v>-13.1896533243311</c:v>
                </c:pt>
                <c:pt idx="435">
                  <c:v>-13.0901826914716</c:v>
                </c:pt>
                <c:pt idx="436">
                  <c:v>-12.9923769376445</c:v>
                </c:pt>
                <c:pt idx="437">
                  <c:v>-12.8961852048249</c:v>
                </c:pt>
                <c:pt idx="438">
                  <c:v>-12.8015575876549</c:v>
                </c:pt>
                <c:pt idx="439">
                  <c:v>-12.7084450667165</c:v>
                </c:pt>
                <c:pt idx="440">
                  <c:v>-12.6167994426348</c:v>
                </c:pt>
                <c:pt idx="441">
                  <c:v>-12.526573270839</c:v>
                </c:pt>
                <c:pt idx="442">
                  <c:v>-12.4377197968078</c:v>
                </c:pt>
                <c:pt idx="443">
                  <c:v>-12.3501928916235</c:v>
                </c:pt>
                <c:pt idx="444">
                  <c:v>-12.2639469876593</c:v>
                </c:pt>
                <c:pt idx="445">
                  <c:v>-12.1789370142201</c:v>
                </c:pt>
                <c:pt idx="446">
                  <c:v>-12.0951183329554</c:v>
                </c:pt>
                <c:pt idx="447">
                  <c:v>-12.0124466728576</c:v>
                </c:pt>
                <c:pt idx="448">
                  <c:v>-11.9308780646552</c:v>
                </c:pt>
                <c:pt idx="449">
                  <c:v>-11.8503687744044</c:v>
                </c:pt>
                <c:pt idx="450">
                  <c:v>-11.7708752360771</c:v>
                </c:pt>
                <c:pt idx="451">
                  <c:v>-11.6923539829347</c:v>
                </c:pt>
                <c:pt idx="452">
                  <c:v>-11.6147615774702</c:v>
                </c:pt>
                <c:pt idx="453">
                  <c:v>-11.5380545396922</c:v>
                </c:pt>
                <c:pt idx="454">
                  <c:v>-11.4621892735132</c:v>
                </c:pt>
                <c:pt idx="455">
                  <c:v>-11.387121990997</c:v>
                </c:pt>
                <c:pt idx="456">
                  <c:v>-11.3128086342031</c:v>
                </c:pt>
                <c:pt idx="457">
                  <c:v>-11.2392047943598</c:v>
                </c:pt>
                <c:pt idx="458">
                  <c:v>-11.1662656280778</c:v>
                </c:pt>
                <c:pt idx="459">
                  <c:v>-11.0939457703063</c:v>
                </c:pt>
                <c:pt idx="460">
                  <c:v>-11.0221992437147</c:v>
                </c:pt>
                <c:pt idx="461">
                  <c:v>-10.9509793641689</c:v>
                </c:pt>
                <c:pt idx="462">
                  <c:v>-10.8802386419517</c:v>
                </c:pt>
                <c:pt idx="463">
                  <c:v>-10.8099286783596</c:v>
                </c:pt>
                <c:pt idx="464">
                  <c:v>-10.7400000572892</c:v>
                </c:pt>
                <c:pt idx="465">
                  <c:v>-10.6704022314058</c:v>
                </c:pt>
                <c:pt idx="466">
                  <c:v>-10.6010834024685</c:v>
                </c:pt>
                <c:pt idx="467">
                  <c:v>-10.5319903953618</c:v>
                </c:pt>
                <c:pt idx="468">
                  <c:v>-10.4630685253684</c:v>
                </c:pt>
                <c:pt idx="469">
                  <c:v>-10.3942614581929</c:v>
                </c:pt>
                <c:pt idx="470">
                  <c:v>-10.3255110622295</c:v>
                </c:pt>
                <c:pt idx="471">
                  <c:v>-10.256757252548</c:v>
                </c:pt>
                <c:pt idx="472">
                  <c:v>-10.1879378260569</c:v>
                </c:pt>
                <c:pt idx="473">
                  <c:v>-10.1189882872874</c:v>
                </c:pt>
                <c:pt idx="474">
                  <c:v>-10.0498416642357</c:v>
                </c:pt>
                <c:pt idx="475">
                  <c:v>-9.98042831369502</c:v>
                </c:pt>
                <c:pt idx="476">
                  <c:v>-9.91067571551099</c:v>
                </c:pt>
                <c:pt idx="477">
                  <c:v>-9.84050825520777</c:v>
                </c:pt>
                <c:pt idx="478">
                  <c:v>-9.76984699445092</c:v>
                </c:pt>
                <c:pt idx="479">
                  <c:v>-9.69860942885075</c:v>
                </c:pt>
                <c:pt idx="480">
                  <c:v>-9.62670923266091</c:v>
                </c:pt>
                <c:pt idx="481">
                  <c:v>-9.55405598999916</c:v>
                </c:pt>
                <c:pt idx="482">
                  <c:v>-9.48055491231472</c:v>
                </c:pt>
                <c:pt idx="483">
                  <c:v>-9.40610654195368</c:v>
                </c:pt>
                <c:pt idx="484">
                  <c:v>-9.33060644183721</c:v>
                </c:pt>
                <c:pt idx="485">
                  <c:v>-9.2539448714748</c:v>
                </c:pt>
                <c:pt idx="486">
                  <c:v>-9.17600644979323</c:v>
                </c:pt>
                <c:pt idx="487">
                  <c:v>-9.09666980558277</c:v>
                </c:pt>
                <c:pt idx="488">
                  <c:v>-9.01580721675575</c:v>
                </c:pt>
                <c:pt idx="489">
                  <c:v>-8.93328424009126</c:v>
                </c:pt>
                <c:pt idx="490">
                  <c:v>-8.84895933371934</c:v>
                </c:pt>
                <c:pt idx="491">
                  <c:v>-8.76268347529308</c:v>
                </c:pt>
                <c:pt idx="492">
                  <c:v>-8.67429977962713</c:v>
                </c:pt>
                <c:pt idx="493">
                  <c:v>-8.5836431205641</c:v>
                </c:pt>
                <c:pt idx="494">
                  <c:v>-8.49053976298956</c:v>
                </c:pt>
                <c:pt idx="495">
                  <c:v>-8.39480701227133</c:v>
                </c:pt>
                <c:pt idx="496">
                  <c:v>-8.29625288997446</c:v>
                </c:pt>
                <c:pt idx="497">
                  <c:v>-8.19467584651983</c:v>
                </c:pt>
                <c:pt idx="498">
                  <c:v>-8.08986452353265</c:v>
                </c:pt>
                <c:pt idx="499">
                  <c:v>-7.98159758098272</c:v>
                </c:pt>
                <c:pt idx="500">
                  <c:v>-7.869643606861</c:v>
                </c:pt>
                <c:pt idx="501">
                  <c:v>-7.75376113006521</c:v>
                </c:pt>
                <c:pt idx="502">
                  <c:v>-7.6336987603669</c:v>
                </c:pt>
                <c:pt idx="503">
                  <c:v>-7.50919548276778</c:v>
                </c:pt>
                <c:pt idx="504">
                  <c:v>-7.37998113716185</c:v>
                </c:pt>
                <c:pt idx="505">
                  <c:v>-7.24577711790683</c:v>
                </c:pt>
                <c:pt idx="506">
                  <c:v>-7.10629733153132</c:v>
                </c:pt>
                <c:pt idx="507">
                  <c:v>-6.96124945417025</c:v>
                </c:pt>
                <c:pt idx="508">
                  <c:v>-6.81033653317114</c:v>
                </c:pt>
                <c:pt idx="509">
                  <c:v>-6.65325897931519</c:v>
                </c:pt>
                <c:pt idx="510">
                  <c:v>-6.48971699683583</c:v>
                </c:pt>
                <c:pt idx="511">
                  <c:v>-6.31941349739286</c:v>
                </c:pt>
                <c:pt idx="512">
                  <c:v>-6.14205754078872</c:v>
                </c:pt>
                <c:pt idx="513">
                  <c:v>-5.95736833884085</c:v>
                </c:pt>
                <c:pt idx="514">
                  <c:v>-5.76507984875037</c:v>
                </c:pt>
                <c:pt idx="515">
                  <c:v>-5.56494596783292</c:v>
                </c:pt>
                <c:pt idx="516">
                  <c:v>-5.35674632196604</c:v>
                </c:pt>
                <c:pt idx="517">
                  <c:v>-5.14029261507852</c:v>
                </c:pt>
                <c:pt idx="518">
                  <c:v>-4.91543547624783</c:v>
                </c:pt>
                <c:pt idx="519">
                  <c:v>-4.68207170467552</c:v>
                </c:pt>
                <c:pt idx="520">
                  <c:v>-4.44015177172246</c:v>
                </c:pt>
                <c:pt idx="521">
                  <c:v>-4.18968739474482</c:v>
                </c:pt>
                <c:pt idx="522">
                  <c:v>-3.93075895192893</c:v>
                </c:pt>
                <c:pt idx="523">
                  <c:v>-3.66352246378682</c:v>
                </c:pt>
                <c:pt idx="524">
                  <c:v>-3.38821582937554</c:v>
                </c:pt>
                <c:pt idx="525">
                  <c:v>-3.10516397821163</c:v>
                </c:pt>
                <c:pt idx="526">
                  <c:v>-2.81478258714505</c:v>
                </c:pt>
                <c:pt idx="527">
                  <c:v>-2.51758001982132</c:v>
                </c:pt>
                <c:pt idx="528">
                  <c:v>-2.21415717865122</c:v>
                </c:pt>
                <c:pt idx="529">
                  <c:v>-1.90520501773493</c:v>
                </c:pt>
                <c:pt idx="530">
                  <c:v>-1.59149955002544</c:v>
                </c:pt>
                <c:pt idx="531">
                  <c:v>-1.27389429047005</c:v>
                </c:pt>
                <c:pt idx="532">
                  <c:v>-0.953310203235902</c:v>
                </c:pt>
                <c:pt idx="533">
                  <c:v>-0.630723356875763</c:v>
                </c:pt>
                <c:pt idx="534">
                  <c:v>-0.307150625710698</c:v>
                </c:pt>
                <c:pt idx="535">
                  <c:v>0.01636610300039</c:v>
                </c:pt>
                <c:pt idx="536">
                  <c:v>0.338776659842504</c:v>
                </c:pt>
                <c:pt idx="537">
                  <c:v>0.659039643257598</c:v>
                </c:pt>
                <c:pt idx="538">
                  <c:v>0.976139148282149</c:v>
                </c:pt>
                <c:pt idx="539">
                  <c:v>1.28910055468456</c:v>
                </c:pt>
                <c:pt idx="540">
                  <c:v>1.59700481714295</c:v>
                </c:pt>
                <c:pt idx="541">
                  <c:v>1.89900079650567</c:v>
                </c:pt>
                <c:pt idx="542">
                  <c:v>2.19431529243381</c:v>
                </c:pt>
                <c:pt idx="543">
                  <c:v>2.48226057236986</c:v>
                </c:pt>
                <c:pt idx="544">
                  <c:v>2.76223932797258</c:v>
                </c:pt>
                <c:pt idx="545">
                  <c:v>3.03374711712111</c:v>
                </c:pt>
                <c:pt idx="546">
                  <c:v>3.29637245869963</c:v>
                </c:pt>
                <c:pt idx="547">
                  <c:v>3.549794832837</c:v>
                </c:pt>
                <c:pt idx="548">
                  <c:v>3.79378089831938</c:v>
                </c:pt>
                <c:pt idx="549">
                  <c:v>4.02817927154299</c:v>
                </c:pt>
                <c:pt idx="550">
                  <c:v>4.25291421991195</c:v>
                </c:pt>
                <c:pt idx="551">
                  <c:v>4.46797861087197</c:v>
                </c:pt>
                <c:pt idx="552">
                  <c:v>4.67342643051364</c:v>
                </c:pt>
                <c:pt idx="553">
                  <c:v>4.869365147793</c:v>
                </c:pt>
                <c:pt idx="554">
                  <c:v>5.0559481565177</c:v>
                </c:pt>
                <c:pt idx="555">
                  <c:v>5.23336748130316</c:v>
                </c:pt>
                <c:pt idx="556">
                  <c:v>5.40184688886549</c:v>
                </c:pt>
                <c:pt idx="557">
                  <c:v>5.56163550456227</c:v>
                </c:pt>
                <c:pt idx="558">
                  <c:v>5.71300199747971</c:v>
                </c:pt>
                <c:pt idx="559">
                  <c:v>5.85622936635058</c:v>
                </c:pt>
                <c:pt idx="560">
                  <c:v>5.99161033336765</c:v>
                </c:pt>
                <c:pt idx="561">
                  <c:v>6.11944333331842</c:v>
                </c:pt>
                <c:pt idx="562">
                  <c:v>6.2400290709199</c:v>
                </c:pt>
                <c:pt idx="563">
                  <c:v>6.3536676091342</c:v>
                </c:pt>
                <c:pt idx="564">
                  <c:v>6.46065594488519</c:v>
                </c:pt>
                <c:pt idx="565">
                  <c:v>6.56128602526623</c:v>
                </c:pt>
                <c:pt idx="566">
                  <c:v>6.65584315636421</c:v>
                </c:pt>
                <c:pt idx="567">
                  <c:v>6.744604757636</c:v>
                </c:pt>
                <c:pt idx="568">
                  <c:v>6.82783941685241</c:v>
                </c:pt>
                <c:pt idx="569">
                  <c:v>6.90580620355367</c:v>
                </c:pt>
                <c:pt idx="570">
                  <c:v>6.97875420240212</c:v>
                </c:pt>
                <c:pt idx="571">
                  <c:v>7.04692223151243</c:v>
                </c:pt>
                <c:pt idx="572">
                  <c:v>7.11053871459023</c:v>
                </c:pt>
                <c:pt idx="573">
                  <c:v>7.16982167937682</c:v>
                </c:pt>
                <c:pt idx="574">
                  <c:v>7.22497885838216</c:v>
                </c:pt>
                <c:pt idx="575">
                  <c:v>7.27620787113018</c:v>
                </c:pt>
                <c:pt idx="576">
                  <c:v>7.32369647010433</c:v>
                </c:pt>
                <c:pt idx="577">
                  <c:v>7.36762283525248</c:v>
                </c:pt>
                <c:pt idx="578">
                  <c:v>7.40815590428924</c:v>
                </c:pt>
                <c:pt idx="579">
                  <c:v>7.44545572813015</c:v>
                </c:pt>
                <c:pt idx="580">
                  <c:v>7.47967384262297</c:v>
                </c:pt>
                <c:pt idx="581">
                  <c:v>7.51095364932654</c:v>
                </c:pt>
                <c:pt idx="582">
                  <c:v>7.53943079945082</c:v>
                </c:pt>
                <c:pt idx="583">
                  <c:v>7.56523357623466</c:v>
                </c:pt>
                <c:pt idx="584">
                  <c:v>7.58848327202431</c:v>
                </c:pt>
                <c:pt idx="585">
                  <c:v>7.60929455714617</c:v>
                </c:pt>
                <c:pt idx="586">
                  <c:v>7.62777583836282</c:v>
                </c:pt>
                <c:pt idx="587">
                  <c:v>7.64402960527888</c:v>
                </c:pt>
                <c:pt idx="588">
                  <c:v>7.65815276354089</c:v>
                </c:pt>
                <c:pt idx="589">
                  <c:v>7.67023695406612</c:v>
                </c:pt>
                <c:pt idx="590">
                  <c:v>7.680368857853</c:v>
                </c:pt>
                <c:pt idx="591">
                  <c:v>7.68863048618194</c:v>
                </c:pt>
                <c:pt idx="592">
                  <c:v>7.695099456219</c:v>
                </c:pt>
                <c:pt idx="593">
                  <c:v>7.69984925219506</c:v>
                </c:pt>
                <c:pt idx="594">
                  <c:v>7.7029494724574</c:v>
                </c:pt>
                <c:pt idx="595">
                  <c:v>7.70446606278407</c:v>
                </c:pt>
                <c:pt idx="596">
                  <c:v>7.70446153642088</c:v>
                </c:pt>
                <c:pt idx="597">
                  <c:v>7.70299518134976</c:v>
                </c:pt>
                <c:pt idx="598">
                  <c:v>7.70012325532931</c:v>
                </c:pt>
                <c:pt idx="599">
                  <c:v>7.69589916926785</c:v>
                </c:pt>
                <c:pt idx="600">
                  <c:v>7.69037365949744</c:v>
                </c:pt>
                <c:pt idx="601">
                  <c:v>7.6835949495175</c:v>
                </c:pt>
                <c:pt idx="602">
                  <c:v>7.67560890176999</c:v>
                </c:pt>
                <c:pt idx="603">
                  <c:v>7.66645915999662</c:v>
                </c:pt>
                <c:pt idx="604">
                  <c:v>7.65618728271299</c:v>
                </c:pt>
                <c:pt idx="605">
                  <c:v>7.64483286831618</c:v>
                </c:pt>
                <c:pt idx="606">
                  <c:v>7.63243367232252</c:v>
                </c:pt>
                <c:pt idx="607">
                  <c:v>7.61902571721023</c:v>
                </c:pt>
                <c:pt idx="608">
                  <c:v>7.60464339531978</c:v>
                </c:pt>
                <c:pt idx="609">
                  <c:v>7.58931956524209</c:v>
                </c:pt>
                <c:pt idx="610">
                  <c:v>7.57308564210204</c:v>
                </c:pt>
                <c:pt idx="611">
                  <c:v>7.55597168212281</c:v>
                </c:pt>
                <c:pt idx="612">
                  <c:v>7.53800646183442</c:v>
                </c:pt>
                <c:pt idx="613">
                  <c:v>7.51921755226902</c:v>
                </c:pt>
                <c:pt idx="614">
                  <c:v>7.49963138846491</c:v>
                </c:pt>
                <c:pt idx="615">
                  <c:v>7.47927333458173</c:v>
                </c:pt>
                <c:pt idx="616">
                  <c:v>7.4581677449107</c:v>
                </c:pt>
                <c:pt idx="617">
                  <c:v>7.43633802104579</c:v>
                </c:pt>
                <c:pt idx="618">
                  <c:v>7.41380666546504</c:v>
                </c:pt>
                <c:pt idx="619">
                  <c:v>7.39059533175509</c:v>
                </c:pt>
                <c:pt idx="620">
                  <c:v>7.36672487169701</c:v>
                </c:pt>
                <c:pt idx="621">
                  <c:v>7.3422153794173</c:v>
                </c:pt>
                <c:pt idx="622">
                  <c:v>7.31708623279461</c:v>
                </c:pt>
                <c:pt idx="623">
                  <c:v>7.29135613229996</c:v>
                </c:pt>
                <c:pt idx="624">
                  <c:v>7.26504313743691</c:v>
                </c:pt>
                <c:pt idx="625">
                  <c:v>7.23816470093664</c:v>
                </c:pt>
                <c:pt idx="626">
                  <c:v>7.21073770085287</c:v>
                </c:pt>
                <c:pt idx="627">
                  <c:v>7.18277847069185</c:v>
                </c:pt>
                <c:pt idx="628">
                  <c:v>7.15430282770364</c:v>
                </c:pt>
                <c:pt idx="629">
                  <c:v>7.12532609945238</c:v>
                </c:pt>
                <c:pt idx="630">
                  <c:v>7.09586314877559</c:v>
                </c:pt>
                <c:pt idx="631">
                  <c:v>7.06592839723506</c:v>
                </c:pt>
                <c:pt idx="632">
                  <c:v>7.03553584715512</c:v>
                </c:pt>
                <c:pt idx="633">
                  <c:v>7.00469910233775</c:v>
                </c:pt>
                <c:pt idx="634">
                  <c:v>6.97343138753783</c:v>
                </c:pt>
                <c:pt idx="635">
                  <c:v>6.94174556677686</c:v>
                </c:pt>
                <c:pt idx="636">
                  <c:v>6.90965416056744</c:v>
                </c:pt>
                <c:pt idx="637">
                  <c:v>6.87716936211701</c:v>
                </c:pt>
                <c:pt idx="638">
                  <c:v>6.84430305257396</c:v>
                </c:pt>
                <c:pt idx="639">
                  <c:v>6.81106681537577</c:v>
                </c:pt>
                <c:pt idx="640">
                  <c:v>6.77747194975452</c:v>
                </c:pt>
                <c:pt idx="641">
                  <c:v>6.74352948345165</c:v>
                </c:pt>
                <c:pt idx="642">
                  <c:v>6.70925018469048</c:v>
                </c:pt>
                <c:pt idx="643">
                  <c:v>6.67464457345194</c:v>
                </c:pt>
                <c:pt idx="644">
                  <c:v>6.63972293209574</c:v>
                </c:pt>
                <c:pt idx="645">
                  <c:v>6.60449531536699</c:v>
                </c:pt>
                <c:pt idx="646">
                  <c:v>6.56897155982514</c:v>
                </c:pt>
                <c:pt idx="647">
                  <c:v>6.53316129273031</c:v>
                </c:pt>
                <c:pt idx="648">
                  <c:v>6.49707394041945</c:v>
                </c:pt>
                <c:pt idx="649">
                  <c:v>6.46071873620296</c:v>
                </c:pt>
                <c:pt idx="650">
                  <c:v>6.42410472781032</c:v>
                </c:pt>
                <c:pt idx="651">
                  <c:v>6.38724078441162</c:v>
                </c:pt>
                <c:pt idx="652">
                  <c:v>6.35013560324021</c:v>
                </c:pt>
                <c:pt idx="653">
                  <c:v>6.31279771583989</c:v>
                </c:pt>
                <c:pt idx="654">
                  <c:v>6.27523549395897</c:v>
                </c:pt>
                <c:pt idx="655">
                  <c:v>6.23745715511185</c:v>
                </c:pt>
                <c:pt idx="656">
                  <c:v>6.19947076782779</c:v>
                </c:pt>
                <c:pt idx="657">
                  <c:v>6.16128425660494</c:v>
                </c:pt>
                <c:pt idx="658">
                  <c:v>6.12290540658713</c:v>
                </c:pt>
                <c:pt idx="659">
                  <c:v>6.08434186797942</c:v>
                </c:pt>
                <c:pt idx="660">
                  <c:v>6.04560116021754</c:v>
                </c:pt>
                <c:pt idx="661">
                  <c:v>6.00669067590585</c:v>
                </c:pt>
                <c:pt idx="662">
                  <c:v>5.96761768453685</c:v>
                </c:pt>
                <c:pt idx="663">
                  <c:v>5.92838933600513</c:v>
                </c:pt>
                <c:pt idx="664">
                  <c:v>5.88901266392764</c:v>
                </c:pt>
                <c:pt idx="665">
                  <c:v>5.84949458878143</c:v>
                </c:pt>
                <c:pt idx="666">
                  <c:v>5.80984192086945</c:v>
                </c:pt>
                <c:pt idx="667">
                  <c:v>5.7700613631243</c:v>
                </c:pt>
                <c:pt idx="668">
                  <c:v>5.73015951375932</c:v>
                </c:pt>
                <c:pt idx="669">
                  <c:v>5.69014286877589</c:v>
                </c:pt>
                <c:pt idx="670">
                  <c:v>5.65001782433513</c:v>
                </c:pt>
                <c:pt idx="671">
                  <c:v>5.60979067900196</c:v>
                </c:pt>
                <c:pt idx="672">
                  <c:v>5.56946763586886</c:v>
                </c:pt>
                <c:pt idx="673">
                  <c:v>5.52905480456628</c:v>
                </c:pt>
                <c:pt idx="674">
                  <c:v>5.48855820316632</c:v>
                </c:pt>
                <c:pt idx="675">
                  <c:v>5.44798375998591</c:v>
                </c:pt>
                <c:pt idx="676">
                  <c:v>5.40733731529523</c:v>
                </c:pt>
                <c:pt idx="677">
                  <c:v>5.36662462293712</c:v>
                </c:pt>
                <c:pt idx="678">
                  <c:v>5.3258513518624</c:v>
                </c:pt>
                <c:pt idx="679">
                  <c:v>5.2850230875864</c:v>
                </c:pt>
                <c:pt idx="680">
                  <c:v>5.244145333571</c:v>
                </c:pt>
                <c:pt idx="681">
                  <c:v>5.20322351253687</c:v>
                </c:pt>
                <c:pt idx="682">
                  <c:v>5.16226296770988</c:v>
                </c:pt>
                <c:pt idx="683">
                  <c:v>5.1212689640058</c:v>
                </c:pt>
                <c:pt idx="684">
                  <c:v>5.08024668915673</c:v>
                </c:pt>
                <c:pt idx="685">
                  <c:v>5.0392012547831</c:v>
                </c:pt>
                <c:pt idx="686">
                  <c:v>4.99813769741431</c:v>
                </c:pt>
                <c:pt idx="687">
                  <c:v>4.95706097946129</c:v>
                </c:pt>
                <c:pt idx="688">
                  <c:v>4.91597599014393</c:v>
                </c:pt>
                <c:pt idx="689">
                  <c:v>4.87488754637609</c:v>
                </c:pt>
                <c:pt idx="690">
                  <c:v>4.83380039361099</c:v>
                </c:pt>
                <c:pt idx="691">
                  <c:v>4.79271920664944</c:v>
                </c:pt>
                <c:pt idx="692">
                  <c:v>4.75164859041322</c:v>
                </c:pt>
                <c:pt idx="693">
                  <c:v>4.71059308068596</c:v>
                </c:pt>
                <c:pt idx="694">
                  <c:v>4.66955714482357</c:v>
                </c:pt>
                <c:pt idx="695">
                  <c:v>4.62854518243632</c:v>
                </c:pt>
                <c:pt idx="696">
                  <c:v>4.58756152604431</c:v>
                </c:pt>
                <c:pt idx="697">
                  <c:v>4.54661044170831</c:v>
                </c:pt>
                <c:pt idx="698">
                  <c:v>4.50569612963759</c:v>
                </c:pt>
                <c:pt idx="699">
                  <c:v>4.46482272477628</c:v>
                </c:pt>
                <c:pt idx="700">
                  <c:v>4.42399429736996</c:v>
                </c:pt>
                <c:pt idx="701">
                  <c:v>4.38321485351362</c:v>
                </c:pt>
                <c:pt idx="702">
                  <c:v>4.34248833568278</c:v>
                </c:pt>
                <c:pt idx="703">
                  <c:v>4.30181862324854</c:v>
                </c:pt>
                <c:pt idx="704">
                  <c:v>4.26120953297824</c:v>
                </c:pt>
                <c:pt idx="705">
                  <c:v>4.22066481952247</c:v>
                </c:pt>
                <c:pt idx="706">
                  <c:v>4.18018817588992</c:v>
                </c:pt>
                <c:pt idx="707">
                  <c:v>4.13978323391064</c:v>
                </c:pt>
                <c:pt idx="708">
                  <c:v>4.09945356468911</c:v>
                </c:pt>
                <c:pt idx="709">
                  <c:v>4.05920267904761</c:v>
                </c:pt>
                <c:pt idx="710">
                  <c:v>4.0190340279611</c:v>
                </c:pt>
                <c:pt idx="711">
                  <c:v>3.97895100298422</c:v>
                </c:pt>
                <c:pt idx="712">
                  <c:v>3.93895693667113</c:v>
                </c:pt>
                <c:pt idx="713">
                  <c:v>3.89905510298906</c:v>
                </c:pt>
                <c:pt idx="714">
                  <c:v>3.85924871772611</c:v>
                </c:pt>
                <c:pt idx="715">
                  <c:v>3.81954093889398</c:v>
                </c:pt>
                <c:pt idx="716">
                  <c:v>3.77993486712621</c:v>
                </c:pt>
                <c:pt idx="717">
                  <c:v>3.74043354607247</c:v>
                </c:pt>
                <c:pt idx="718">
                  <c:v>3.70103996278942</c:v>
                </c:pt>
                <c:pt idx="719">
                  <c:v>3.70100079818219</c:v>
                </c:pt>
                <c:pt idx="720">
                  <c:v>3.7009616336852</c:v>
                </c:pt>
                <c:pt idx="721">
                  <c:v>3.70092246929846</c:v>
                </c:pt>
                <c:pt idx="722">
                  <c:v>3.70088330502196</c:v>
                </c:pt>
                <c:pt idx="723">
                  <c:v>3.7008441408557</c:v>
                </c:pt>
                <c:pt idx="724">
                  <c:v>3.70080497679969</c:v>
                </c:pt>
                <c:pt idx="725">
                  <c:v>3.70076581285394</c:v>
                </c:pt>
                <c:pt idx="726">
                  <c:v>3.70072664901844</c:v>
                </c:pt>
                <c:pt idx="727">
                  <c:v>3.70068748529321</c:v>
                </c:pt>
                <c:pt idx="728">
                  <c:v>3.70064832167822</c:v>
                </c:pt>
                <c:pt idx="729">
                  <c:v>3.70060915817351</c:v>
                </c:pt>
                <c:pt idx="730">
                  <c:v>3.70056999477906</c:v>
                </c:pt>
                <c:pt idx="731">
                  <c:v>3.70053083149489</c:v>
                </c:pt>
                <c:pt idx="732">
                  <c:v>3.70049166832098</c:v>
                </c:pt>
                <c:pt idx="733">
                  <c:v>3.70045250525735</c:v>
                </c:pt>
                <c:pt idx="734">
                  <c:v>3.700413342304</c:v>
                </c:pt>
                <c:pt idx="735">
                  <c:v>3.70037417946093</c:v>
                </c:pt>
                <c:pt idx="736">
                  <c:v>3.70033501672814</c:v>
                </c:pt>
                <c:pt idx="737">
                  <c:v>3.70029585410564</c:v>
                </c:pt>
                <c:pt idx="738">
                  <c:v>3.70025669159343</c:v>
                </c:pt>
                <c:pt idx="739">
                  <c:v>3.70021752919152</c:v>
                </c:pt>
                <c:pt idx="740">
                  <c:v>3.7001783668999</c:v>
                </c:pt>
                <c:pt idx="741">
                  <c:v>3.70013920471857</c:v>
                </c:pt>
                <c:pt idx="742">
                  <c:v>3.70010004264755</c:v>
                </c:pt>
                <c:pt idx="743">
                  <c:v>3.70006088068683</c:v>
                </c:pt>
                <c:pt idx="744">
                  <c:v>3.70002171883642</c:v>
                </c:pt>
                <c:pt idx="745">
                  <c:v>3.69998255709631</c:v>
                </c:pt>
                <c:pt idx="746">
                  <c:v>3.69994339546653</c:v>
                </c:pt>
                <c:pt idx="747">
                  <c:v>3.69990423394705</c:v>
                </c:pt>
                <c:pt idx="748">
                  <c:v>3.6998650725379</c:v>
                </c:pt>
                <c:pt idx="749">
                  <c:v>3.69982591123907</c:v>
                </c:pt>
                <c:pt idx="750">
                  <c:v>3.69978675005055</c:v>
                </c:pt>
                <c:pt idx="751">
                  <c:v>3.69974758897236</c:v>
                </c:pt>
                <c:pt idx="752">
                  <c:v>3.69970842800451</c:v>
                </c:pt>
                <c:pt idx="753">
                  <c:v>3.69966926714699</c:v>
                </c:pt>
                <c:pt idx="754">
                  <c:v>3.6996301063998</c:v>
                </c:pt>
                <c:pt idx="755">
                  <c:v>3.69959094576295</c:v>
                </c:pt>
                <c:pt idx="756">
                  <c:v>3.69955178523645</c:v>
                </c:pt>
                <c:pt idx="757">
                  <c:v>3.69951262482029</c:v>
                </c:pt>
                <c:pt idx="758">
                  <c:v>3.69947346451447</c:v>
                </c:pt>
                <c:pt idx="759">
                  <c:v>3.69943430431901</c:v>
                </c:pt>
                <c:pt idx="760">
                  <c:v>3.69939514423389</c:v>
                </c:pt>
                <c:pt idx="761">
                  <c:v>3.69935598425914</c:v>
                </c:pt>
                <c:pt idx="762">
                  <c:v>3.69931682439474</c:v>
                </c:pt>
                <c:pt idx="763">
                  <c:v>3.6992776646407</c:v>
                </c:pt>
                <c:pt idx="764">
                  <c:v>3.69923850499702</c:v>
                </c:pt>
                <c:pt idx="765">
                  <c:v>3.69919934546371</c:v>
                </c:pt>
                <c:pt idx="766">
                  <c:v>3.69916018604078</c:v>
                </c:pt>
                <c:pt idx="767">
                  <c:v>3.69912102672821</c:v>
                </c:pt>
                <c:pt idx="768">
                  <c:v>3.69908186752602</c:v>
                </c:pt>
                <c:pt idx="769">
                  <c:v>3.69904270843421</c:v>
                </c:pt>
                <c:pt idx="770">
                  <c:v>3.69900354945278</c:v>
                </c:pt>
                <c:pt idx="771">
                  <c:v>3.69896439058173</c:v>
                </c:pt>
                <c:pt idx="772">
                  <c:v>3.69892523182107</c:v>
                </c:pt>
                <c:pt idx="773">
                  <c:v>3.6988860731708</c:v>
                </c:pt>
                <c:pt idx="774">
                  <c:v>3.69884691463092</c:v>
                </c:pt>
                <c:pt idx="775">
                  <c:v>3.69880775620144</c:v>
                </c:pt>
                <c:pt idx="776">
                  <c:v>3.69876859788236</c:v>
                </c:pt>
                <c:pt idx="777">
                  <c:v>3.69872943967368</c:v>
                </c:pt>
                <c:pt idx="778">
                  <c:v>3.6986902815754</c:v>
                </c:pt>
                <c:pt idx="779">
                  <c:v>3.69865112358752</c:v>
                </c:pt>
                <c:pt idx="780">
                  <c:v>3.69861196571006</c:v>
                </c:pt>
                <c:pt idx="781">
                  <c:v>3.69857280794301</c:v>
                </c:pt>
                <c:pt idx="782">
                  <c:v>3.69853365028638</c:v>
                </c:pt>
                <c:pt idx="783">
                  <c:v>3.69849449274017</c:v>
                </c:pt>
                <c:pt idx="784">
                  <c:v>3.69845533530437</c:v>
                </c:pt>
                <c:pt idx="785">
                  <c:v>3.698416177979</c:v>
                </c:pt>
                <c:pt idx="786">
                  <c:v>3.69837702076406</c:v>
                </c:pt>
                <c:pt idx="787">
                  <c:v>3.69833786365955</c:v>
                </c:pt>
                <c:pt idx="788">
                  <c:v>3.69829870666546</c:v>
                </c:pt>
                <c:pt idx="789">
                  <c:v>3.69825954978182</c:v>
                </c:pt>
                <c:pt idx="790">
                  <c:v>3.69822039300861</c:v>
                </c:pt>
                <c:pt idx="791">
                  <c:v>3.69818123634584</c:v>
                </c:pt>
                <c:pt idx="792">
                  <c:v>3.69814207979352</c:v>
                </c:pt>
                <c:pt idx="793">
                  <c:v>3.69810292335164</c:v>
                </c:pt>
                <c:pt idx="794">
                  <c:v>3.69806376702022</c:v>
                </c:pt>
                <c:pt idx="795">
                  <c:v>3.69802461079925</c:v>
                </c:pt>
                <c:pt idx="796">
                  <c:v>3.69798545468873</c:v>
                </c:pt>
                <c:pt idx="797">
                  <c:v>3.69794629868867</c:v>
                </c:pt>
                <c:pt idx="798">
                  <c:v>3.69790714279907</c:v>
                </c:pt>
                <c:pt idx="799">
                  <c:v>3.69786798701993</c:v>
                </c:pt>
                <c:pt idx="800">
                  <c:v>3.69782883135127</c:v>
                </c:pt>
                <c:pt idx="801">
                  <c:v>3.69778967579307</c:v>
                </c:pt>
                <c:pt idx="802">
                  <c:v>3.69775052034534</c:v>
                </c:pt>
                <c:pt idx="803">
                  <c:v>3.6977113650081</c:v>
                </c:pt>
                <c:pt idx="804">
                  <c:v>3.69767220978132</c:v>
                </c:pt>
                <c:pt idx="805">
                  <c:v>3.69763305466503</c:v>
                </c:pt>
                <c:pt idx="806">
                  <c:v>3.69759389965923</c:v>
                </c:pt>
                <c:pt idx="807">
                  <c:v>3.69755474476391</c:v>
                </c:pt>
                <c:pt idx="808">
                  <c:v>3.69751558997907</c:v>
                </c:pt>
                <c:pt idx="809">
                  <c:v>3.69747643530474</c:v>
                </c:pt>
                <c:pt idx="810">
                  <c:v>3.69743728074089</c:v>
                </c:pt>
                <c:pt idx="811">
                  <c:v>3.69739812628755</c:v>
                </c:pt>
                <c:pt idx="812">
                  <c:v>3.69735897194471</c:v>
                </c:pt>
                <c:pt idx="813">
                  <c:v>3.69731981771237</c:v>
                </c:pt>
                <c:pt idx="814">
                  <c:v>3.69728066359054</c:v>
                </c:pt>
                <c:pt idx="815">
                  <c:v>3.69724150957922</c:v>
                </c:pt>
                <c:pt idx="816">
                  <c:v>3.69720235567841</c:v>
                </c:pt>
                <c:pt idx="817">
                  <c:v>3.69716320188812</c:v>
                </c:pt>
                <c:pt idx="818">
                  <c:v>3.69712404820834</c:v>
                </c:pt>
                <c:pt idx="819">
                  <c:v>3.69708489463909</c:v>
                </c:pt>
                <c:pt idx="820">
                  <c:v>3.69704574118036</c:v>
                </c:pt>
                <c:pt idx="821">
                  <c:v>3.69700658783215</c:v>
                </c:pt>
                <c:pt idx="822">
                  <c:v>3.69696743459448</c:v>
                </c:pt>
                <c:pt idx="823">
                  <c:v>3.69692828146734</c:v>
                </c:pt>
                <c:pt idx="824">
                  <c:v>3.69688912845073</c:v>
                </c:pt>
                <c:pt idx="825">
                  <c:v>3.69684997554466</c:v>
                </c:pt>
                <c:pt idx="826">
                  <c:v>3.69681082274914</c:v>
                </c:pt>
                <c:pt idx="827">
                  <c:v>3.69677167006415</c:v>
                </c:pt>
                <c:pt idx="828">
                  <c:v>3.69673251748972</c:v>
                </c:pt>
                <c:pt idx="829">
                  <c:v>3.69669336502583</c:v>
                </c:pt>
                <c:pt idx="830">
                  <c:v>3.6966542126725</c:v>
                </c:pt>
                <c:pt idx="831">
                  <c:v>3.69661506042972</c:v>
                </c:pt>
                <c:pt idx="832">
                  <c:v>3.6965759082975</c:v>
                </c:pt>
                <c:pt idx="833">
                  <c:v>3.69653675627583</c:v>
                </c:pt>
                <c:pt idx="834">
                  <c:v>3.69649760436474</c:v>
                </c:pt>
                <c:pt idx="835">
                  <c:v>3.69645845256421</c:v>
                </c:pt>
                <c:pt idx="836">
                  <c:v>3.69641930087426</c:v>
                </c:pt>
                <c:pt idx="837">
                  <c:v>3.69638014929487</c:v>
                </c:pt>
                <c:pt idx="838">
                  <c:v>3.69634099782606</c:v>
                </c:pt>
                <c:pt idx="839">
                  <c:v>3.69630184646782</c:v>
                </c:pt>
                <c:pt idx="840">
                  <c:v>3.69626269522017</c:v>
                </c:pt>
                <c:pt idx="841">
                  <c:v>3.69622354408311</c:v>
                </c:pt>
                <c:pt idx="842">
                  <c:v>3.69618439305663</c:v>
                </c:pt>
                <c:pt idx="843">
                  <c:v>3.69614524214073</c:v>
                </c:pt>
                <c:pt idx="844">
                  <c:v>3.69610609133543</c:v>
                </c:pt>
                <c:pt idx="845">
                  <c:v>3.69606694064073</c:v>
                </c:pt>
                <c:pt idx="846">
                  <c:v>3.69602779005662</c:v>
                </c:pt>
                <c:pt idx="847">
                  <c:v>3.69598863958312</c:v>
                </c:pt>
                <c:pt idx="848">
                  <c:v>3.69594948922022</c:v>
                </c:pt>
                <c:pt idx="849">
                  <c:v>3.69591033896792</c:v>
                </c:pt>
                <c:pt idx="850">
                  <c:v>3.69587118882624</c:v>
                </c:pt>
                <c:pt idx="851">
                  <c:v>3.69583203879517</c:v>
                </c:pt>
                <c:pt idx="852">
                  <c:v>3.69579288887471</c:v>
                </c:pt>
                <c:pt idx="853">
                  <c:v>3.69575373906487</c:v>
                </c:pt>
                <c:pt idx="854">
                  <c:v>3.69571458936565</c:v>
                </c:pt>
                <c:pt idx="855">
                  <c:v>3.69567543977706</c:v>
                </c:pt>
                <c:pt idx="856">
                  <c:v>3.69563629029909</c:v>
                </c:pt>
                <c:pt idx="857">
                  <c:v>3.69559714093176</c:v>
                </c:pt>
                <c:pt idx="858">
                  <c:v>3.69555799167505</c:v>
                </c:pt>
                <c:pt idx="859">
                  <c:v>3.69551884252898</c:v>
                </c:pt>
                <c:pt idx="860">
                  <c:v>3.69547969349355</c:v>
                </c:pt>
                <c:pt idx="861">
                  <c:v>3.69544054456876</c:v>
                </c:pt>
                <c:pt idx="862">
                  <c:v>3.69540139575462</c:v>
                </c:pt>
                <c:pt idx="863">
                  <c:v>3.69536224705111</c:v>
                </c:pt>
                <c:pt idx="864">
                  <c:v>3.69532309845826</c:v>
                </c:pt>
                <c:pt idx="865">
                  <c:v>3.69528394997606</c:v>
                </c:pt>
                <c:pt idx="866">
                  <c:v>3.69524480160452</c:v>
                </c:pt>
                <c:pt idx="867">
                  <c:v>3.69520565334364</c:v>
                </c:pt>
                <c:pt idx="868">
                  <c:v>3.69516650519341</c:v>
                </c:pt>
                <c:pt idx="869">
                  <c:v>3.69512735715385</c:v>
                </c:pt>
                <c:pt idx="870">
                  <c:v>3.69508820922496</c:v>
                </c:pt>
                <c:pt idx="871">
                  <c:v>3.69504906140673</c:v>
                </c:pt>
                <c:pt idx="872">
                  <c:v>3.69500991369918</c:v>
                </c:pt>
                <c:pt idx="873">
                  <c:v>3.69497076610231</c:v>
                </c:pt>
                <c:pt idx="874">
                  <c:v>3.69493161861611</c:v>
                </c:pt>
                <c:pt idx="875">
                  <c:v>3.69489247124059</c:v>
                </c:pt>
                <c:pt idx="876">
                  <c:v>3.69485332397576</c:v>
                </c:pt>
                <c:pt idx="877">
                  <c:v>3.69481417682161</c:v>
                </c:pt>
                <c:pt idx="878">
                  <c:v>3.69477502977815</c:v>
                </c:pt>
                <c:pt idx="879">
                  <c:v>3.69473588284539</c:v>
                </c:pt>
                <c:pt idx="880">
                  <c:v>3.69469673602332</c:v>
                </c:pt>
                <c:pt idx="881">
                  <c:v>3.69465758931195</c:v>
                </c:pt>
                <c:pt idx="882">
                  <c:v>3.69461844271128</c:v>
                </c:pt>
                <c:pt idx="883">
                  <c:v>3.69457929622131</c:v>
                </c:pt>
                <c:pt idx="884">
                  <c:v>3.69454014984204</c:v>
                </c:pt>
                <c:pt idx="885">
                  <c:v>3.69450100357349</c:v>
                </c:pt>
                <c:pt idx="886">
                  <c:v>3.69446185741565</c:v>
                </c:pt>
                <c:pt idx="887">
                  <c:v>3.69442271136853</c:v>
                </c:pt>
                <c:pt idx="888">
                  <c:v>3.69438356543212</c:v>
                </c:pt>
                <c:pt idx="889">
                  <c:v>3.69434441960643</c:v>
                </c:pt>
                <c:pt idx="890">
                  <c:v>3.69430527389147</c:v>
                </c:pt>
                <c:pt idx="891">
                  <c:v>3.69426612828724</c:v>
                </c:pt>
                <c:pt idx="892">
                  <c:v>3.69422698279373</c:v>
                </c:pt>
                <c:pt idx="893">
                  <c:v>3.69418783741095</c:v>
                </c:pt>
                <c:pt idx="894">
                  <c:v>3.69414869213892</c:v>
                </c:pt>
                <c:pt idx="895">
                  <c:v>3.69410954697762</c:v>
                </c:pt>
                <c:pt idx="896">
                  <c:v>3.69407040192706</c:v>
                </c:pt>
                <c:pt idx="897">
                  <c:v>3.69403125698724</c:v>
                </c:pt>
                <c:pt idx="898">
                  <c:v>3.69399211215817</c:v>
                </c:pt>
                <c:pt idx="899">
                  <c:v>3.69395296743985</c:v>
                </c:pt>
                <c:pt idx="900">
                  <c:v>3.69391382283228</c:v>
                </c:pt>
                <c:pt idx="901">
                  <c:v>3.69387467833546</c:v>
                </c:pt>
                <c:pt idx="902">
                  <c:v>3.69383553394941</c:v>
                </c:pt>
                <c:pt idx="903">
                  <c:v>3.69379638967411</c:v>
                </c:pt>
                <c:pt idx="904">
                  <c:v>3.69375724550958</c:v>
                </c:pt>
                <c:pt idx="905">
                  <c:v>3.69371810145581</c:v>
                </c:pt>
                <c:pt idx="906">
                  <c:v>3.69367895751282</c:v>
                </c:pt>
                <c:pt idx="907">
                  <c:v>3.69363981368059</c:v>
                </c:pt>
                <c:pt idx="908">
                  <c:v>3.69360066995914</c:v>
                </c:pt>
                <c:pt idx="909">
                  <c:v>3.69356152634847</c:v>
                </c:pt>
                <c:pt idx="910">
                  <c:v>3.69352238284859</c:v>
                </c:pt>
                <c:pt idx="911">
                  <c:v>3.69348323945948</c:v>
                </c:pt>
                <c:pt idx="912">
                  <c:v>3.69344409618116</c:v>
                </c:pt>
                <c:pt idx="913">
                  <c:v>3.69340495301363</c:v>
                </c:pt>
                <c:pt idx="914">
                  <c:v>3.69336580995689</c:v>
                </c:pt>
                <c:pt idx="915">
                  <c:v>3.69332666701094</c:v>
                </c:pt>
                <c:pt idx="916">
                  <c:v>3.6932875241758</c:v>
                </c:pt>
                <c:pt idx="917">
                  <c:v>3.69324838145145</c:v>
                </c:pt>
                <c:pt idx="918">
                  <c:v>3.69320923883791</c:v>
                </c:pt>
                <c:pt idx="919">
                  <c:v>3.69317009633517</c:v>
                </c:pt>
                <c:pt idx="920">
                  <c:v>3.69313095394325</c:v>
                </c:pt>
                <c:pt idx="921">
                  <c:v>3.69309181166213</c:v>
                </c:pt>
                <c:pt idx="922">
                  <c:v>3.69305266949183</c:v>
                </c:pt>
                <c:pt idx="923">
                  <c:v>3.69301352743235</c:v>
                </c:pt>
                <c:pt idx="924">
                  <c:v>3.69297438548369</c:v>
                </c:pt>
                <c:pt idx="925">
                  <c:v>3.69293524364585</c:v>
                </c:pt>
                <c:pt idx="926">
                  <c:v>3.69289610191884</c:v>
                </c:pt>
                <c:pt idx="927">
                  <c:v>3.69285696030265</c:v>
                </c:pt>
                <c:pt idx="928">
                  <c:v>3.69281781879731</c:v>
                </c:pt>
                <c:pt idx="929">
                  <c:v>3.69277867740279</c:v>
                </c:pt>
                <c:pt idx="930">
                  <c:v>3.69273953611912</c:v>
                </c:pt>
                <c:pt idx="931">
                  <c:v>3.69270039494627</c:v>
                </c:pt>
                <c:pt idx="932">
                  <c:v>3.69266125388428</c:v>
                </c:pt>
                <c:pt idx="933">
                  <c:v>3.69262211293314</c:v>
                </c:pt>
                <c:pt idx="934">
                  <c:v>3.69258297209284</c:v>
                </c:pt>
                <c:pt idx="935">
                  <c:v>3.69254383136339</c:v>
                </c:pt>
                <c:pt idx="936">
                  <c:v>3.69250469074479</c:v>
                </c:pt>
                <c:pt idx="937">
                  <c:v>3.69246555023706</c:v>
                </c:pt>
                <c:pt idx="938">
                  <c:v>3.69242640984018</c:v>
                </c:pt>
                <c:pt idx="939">
                  <c:v>3.69238726955417</c:v>
                </c:pt>
                <c:pt idx="940">
                  <c:v>3.69234812937903</c:v>
                </c:pt>
                <c:pt idx="941">
                  <c:v>3.69230898931475</c:v>
                </c:pt>
                <c:pt idx="942">
                  <c:v>3.69226984936134</c:v>
                </c:pt>
                <c:pt idx="943">
                  <c:v>3.69223070951881</c:v>
                </c:pt>
                <c:pt idx="944">
                  <c:v>3.69219156978716</c:v>
                </c:pt>
                <c:pt idx="945">
                  <c:v>3.69215243016639</c:v>
                </c:pt>
                <c:pt idx="946">
                  <c:v>3.6921132906565</c:v>
                </c:pt>
                <c:pt idx="947">
                  <c:v>3.6920741512575</c:v>
                </c:pt>
                <c:pt idx="948">
                  <c:v>3.69203501196939</c:v>
                </c:pt>
                <c:pt idx="949">
                  <c:v>3.69199587279217</c:v>
                </c:pt>
                <c:pt idx="950">
                  <c:v>3.69195673372584</c:v>
                </c:pt>
                <c:pt idx="951">
                  <c:v>3.69191759477041</c:v>
                </c:pt>
                <c:pt idx="952">
                  <c:v>3.69187845592588</c:v>
                </c:pt>
                <c:pt idx="953">
                  <c:v>3.69183931719225</c:v>
                </c:pt>
                <c:pt idx="954">
                  <c:v>3.69180017856953</c:v>
                </c:pt>
                <c:pt idx="955">
                  <c:v>3.69176104005772</c:v>
                </c:pt>
                <c:pt idx="956">
                  <c:v>3.69172190165682</c:v>
                </c:pt>
                <c:pt idx="957">
                  <c:v>3.69168276336683</c:v>
                </c:pt>
                <c:pt idx="958">
                  <c:v>3.69164362518777</c:v>
                </c:pt>
                <c:pt idx="959">
                  <c:v>3.69160448711962</c:v>
                </c:pt>
                <c:pt idx="960">
                  <c:v>3.6915653491624</c:v>
                </c:pt>
                <c:pt idx="961">
                  <c:v>3.6915262113161</c:v>
                </c:pt>
                <c:pt idx="962">
                  <c:v>3.69148707358073</c:v>
                </c:pt>
                <c:pt idx="963">
                  <c:v>3.69144793595629</c:v>
                </c:pt>
                <c:pt idx="964">
                  <c:v>3.69140879844279</c:v>
                </c:pt>
                <c:pt idx="965">
                  <c:v>3.69136966104022</c:v>
                </c:pt>
                <c:pt idx="966">
                  <c:v>3.6913305237486</c:v>
                </c:pt>
                <c:pt idx="967">
                  <c:v>3.69129138656791</c:v>
                </c:pt>
                <c:pt idx="968">
                  <c:v>3.69125224949818</c:v>
                </c:pt>
                <c:pt idx="969">
                  <c:v>3.69121311253939</c:v>
                </c:pt>
                <c:pt idx="970">
                  <c:v>3.69117397569155</c:v>
                </c:pt>
                <c:pt idx="971">
                  <c:v>3.69113483895467</c:v>
                </c:pt>
                <c:pt idx="972">
                  <c:v>3.69109570232874</c:v>
                </c:pt>
                <c:pt idx="973">
                  <c:v>3.69105656581378</c:v>
                </c:pt>
                <c:pt idx="974">
                  <c:v>3.69101742940978</c:v>
                </c:pt>
                <c:pt idx="975">
                  <c:v>3.69097829311674</c:v>
                </c:pt>
                <c:pt idx="976">
                  <c:v>3.69093915693467</c:v>
                </c:pt>
                <c:pt idx="977">
                  <c:v>3.69090002086358</c:v>
                </c:pt>
                <c:pt idx="978">
                  <c:v>3.69086088490346</c:v>
                </c:pt>
                <c:pt idx="979">
                  <c:v>3.69082174905432</c:v>
                </c:pt>
                <c:pt idx="980">
                  <c:v>3.69078261331615</c:v>
                </c:pt>
                <c:pt idx="981">
                  <c:v>3.69074347768897</c:v>
                </c:pt>
                <c:pt idx="982">
                  <c:v>3.69070434217277</c:v>
                </c:pt>
                <c:pt idx="983">
                  <c:v>3.69066520676756</c:v>
                </c:pt>
                <c:pt idx="984">
                  <c:v>3.69062607147334</c:v>
                </c:pt>
                <c:pt idx="985">
                  <c:v>3.69058693629012</c:v>
                </c:pt>
                <c:pt idx="986">
                  <c:v>3.6905478012179</c:v>
                </c:pt>
                <c:pt idx="987">
                  <c:v>3.69050866625667</c:v>
                </c:pt>
                <c:pt idx="988">
                  <c:v>3.69046953140645</c:v>
                </c:pt>
                <c:pt idx="989">
                  <c:v>3.69043039666724</c:v>
                </c:pt>
                <c:pt idx="990">
                  <c:v>3.69039126203903</c:v>
                </c:pt>
                <c:pt idx="991">
                  <c:v>3.69035212752183</c:v>
                </c:pt>
                <c:pt idx="992">
                  <c:v>3.69031299311565</c:v>
                </c:pt>
                <c:pt idx="993">
                  <c:v>3.69027385882049</c:v>
                </c:pt>
                <c:pt idx="994">
                  <c:v>3.69023472463634</c:v>
                </c:pt>
                <c:pt idx="995">
                  <c:v>3.69019559056321</c:v>
                </c:pt>
                <c:pt idx="996">
                  <c:v>3.69015645660112</c:v>
                </c:pt>
                <c:pt idx="997">
                  <c:v>3.69011732275005</c:v>
                </c:pt>
                <c:pt idx="998">
                  <c:v>3.69007818901002</c:v>
                </c:pt>
                <c:pt idx="999">
                  <c:v>3.69003905538102</c:v>
                </c:pt>
                <c:pt idx="1000">
                  <c:v>3.68999992186305</c:v>
                </c:pt>
              </c:numCache>
            </c:numRef>
          </c:yVal>
          <c:smooth val="0"/>
        </c:ser>
        <c:ser>
          <c:idx val="1"/>
          <c:order val="1"/>
          <c:tx>
            <c:strRef>
              <c:f>Courbes!$B$138</c:f>
              <c:strCache>
                <c:ptCount val="1"/>
                <c:pt idx="0">
                  <c:v>Charge vue par un capteur</c:v>
                </c:pt>
              </c:strCache>
            </c:strRef>
          </c:tx>
          <c:spPr>
            <a:solidFill>
              <a:srgbClr val="008000"/>
            </a:solidFill>
            <a:ln w="25560">
              <a:solidFill>
                <a:srgbClr val="008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34.8000000000002</c:v>
                </c:pt>
                <c:pt idx="709">
                  <c:v>34.9000000000002</c:v>
                </c:pt>
                <c:pt idx="710">
                  <c:v>35.0000000000002</c:v>
                </c:pt>
                <c:pt idx="711">
                  <c:v>35.1000000000002</c:v>
                </c:pt>
                <c:pt idx="712">
                  <c:v>35.2000000000002</c:v>
                </c:pt>
                <c:pt idx="713">
                  <c:v>35.3000000000002</c:v>
                </c:pt>
                <c:pt idx="714">
                  <c:v>35.4000000000002</c:v>
                </c:pt>
                <c:pt idx="715">
                  <c:v>35.5000000000002</c:v>
                </c:pt>
                <c:pt idx="716">
                  <c:v>35.6000000000002</c:v>
                </c:pt>
                <c:pt idx="717">
                  <c:v>35.7000000000002</c:v>
                </c:pt>
                <c:pt idx="718">
                  <c:v>35.7001000000002</c:v>
                </c:pt>
                <c:pt idx="719">
                  <c:v>35.7002000000002</c:v>
                </c:pt>
                <c:pt idx="720">
                  <c:v>35.7003000000002</c:v>
                </c:pt>
                <c:pt idx="721">
                  <c:v>35.7004000000002</c:v>
                </c:pt>
                <c:pt idx="722">
                  <c:v>35.7005000000002</c:v>
                </c:pt>
                <c:pt idx="723">
                  <c:v>35.7006000000002</c:v>
                </c:pt>
                <c:pt idx="724">
                  <c:v>35.7007000000002</c:v>
                </c:pt>
                <c:pt idx="725">
                  <c:v>35.7008000000002</c:v>
                </c:pt>
                <c:pt idx="726">
                  <c:v>35.7009000000002</c:v>
                </c:pt>
                <c:pt idx="727">
                  <c:v>35.7010000000002</c:v>
                </c:pt>
                <c:pt idx="728">
                  <c:v>35.7011000000002</c:v>
                </c:pt>
                <c:pt idx="729">
                  <c:v>35.7012000000002</c:v>
                </c:pt>
                <c:pt idx="730">
                  <c:v>35.7013000000002</c:v>
                </c:pt>
                <c:pt idx="731">
                  <c:v>35.7014000000002</c:v>
                </c:pt>
                <c:pt idx="732">
                  <c:v>35.7015000000002</c:v>
                </c:pt>
                <c:pt idx="733">
                  <c:v>35.7016000000003</c:v>
                </c:pt>
                <c:pt idx="734">
                  <c:v>35.7017000000003</c:v>
                </c:pt>
                <c:pt idx="735">
                  <c:v>35.7018000000003</c:v>
                </c:pt>
                <c:pt idx="736">
                  <c:v>35.7019000000003</c:v>
                </c:pt>
                <c:pt idx="737">
                  <c:v>35.7020000000003</c:v>
                </c:pt>
                <c:pt idx="738">
                  <c:v>35.7021000000003</c:v>
                </c:pt>
                <c:pt idx="739">
                  <c:v>35.7022000000003</c:v>
                </c:pt>
                <c:pt idx="740">
                  <c:v>35.7023000000003</c:v>
                </c:pt>
                <c:pt idx="741">
                  <c:v>35.7024000000003</c:v>
                </c:pt>
                <c:pt idx="742">
                  <c:v>35.7025000000003</c:v>
                </c:pt>
                <c:pt idx="743">
                  <c:v>35.7026000000003</c:v>
                </c:pt>
                <c:pt idx="744">
                  <c:v>35.7027000000003</c:v>
                </c:pt>
                <c:pt idx="745">
                  <c:v>35.7028000000003</c:v>
                </c:pt>
                <c:pt idx="746">
                  <c:v>35.7029000000003</c:v>
                </c:pt>
                <c:pt idx="747">
                  <c:v>35.7030000000003</c:v>
                </c:pt>
                <c:pt idx="748">
                  <c:v>35.7031000000003</c:v>
                </c:pt>
                <c:pt idx="749">
                  <c:v>35.7032000000003</c:v>
                </c:pt>
                <c:pt idx="750">
                  <c:v>35.7033000000003</c:v>
                </c:pt>
                <c:pt idx="751">
                  <c:v>35.7034000000003</c:v>
                </c:pt>
                <c:pt idx="752">
                  <c:v>35.7035000000003</c:v>
                </c:pt>
                <c:pt idx="753">
                  <c:v>35.7036000000003</c:v>
                </c:pt>
                <c:pt idx="754">
                  <c:v>35.7037000000003</c:v>
                </c:pt>
                <c:pt idx="755">
                  <c:v>35.7038000000003</c:v>
                </c:pt>
                <c:pt idx="756">
                  <c:v>35.7039000000003</c:v>
                </c:pt>
                <c:pt idx="757">
                  <c:v>35.7040000000003</c:v>
                </c:pt>
                <c:pt idx="758">
                  <c:v>35.7041000000003</c:v>
                </c:pt>
                <c:pt idx="759">
                  <c:v>35.7042000000003</c:v>
                </c:pt>
                <c:pt idx="760">
                  <c:v>35.7043000000003</c:v>
                </c:pt>
                <c:pt idx="761">
                  <c:v>35.7044000000003</c:v>
                </c:pt>
                <c:pt idx="762">
                  <c:v>35.7045000000003</c:v>
                </c:pt>
                <c:pt idx="763">
                  <c:v>35.7046000000004</c:v>
                </c:pt>
                <c:pt idx="764">
                  <c:v>35.7047000000004</c:v>
                </c:pt>
                <c:pt idx="765">
                  <c:v>35.7048000000004</c:v>
                </c:pt>
                <c:pt idx="766">
                  <c:v>35.7049000000004</c:v>
                </c:pt>
                <c:pt idx="767">
                  <c:v>35.7050000000004</c:v>
                </c:pt>
                <c:pt idx="768">
                  <c:v>35.7051000000004</c:v>
                </c:pt>
                <c:pt idx="769">
                  <c:v>35.7052000000004</c:v>
                </c:pt>
                <c:pt idx="770">
                  <c:v>35.7053000000004</c:v>
                </c:pt>
                <c:pt idx="771">
                  <c:v>35.7054000000004</c:v>
                </c:pt>
                <c:pt idx="772">
                  <c:v>35.7055000000004</c:v>
                </c:pt>
                <c:pt idx="773">
                  <c:v>35.7056000000004</c:v>
                </c:pt>
                <c:pt idx="774">
                  <c:v>35.7057000000004</c:v>
                </c:pt>
                <c:pt idx="775">
                  <c:v>35.7058000000004</c:v>
                </c:pt>
                <c:pt idx="776">
                  <c:v>35.7059000000004</c:v>
                </c:pt>
                <c:pt idx="777">
                  <c:v>35.7060000000004</c:v>
                </c:pt>
                <c:pt idx="778">
                  <c:v>35.7061000000004</c:v>
                </c:pt>
                <c:pt idx="779">
                  <c:v>35.7062000000004</c:v>
                </c:pt>
                <c:pt idx="780">
                  <c:v>35.7063000000004</c:v>
                </c:pt>
                <c:pt idx="781">
                  <c:v>35.7064000000004</c:v>
                </c:pt>
                <c:pt idx="782">
                  <c:v>35.7065000000004</c:v>
                </c:pt>
                <c:pt idx="783">
                  <c:v>35.7066000000004</c:v>
                </c:pt>
                <c:pt idx="784">
                  <c:v>35.7067000000004</c:v>
                </c:pt>
                <c:pt idx="785">
                  <c:v>35.7068000000004</c:v>
                </c:pt>
                <c:pt idx="786">
                  <c:v>35.7069000000004</c:v>
                </c:pt>
                <c:pt idx="787">
                  <c:v>35.7070000000004</c:v>
                </c:pt>
                <c:pt idx="788">
                  <c:v>35.7071000000004</c:v>
                </c:pt>
                <c:pt idx="789">
                  <c:v>35.7072000000004</c:v>
                </c:pt>
                <c:pt idx="790">
                  <c:v>35.7073000000004</c:v>
                </c:pt>
                <c:pt idx="791">
                  <c:v>35.7074000000004</c:v>
                </c:pt>
                <c:pt idx="792">
                  <c:v>35.7075000000004</c:v>
                </c:pt>
                <c:pt idx="793">
                  <c:v>35.7076000000005</c:v>
                </c:pt>
                <c:pt idx="794">
                  <c:v>35.7077000000005</c:v>
                </c:pt>
                <c:pt idx="795">
                  <c:v>35.7078000000005</c:v>
                </c:pt>
                <c:pt idx="796">
                  <c:v>35.7079000000005</c:v>
                </c:pt>
                <c:pt idx="797">
                  <c:v>35.7080000000005</c:v>
                </c:pt>
                <c:pt idx="798">
                  <c:v>35.7081000000005</c:v>
                </c:pt>
                <c:pt idx="799">
                  <c:v>35.7082000000005</c:v>
                </c:pt>
                <c:pt idx="800">
                  <c:v>35.7083000000005</c:v>
                </c:pt>
                <c:pt idx="801">
                  <c:v>35.7084000000005</c:v>
                </c:pt>
                <c:pt idx="802">
                  <c:v>35.7085000000005</c:v>
                </c:pt>
                <c:pt idx="803">
                  <c:v>35.7086000000005</c:v>
                </c:pt>
                <c:pt idx="804">
                  <c:v>35.7087000000005</c:v>
                </c:pt>
                <c:pt idx="805">
                  <c:v>35.7088000000005</c:v>
                </c:pt>
                <c:pt idx="806">
                  <c:v>35.7089000000005</c:v>
                </c:pt>
                <c:pt idx="807">
                  <c:v>35.7090000000005</c:v>
                </c:pt>
                <c:pt idx="808">
                  <c:v>35.7091000000005</c:v>
                </c:pt>
                <c:pt idx="809">
                  <c:v>35.7092000000005</c:v>
                </c:pt>
                <c:pt idx="810">
                  <c:v>35.7093000000005</c:v>
                </c:pt>
                <c:pt idx="811">
                  <c:v>35.7094000000005</c:v>
                </c:pt>
                <c:pt idx="812">
                  <c:v>35.7095000000005</c:v>
                </c:pt>
                <c:pt idx="813">
                  <c:v>35.7096000000005</c:v>
                </c:pt>
                <c:pt idx="814">
                  <c:v>35.7097000000005</c:v>
                </c:pt>
                <c:pt idx="815">
                  <c:v>35.7098000000005</c:v>
                </c:pt>
                <c:pt idx="816">
                  <c:v>35.7099000000005</c:v>
                </c:pt>
                <c:pt idx="817">
                  <c:v>35.7100000000005</c:v>
                </c:pt>
                <c:pt idx="818">
                  <c:v>35.7101000000005</c:v>
                </c:pt>
                <c:pt idx="819">
                  <c:v>35.7102000000005</c:v>
                </c:pt>
                <c:pt idx="820">
                  <c:v>35.7103000000005</c:v>
                </c:pt>
                <c:pt idx="821">
                  <c:v>35.7104000000005</c:v>
                </c:pt>
                <c:pt idx="822">
                  <c:v>35.7105000000005</c:v>
                </c:pt>
                <c:pt idx="823">
                  <c:v>35.7106000000006</c:v>
                </c:pt>
                <c:pt idx="824">
                  <c:v>35.7107000000006</c:v>
                </c:pt>
                <c:pt idx="825">
                  <c:v>35.7108000000006</c:v>
                </c:pt>
                <c:pt idx="826">
                  <c:v>35.7109000000006</c:v>
                </c:pt>
                <c:pt idx="827">
                  <c:v>35.7110000000006</c:v>
                </c:pt>
                <c:pt idx="828">
                  <c:v>35.7111000000006</c:v>
                </c:pt>
                <c:pt idx="829">
                  <c:v>35.7112000000006</c:v>
                </c:pt>
                <c:pt idx="830">
                  <c:v>35.7113000000006</c:v>
                </c:pt>
                <c:pt idx="831">
                  <c:v>35.7114000000006</c:v>
                </c:pt>
                <c:pt idx="832">
                  <c:v>35.7115000000006</c:v>
                </c:pt>
                <c:pt idx="833">
                  <c:v>35.7116000000006</c:v>
                </c:pt>
                <c:pt idx="834">
                  <c:v>35.7117000000006</c:v>
                </c:pt>
                <c:pt idx="835">
                  <c:v>35.7118000000006</c:v>
                </c:pt>
                <c:pt idx="836">
                  <c:v>35.7119000000006</c:v>
                </c:pt>
                <c:pt idx="837">
                  <c:v>35.7120000000006</c:v>
                </c:pt>
                <c:pt idx="838">
                  <c:v>35.7121000000006</c:v>
                </c:pt>
                <c:pt idx="839">
                  <c:v>35.7122000000006</c:v>
                </c:pt>
                <c:pt idx="840">
                  <c:v>35.7123000000006</c:v>
                </c:pt>
                <c:pt idx="841">
                  <c:v>35.7124000000006</c:v>
                </c:pt>
                <c:pt idx="842">
                  <c:v>35.7125000000006</c:v>
                </c:pt>
                <c:pt idx="843">
                  <c:v>35.7126000000006</c:v>
                </c:pt>
                <c:pt idx="844">
                  <c:v>35.7127000000006</c:v>
                </c:pt>
                <c:pt idx="845">
                  <c:v>35.7128000000006</c:v>
                </c:pt>
                <c:pt idx="846">
                  <c:v>35.7129000000006</c:v>
                </c:pt>
                <c:pt idx="847">
                  <c:v>35.7130000000006</c:v>
                </c:pt>
                <c:pt idx="848">
                  <c:v>35.7131000000006</c:v>
                </c:pt>
                <c:pt idx="849">
                  <c:v>35.7132000000006</c:v>
                </c:pt>
                <c:pt idx="850">
                  <c:v>35.7133000000006</c:v>
                </c:pt>
                <c:pt idx="851">
                  <c:v>35.7134000000006</c:v>
                </c:pt>
                <c:pt idx="852">
                  <c:v>35.7135000000006</c:v>
                </c:pt>
                <c:pt idx="853">
                  <c:v>35.7136000000006</c:v>
                </c:pt>
                <c:pt idx="854">
                  <c:v>35.7137000000007</c:v>
                </c:pt>
                <c:pt idx="855">
                  <c:v>35.7138000000007</c:v>
                </c:pt>
                <c:pt idx="856">
                  <c:v>35.7139000000007</c:v>
                </c:pt>
                <c:pt idx="857">
                  <c:v>35.7140000000007</c:v>
                </c:pt>
                <c:pt idx="858">
                  <c:v>35.7141000000007</c:v>
                </c:pt>
                <c:pt idx="859">
                  <c:v>35.7142000000007</c:v>
                </c:pt>
                <c:pt idx="860">
                  <c:v>35.7143000000007</c:v>
                </c:pt>
                <c:pt idx="861">
                  <c:v>35.7144000000007</c:v>
                </c:pt>
                <c:pt idx="862">
                  <c:v>35.7145000000007</c:v>
                </c:pt>
                <c:pt idx="863">
                  <c:v>35.7146000000007</c:v>
                </c:pt>
                <c:pt idx="864">
                  <c:v>35.7147000000007</c:v>
                </c:pt>
                <c:pt idx="865">
                  <c:v>35.7148000000007</c:v>
                </c:pt>
                <c:pt idx="866">
                  <c:v>35.7149000000007</c:v>
                </c:pt>
                <c:pt idx="867">
                  <c:v>35.7150000000007</c:v>
                </c:pt>
                <c:pt idx="868">
                  <c:v>35.7151000000007</c:v>
                </c:pt>
                <c:pt idx="869">
                  <c:v>35.7152000000007</c:v>
                </c:pt>
                <c:pt idx="870">
                  <c:v>35.7153000000007</c:v>
                </c:pt>
                <c:pt idx="871">
                  <c:v>35.7154000000007</c:v>
                </c:pt>
                <c:pt idx="872">
                  <c:v>35.7155000000007</c:v>
                </c:pt>
                <c:pt idx="873">
                  <c:v>35.7156000000007</c:v>
                </c:pt>
                <c:pt idx="874">
                  <c:v>35.7157000000007</c:v>
                </c:pt>
                <c:pt idx="875">
                  <c:v>35.7158000000007</c:v>
                </c:pt>
                <c:pt idx="876">
                  <c:v>35.7159000000007</c:v>
                </c:pt>
                <c:pt idx="877">
                  <c:v>35.7160000000007</c:v>
                </c:pt>
                <c:pt idx="878">
                  <c:v>35.7161000000007</c:v>
                </c:pt>
                <c:pt idx="879">
                  <c:v>35.7162000000007</c:v>
                </c:pt>
                <c:pt idx="880">
                  <c:v>35.7163000000007</c:v>
                </c:pt>
                <c:pt idx="881">
                  <c:v>35.7164000000007</c:v>
                </c:pt>
                <c:pt idx="882">
                  <c:v>35.7165000000007</c:v>
                </c:pt>
                <c:pt idx="883">
                  <c:v>35.7166000000007</c:v>
                </c:pt>
                <c:pt idx="884">
                  <c:v>35.7167000000008</c:v>
                </c:pt>
                <c:pt idx="885">
                  <c:v>35.7168000000008</c:v>
                </c:pt>
                <c:pt idx="886">
                  <c:v>35.7169000000008</c:v>
                </c:pt>
                <c:pt idx="887">
                  <c:v>35.7170000000008</c:v>
                </c:pt>
                <c:pt idx="888">
                  <c:v>35.7171000000008</c:v>
                </c:pt>
                <c:pt idx="889">
                  <c:v>35.7172000000008</c:v>
                </c:pt>
                <c:pt idx="890">
                  <c:v>35.7173000000008</c:v>
                </c:pt>
                <c:pt idx="891">
                  <c:v>35.7174000000008</c:v>
                </c:pt>
                <c:pt idx="892">
                  <c:v>35.7175000000008</c:v>
                </c:pt>
                <c:pt idx="893">
                  <c:v>35.7176000000008</c:v>
                </c:pt>
                <c:pt idx="894">
                  <c:v>35.7177000000008</c:v>
                </c:pt>
                <c:pt idx="895">
                  <c:v>35.7178000000008</c:v>
                </c:pt>
                <c:pt idx="896">
                  <c:v>35.7179000000008</c:v>
                </c:pt>
                <c:pt idx="897">
                  <c:v>35.7180000000008</c:v>
                </c:pt>
                <c:pt idx="898">
                  <c:v>35.7181000000008</c:v>
                </c:pt>
                <c:pt idx="899">
                  <c:v>35.7182000000008</c:v>
                </c:pt>
                <c:pt idx="900">
                  <c:v>35.7183000000008</c:v>
                </c:pt>
                <c:pt idx="901">
                  <c:v>35.7184000000008</c:v>
                </c:pt>
                <c:pt idx="902">
                  <c:v>35.7185000000008</c:v>
                </c:pt>
                <c:pt idx="903">
                  <c:v>35.7186000000008</c:v>
                </c:pt>
                <c:pt idx="904">
                  <c:v>35.7187000000008</c:v>
                </c:pt>
                <c:pt idx="905">
                  <c:v>35.7188000000008</c:v>
                </c:pt>
                <c:pt idx="906">
                  <c:v>35.7189000000008</c:v>
                </c:pt>
                <c:pt idx="907">
                  <c:v>35.7190000000008</c:v>
                </c:pt>
                <c:pt idx="908">
                  <c:v>35.7191000000008</c:v>
                </c:pt>
                <c:pt idx="909">
                  <c:v>35.7192000000008</c:v>
                </c:pt>
                <c:pt idx="910">
                  <c:v>35.7193000000008</c:v>
                </c:pt>
                <c:pt idx="911">
                  <c:v>35.7194000000008</c:v>
                </c:pt>
                <c:pt idx="912">
                  <c:v>35.7195000000008</c:v>
                </c:pt>
                <c:pt idx="913">
                  <c:v>35.7196000000008</c:v>
                </c:pt>
                <c:pt idx="914">
                  <c:v>35.7197000000009</c:v>
                </c:pt>
                <c:pt idx="915">
                  <c:v>35.7198000000009</c:v>
                </c:pt>
                <c:pt idx="916">
                  <c:v>35.7199000000009</c:v>
                </c:pt>
                <c:pt idx="917">
                  <c:v>35.7200000000009</c:v>
                </c:pt>
                <c:pt idx="918">
                  <c:v>35.7201000000009</c:v>
                </c:pt>
                <c:pt idx="919">
                  <c:v>35.7202000000009</c:v>
                </c:pt>
                <c:pt idx="920">
                  <c:v>35.7203000000009</c:v>
                </c:pt>
                <c:pt idx="921">
                  <c:v>35.7204000000009</c:v>
                </c:pt>
                <c:pt idx="922">
                  <c:v>35.7205000000009</c:v>
                </c:pt>
                <c:pt idx="923">
                  <c:v>35.7206000000009</c:v>
                </c:pt>
                <c:pt idx="924">
                  <c:v>35.7207000000009</c:v>
                </c:pt>
                <c:pt idx="925">
                  <c:v>35.7208000000009</c:v>
                </c:pt>
                <c:pt idx="926">
                  <c:v>35.7209000000009</c:v>
                </c:pt>
                <c:pt idx="927">
                  <c:v>35.7210000000009</c:v>
                </c:pt>
                <c:pt idx="928">
                  <c:v>35.7211000000009</c:v>
                </c:pt>
                <c:pt idx="929">
                  <c:v>35.7212000000009</c:v>
                </c:pt>
                <c:pt idx="930">
                  <c:v>35.7213000000009</c:v>
                </c:pt>
                <c:pt idx="931">
                  <c:v>35.7214000000009</c:v>
                </c:pt>
                <c:pt idx="932">
                  <c:v>35.7215000000009</c:v>
                </c:pt>
                <c:pt idx="933">
                  <c:v>35.7216000000009</c:v>
                </c:pt>
                <c:pt idx="934">
                  <c:v>35.7217000000009</c:v>
                </c:pt>
                <c:pt idx="935">
                  <c:v>35.7218000000009</c:v>
                </c:pt>
                <c:pt idx="936">
                  <c:v>35.7219000000009</c:v>
                </c:pt>
                <c:pt idx="937">
                  <c:v>35.7220000000009</c:v>
                </c:pt>
                <c:pt idx="938">
                  <c:v>35.7221000000009</c:v>
                </c:pt>
                <c:pt idx="939">
                  <c:v>35.7222000000009</c:v>
                </c:pt>
                <c:pt idx="940">
                  <c:v>35.7223000000009</c:v>
                </c:pt>
                <c:pt idx="941">
                  <c:v>35.7224000000009</c:v>
                </c:pt>
                <c:pt idx="942">
                  <c:v>35.7225000000009</c:v>
                </c:pt>
                <c:pt idx="943">
                  <c:v>35.7226000000009</c:v>
                </c:pt>
                <c:pt idx="944">
                  <c:v>35.722700000001</c:v>
                </c:pt>
                <c:pt idx="945">
                  <c:v>35.722800000001</c:v>
                </c:pt>
                <c:pt idx="946">
                  <c:v>35.722900000001</c:v>
                </c:pt>
                <c:pt idx="947">
                  <c:v>35.723000000001</c:v>
                </c:pt>
                <c:pt idx="948">
                  <c:v>35.723100000001</c:v>
                </c:pt>
                <c:pt idx="949">
                  <c:v>35.723200000001</c:v>
                </c:pt>
                <c:pt idx="950">
                  <c:v>35.723300000001</c:v>
                </c:pt>
                <c:pt idx="951">
                  <c:v>35.723400000001</c:v>
                </c:pt>
                <c:pt idx="952">
                  <c:v>35.723500000001</c:v>
                </c:pt>
                <c:pt idx="953">
                  <c:v>35.723600000001</c:v>
                </c:pt>
                <c:pt idx="954">
                  <c:v>35.723700000001</c:v>
                </c:pt>
                <c:pt idx="955">
                  <c:v>35.723800000001</c:v>
                </c:pt>
                <c:pt idx="956">
                  <c:v>35.723900000001</c:v>
                </c:pt>
                <c:pt idx="957">
                  <c:v>35.724000000001</c:v>
                </c:pt>
                <c:pt idx="958">
                  <c:v>35.724100000001</c:v>
                </c:pt>
                <c:pt idx="959">
                  <c:v>35.724200000001</c:v>
                </c:pt>
                <c:pt idx="960">
                  <c:v>35.724300000001</c:v>
                </c:pt>
                <c:pt idx="961">
                  <c:v>35.724400000001</c:v>
                </c:pt>
                <c:pt idx="962">
                  <c:v>35.724500000001</c:v>
                </c:pt>
                <c:pt idx="963">
                  <c:v>35.724600000001</c:v>
                </c:pt>
                <c:pt idx="964">
                  <c:v>35.724700000001</c:v>
                </c:pt>
                <c:pt idx="965">
                  <c:v>35.724800000001</c:v>
                </c:pt>
                <c:pt idx="966">
                  <c:v>35.724900000001</c:v>
                </c:pt>
                <c:pt idx="967">
                  <c:v>35.725000000001</c:v>
                </c:pt>
                <c:pt idx="968">
                  <c:v>35.725100000001</c:v>
                </c:pt>
                <c:pt idx="969">
                  <c:v>35.725200000001</c:v>
                </c:pt>
                <c:pt idx="970">
                  <c:v>35.725300000001</c:v>
                </c:pt>
                <c:pt idx="971">
                  <c:v>35.725400000001</c:v>
                </c:pt>
                <c:pt idx="972">
                  <c:v>35.725500000001</c:v>
                </c:pt>
                <c:pt idx="973">
                  <c:v>35.725600000001</c:v>
                </c:pt>
                <c:pt idx="974">
                  <c:v>35.7257000000011</c:v>
                </c:pt>
                <c:pt idx="975">
                  <c:v>35.7258000000011</c:v>
                </c:pt>
                <c:pt idx="976">
                  <c:v>35.7259000000011</c:v>
                </c:pt>
                <c:pt idx="977">
                  <c:v>35.7260000000011</c:v>
                </c:pt>
                <c:pt idx="978">
                  <c:v>35.7261000000011</c:v>
                </c:pt>
                <c:pt idx="979">
                  <c:v>35.7262000000011</c:v>
                </c:pt>
                <c:pt idx="980">
                  <c:v>35.7263000000011</c:v>
                </c:pt>
                <c:pt idx="981">
                  <c:v>35.7264000000011</c:v>
                </c:pt>
                <c:pt idx="982">
                  <c:v>35.7265000000011</c:v>
                </c:pt>
                <c:pt idx="983">
                  <c:v>35.7266000000011</c:v>
                </c:pt>
                <c:pt idx="984">
                  <c:v>35.7267000000011</c:v>
                </c:pt>
                <c:pt idx="985">
                  <c:v>35.7268000000011</c:v>
                </c:pt>
                <c:pt idx="986">
                  <c:v>35.7269000000011</c:v>
                </c:pt>
                <c:pt idx="987">
                  <c:v>35.7270000000011</c:v>
                </c:pt>
                <c:pt idx="988">
                  <c:v>35.7271000000011</c:v>
                </c:pt>
                <c:pt idx="989">
                  <c:v>35.7272000000011</c:v>
                </c:pt>
                <c:pt idx="990">
                  <c:v>35.7273000000011</c:v>
                </c:pt>
                <c:pt idx="991">
                  <c:v>35.7274000000011</c:v>
                </c:pt>
                <c:pt idx="992">
                  <c:v>35.7275000000011</c:v>
                </c:pt>
                <c:pt idx="993">
                  <c:v>35.7276000000011</c:v>
                </c:pt>
                <c:pt idx="994">
                  <c:v>35.7277000000011</c:v>
                </c:pt>
                <c:pt idx="995">
                  <c:v>35.7278000000011</c:v>
                </c:pt>
                <c:pt idx="996">
                  <c:v>35.7279000000011</c:v>
                </c:pt>
                <c:pt idx="997">
                  <c:v>35.7280000000011</c:v>
                </c:pt>
                <c:pt idx="998">
                  <c:v>35.7281000000011</c:v>
                </c:pt>
                <c:pt idx="999">
                  <c:v>35.7282000000011</c:v>
                </c:pt>
                <c:pt idx="1000">
                  <c:v>35.7283000000011</c:v>
                </c:pt>
              </c:numCache>
            </c:numRef>
          </c:xVal>
          <c:yVal>
            <c:numRef>
              <c:f>Calculs!$AH$4:$AH$1004</c:f>
              <c:numCache>
                <c:formatCode>General</c:formatCode>
                <c:ptCount val="1001"/>
                <c:pt idx="1">
                  <c:v>9.66096405704976</c:v>
                </c:pt>
                <c:pt idx="2">
                  <c:v>27.666452808156</c:v>
                </c:pt>
                <c:pt idx="3">
                  <c:v>46.1214184442997</c:v>
                </c:pt>
                <c:pt idx="4">
                  <c:v>64.5908455800716</c:v>
                </c:pt>
                <c:pt idx="5">
                  <c:v>83.0797682876639</c:v>
                </c:pt>
                <c:pt idx="6">
                  <c:v>92.243855136045</c:v>
                </c:pt>
                <c:pt idx="7">
                  <c:v>92.0670016217108</c:v>
                </c:pt>
                <c:pt idx="8">
                  <c:v>91.8895027230349</c:v>
                </c:pt>
                <c:pt idx="9">
                  <c:v>91.7113606201403</c:v>
                </c:pt>
                <c:pt idx="10">
                  <c:v>91.5325775098012</c:v>
                </c:pt>
                <c:pt idx="11">
                  <c:v>91.3531556053142</c:v>
                </c:pt>
                <c:pt idx="12">
                  <c:v>91.1730971363694</c:v>
                </c:pt>
                <c:pt idx="13">
                  <c:v>90.992404348919</c:v>
                </c:pt>
                <c:pt idx="14">
                  <c:v>90.811079505046</c:v>
                </c:pt>
                <c:pt idx="15">
                  <c:v>90.6291248828322</c:v>
                </c:pt>
                <c:pt idx="16">
                  <c:v>90.4465427762238</c:v>
                </c:pt>
                <c:pt idx="17">
                  <c:v>90.2633354948975</c:v>
                </c:pt>
                <c:pt idx="18">
                  <c:v>90.0795053641249</c:v>
                </c:pt>
                <c:pt idx="19">
                  <c:v>89.8950547246362</c:v>
                </c:pt>
                <c:pt idx="20">
                  <c:v>89.709985932483</c:v>
                </c:pt>
                <c:pt idx="21">
                  <c:v>89.5243013588999</c:v>
                </c:pt>
                <c:pt idx="22">
                  <c:v>89.338003390166</c:v>
                </c:pt>
                <c:pt idx="23">
                  <c:v>89.1510944274644</c:v>
                </c:pt>
                <c:pt idx="24">
                  <c:v>88.963576886742</c:v>
                </c:pt>
                <c:pt idx="25">
                  <c:v>88.7754531985675</c:v>
                </c:pt>
                <c:pt idx="26">
                  <c:v>88.5867258079893</c:v>
                </c:pt>
                <c:pt idx="27">
                  <c:v>88.3973971743921</c:v>
                </c:pt>
                <c:pt idx="28">
                  <c:v>88.207469771353</c:v>
                </c:pt>
                <c:pt idx="29">
                  <c:v>88.0169460864967</c:v>
                </c:pt>
                <c:pt idx="30">
                  <c:v>87.8258286213499</c:v>
                </c:pt>
                <c:pt idx="31">
                  <c:v>87.6341198911952</c:v>
                </c:pt>
                <c:pt idx="32">
                  <c:v>87.4418224249238</c:v>
                </c:pt>
                <c:pt idx="33">
                  <c:v>87.2489387648881</c:v>
                </c:pt>
                <c:pt idx="34">
                  <c:v>87.0554714667527</c:v>
                </c:pt>
                <c:pt idx="35">
                  <c:v>86.861423099346</c:v>
                </c:pt>
                <c:pt idx="36">
                  <c:v>86.6667962445101</c:v>
                </c:pt>
                <c:pt idx="37">
                  <c:v>86.4715934162217</c:v>
                </c:pt>
                <c:pt idx="38">
                  <c:v>86.2758171281824</c:v>
                </c:pt>
                <c:pt idx="39">
                  <c:v>86.0794699894643</c:v>
                </c:pt>
                <c:pt idx="40">
                  <c:v>85.882554621805</c:v>
                </c:pt>
                <c:pt idx="41">
                  <c:v>85.6850736594439</c:v>
                </c:pt>
                <c:pt idx="42">
                  <c:v>85.4870297489581</c:v>
                </c:pt>
                <c:pt idx="43">
                  <c:v>85.2884255490983</c:v>
                </c:pt>
                <c:pt idx="44">
                  <c:v>85.0892637306255</c:v>
                </c:pt>
                <c:pt idx="45">
                  <c:v>84.8895469761469</c:v>
                </c:pt>
                <c:pt idx="46">
                  <c:v>84.6892779799529</c:v>
                </c:pt>
                <c:pt idx="47">
                  <c:v>84.488459447853</c:v>
                </c:pt>
                <c:pt idx="48">
                  <c:v>84.2870940970129</c:v>
                </c:pt>
                <c:pt idx="49">
                  <c:v>84.0851846557906</c:v>
                </c:pt>
                <c:pt idx="50">
                  <c:v>83.882733863573</c:v>
                </c:pt>
                <c:pt idx="51">
                  <c:v>83.728880282019</c:v>
                </c:pt>
                <c:pt idx="52">
                  <c:v>83.6236985781273</c:v>
                </c:pt>
                <c:pt idx="53">
                  <c:v>83.5180851728176</c:v>
                </c:pt>
                <c:pt idx="54">
                  <c:v>83.4120412178621</c:v>
                </c:pt>
                <c:pt idx="55">
                  <c:v>83.3055678748413</c:v>
                </c:pt>
                <c:pt idx="56">
                  <c:v>83.1986663150858</c:v>
                </c:pt>
                <c:pt idx="57">
                  <c:v>83.0913377196165</c:v>
                </c:pt>
                <c:pt idx="58">
                  <c:v>82.9835832790852</c:v>
                </c:pt>
                <c:pt idx="59">
                  <c:v>82.8754041937148</c:v>
                </c:pt>
                <c:pt idx="60">
                  <c:v>82.7668016732393</c:v>
                </c:pt>
                <c:pt idx="61">
                  <c:v>82.6577769368431</c:v>
                </c:pt>
                <c:pt idx="62">
                  <c:v>82.5483312131</c:v>
                </c:pt>
                <c:pt idx="63">
                  <c:v>82.4384657399127</c:v>
                </c:pt>
                <c:pt idx="64">
                  <c:v>82.3281817644506</c:v>
                </c:pt>
                <c:pt idx="65">
                  <c:v>82.2174805430884</c:v>
                </c:pt>
                <c:pt idx="66">
                  <c:v>82.1063633413436</c:v>
                </c:pt>
                <c:pt idx="67">
                  <c:v>81.9948314338146</c:v>
                </c:pt>
                <c:pt idx="68">
                  <c:v>81.8828861041171</c:v>
                </c:pt>
                <c:pt idx="69">
                  <c:v>81.7705286448215</c:v>
                </c:pt>
                <c:pt idx="70">
                  <c:v>81.6577603573891</c:v>
                </c:pt>
                <c:pt idx="71">
                  <c:v>81.5445825521081</c:v>
                </c:pt>
                <c:pt idx="72">
                  <c:v>81.4309965480298</c:v>
                </c:pt>
                <c:pt idx="73">
                  <c:v>81.3170036729035</c:v>
                </c:pt>
                <c:pt idx="74">
                  <c:v>81.2026052631122</c:v>
                </c:pt>
                <c:pt idx="75">
                  <c:v>81.0878026636067</c:v>
                </c:pt>
                <c:pt idx="76">
                  <c:v>80.9725972278406</c:v>
                </c:pt>
                <c:pt idx="77">
                  <c:v>80.8569903177041</c:v>
                </c:pt>
                <c:pt idx="78">
                  <c:v>80.7409833034579</c:v>
                </c:pt>
                <c:pt idx="79">
                  <c:v>80.6245775636663</c:v>
                </c:pt>
                <c:pt idx="80">
                  <c:v>80.5077744851309</c:v>
                </c:pt>
                <c:pt idx="81">
                  <c:v>80.3905754628228</c:v>
                </c:pt>
                <c:pt idx="82">
                  <c:v>80.2729818998155</c:v>
                </c:pt>
                <c:pt idx="83">
                  <c:v>80.1549952072167</c:v>
                </c:pt>
                <c:pt idx="84">
                  <c:v>80.0366168041003</c:v>
                </c:pt>
                <c:pt idx="85">
                  <c:v>79.9178481174382</c:v>
                </c:pt>
                <c:pt idx="86">
                  <c:v>79.798690582031</c:v>
                </c:pt>
                <c:pt idx="87">
                  <c:v>79.6791456404393</c:v>
                </c:pt>
                <c:pt idx="88">
                  <c:v>79.559214742914</c:v>
                </c:pt>
                <c:pt idx="89">
                  <c:v>79.4388993473272</c:v>
                </c:pt>
                <c:pt idx="90">
                  <c:v>79.3182009191017</c:v>
                </c:pt>
                <c:pt idx="91">
                  <c:v>79.1971209311409</c:v>
                </c:pt>
                <c:pt idx="92">
                  <c:v>79.0756608637586</c:v>
                </c:pt>
                <c:pt idx="93">
                  <c:v>78.9538222046076</c:v>
                </c:pt>
                <c:pt idx="94">
                  <c:v>78.8316064486094</c:v>
                </c:pt>
                <c:pt idx="95">
                  <c:v>78.7090150978821</c:v>
                </c:pt>
                <c:pt idx="96">
                  <c:v>78.5860496616695</c:v>
                </c:pt>
                <c:pt idx="97">
                  <c:v>78.4627116562689</c:v>
                </c:pt>
                <c:pt idx="98">
                  <c:v>78.339002604959</c:v>
                </c:pt>
                <c:pt idx="99">
                  <c:v>78.2149240379276</c:v>
                </c:pt>
                <c:pt idx="100">
                  <c:v>78.0904774921993</c:v>
                </c:pt>
                <c:pt idx="101">
                  <c:v>77.9430417333692</c:v>
                </c:pt>
                <c:pt idx="102">
                  <c:v>77.772592213868</c:v>
                </c:pt>
                <c:pt idx="103">
                  <c:v>77.6017456506817</c:v>
                </c:pt>
                <c:pt idx="104">
                  <c:v>77.4305043208596</c:v>
                </c:pt>
                <c:pt idx="105">
                  <c:v>77.2588705072835</c:v>
                </c:pt>
                <c:pt idx="106">
                  <c:v>77.0868464985524</c:v>
                </c:pt>
                <c:pt idx="107">
                  <c:v>76.9144345888678</c:v>
                </c:pt>
                <c:pt idx="108">
                  <c:v>76.7416370779176</c:v>
                </c:pt>
                <c:pt idx="109">
                  <c:v>76.5684562707614</c:v>
                </c:pt>
                <c:pt idx="110">
                  <c:v>76.394894477715</c:v>
                </c:pt>
                <c:pt idx="111">
                  <c:v>76.220954014235</c:v>
                </c:pt>
                <c:pt idx="112">
                  <c:v>76.0466372008031</c:v>
                </c:pt>
                <c:pt idx="113">
                  <c:v>75.8719463628114</c:v>
                </c:pt>
                <c:pt idx="114">
                  <c:v>75.6968838304465</c:v>
                </c:pt>
                <c:pt idx="115">
                  <c:v>75.5214519385744</c:v>
                </c:pt>
                <c:pt idx="116">
                  <c:v>75.3456530266251</c:v>
                </c:pt>
                <c:pt idx="117">
                  <c:v>75.1694894384775</c:v>
                </c:pt>
                <c:pt idx="118">
                  <c:v>74.992963522344</c:v>
                </c:pt>
                <c:pt idx="119">
                  <c:v>74.8160776306552</c:v>
                </c:pt>
                <c:pt idx="120">
                  <c:v>74.6388341199456</c:v>
                </c:pt>
                <c:pt idx="121">
                  <c:v>74.4612353507373</c:v>
                </c:pt>
                <c:pt idx="122">
                  <c:v>74.2832836874264</c:v>
                </c:pt>
                <c:pt idx="123">
                  <c:v>74.1049814981673</c:v>
                </c:pt>
                <c:pt idx="124">
                  <c:v>73.9263311547581</c:v>
                </c:pt>
                <c:pt idx="125">
                  <c:v>73.7473350325262</c:v>
                </c:pt>
                <c:pt idx="126">
                  <c:v>73.5679955102139</c:v>
                </c:pt>
                <c:pt idx="127">
                  <c:v>73.3883149698636</c:v>
                </c:pt>
                <c:pt idx="128">
                  <c:v>73.2082957967038</c:v>
                </c:pt>
                <c:pt idx="129">
                  <c:v>73.0279403790352</c:v>
                </c:pt>
                <c:pt idx="130">
                  <c:v>72.8472511081164</c:v>
                </c:pt>
                <c:pt idx="131">
                  <c:v>72.6662303780504</c:v>
                </c:pt>
                <c:pt idx="132">
                  <c:v>72.4848805856709</c:v>
                </c:pt>
                <c:pt idx="133">
                  <c:v>72.303204130429</c:v>
                </c:pt>
                <c:pt idx="134">
                  <c:v>72.1212034142797</c:v>
                </c:pt>
                <c:pt idx="135">
                  <c:v>71.9388808415693</c:v>
                </c:pt>
                <c:pt idx="136">
                  <c:v>71.7562388189221</c:v>
                </c:pt>
                <c:pt idx="137">
                  <c:v>71.5732797551282</c:v>
                </c:pt>
                <c:pt idx="138">
                  <c:v>71.3900060610309</c:v>
                </c:pt>
                <c:pt idx="139">
                  <c:v>71.2064201494146</c:v>
                </c:pt>
                <c:pt idx="140">
                  <c:v>71.0225244348928</c:v>
                </c:pt>
                <c:pt idx="141">
                  <c:v>70.8383213337969</c:v>
                </c:pt>
                <c:pt idx="142">
                  <c:v>70.6538132640639</c:v>
                </c:pt>
                <c:pt idx="143">
                  <c:v>70.4690026451261</c:v>
                </c:pt>
                <c:pt idx="144">
                  <c:v>70.2838918977999</c:v>
                </c:pt>
                <c:pt idx="145">
                  <c:v>70.0984834441751</c:v>
                </c:pt>
                <c:pt idx="146">
                  <c:v>69.9127797075047</c:v>
                </c:pt>
                <c:pt idx="147">
                  <c:v>69.726783112095</c:v>
                </c:pt>
                <c:pt idx="148">
                  <c:v>69.5404960831959</c:v>
                </c:pt>
                <c:pt idx="149">
                  <c:v>69.353921046891</c:v>
                </c:pt>
                <c:pt idx="150">
                  <c:v>69.1670604299893</c:v>
                </c:pt>
                <c:pt idx="151">
                  <c:v>68.9876020744565</c:v>
                </c:pt>
                <c:pt idx="152">
                  <c:v>68.8155545764565</c:v>
                </c:pt>
                <c:pt idx="153">
                  <c:v>68.6432354070114</c:v>
                </c:pt>
                <c:pt idx="154">
                  <c:v>68.4706467591094</c:v>
                </c:pt>
                <c:pt idx="155">
                  <c:v>68.2977908265951</c:v>
                </c:pt>
                <c:pt idx="156">
                  <c:v>68.1246698040738</c:v>
                </c:pt>
                <c:pt idx="157">
                  <c:v>67.9512858868178</c:v>
                </c:pt>
                <c:pt idx="158">
                  <c:v>67.7776412706717</c:v>
                </c:pt>
                <c:pt idx="159">
                  <c:v>67.6037381519582</c:v>
                </c:pt>
                <c:pt idx="160">
                  <c:v>67.4295787273846</c:v>
                </c:pt>
                <c:pt idx="161">
                  <c:v>67.2551651939495</c:v>
                </c:pt>
                <c:pt idx="162">
                  <c:v>67.0804997488493</c:v>
                </c:pt>
                <c:pt idx="163">
                  <c:v>66.9055845893855</c:v>
                </c:pt>
                <c:pt idx="164">
                  <c:v>66.7304219128724</c:v>
                </c:pt>
                <c:pt idx="165">
                  <c:v>66.5550139165445</c:v>
                </c:pt>
                <c:pt idx="166">
                  <c:v>66.3793627974651</c:v>
                </c:pt>
                <c:pt idx="167">
                  <c:v>66.2034707524344</c:v>
                </c:pt>
                <c:pt idx="168">
                  <c:v>66.0273399778983</c:v>
                </c:pt>
                <c:pt idx="169">
                  <c:v>65.8509726698579</c:v>
                </c:pt>
                <c:pt idx="170">
                  <c:v>65.6743710237785</c:v>
                </c:pt>
                <c:pt idx="171">
                  <c:v>65.4975372345</c:v>
                </c:pt>
                <c:pt idx="172">
                  <c:v>65.3204734961464</c:v>
                </c:pt>
                <c:pt idx="173">
                  <c:v>65.1431820020371</c:v>
                </c:pt>
                <c:pt idx="174">
                  <c:v>64.9656649445975</c:v>
                </c:pt>
                <c:pt idx="175">
                  <c:v>64.78792451527</c:v>
                </c:pt>
                <c:pt idx="176">
                  <c:v>64.6099629044265</c:v>
                </c:pt>
                <c:pt idx="177">
                  <c:v>64.4317823012797</c:v>
                </c:pt>
                <c:pt idx="178">
                  <c:v>64.253384893796</c:v>
                </c:pt>
                <c:pt idx="179">
                  <c:v>64.0747728686082</c:v>
                </c:pt>
                <c:pt idx="180">
                  <c:v>63.8959484109289</c:v>
                </c:pt>
                <c:pt idx="181">
                  <c:v>63.7169137044641</c:v>
                </c:pt>
                <c:pt idx="182">
                  <c:v>63.5376709313275</c:v>
                </c:pt>
                <c:pt idx="183">
                  <c:v>63.3582222719544</c:v>
                </c:pt>
                <c:pt idx="184">
                  <c:v>63.1785699050176</c:v>
                </c:pt>
                <c:pt idx="185">
                  <c:v>62.9987160073418</c:v>
                </c:pt>
                <c:pt idx="186">
                  <c:v>62.8186627538201</c:v>
                </c:pt>
                <c:pt idx="187">
                  <c:v>62.6384123173296</c:v>
                </c:pt>
                <c:pt idx="188">
                  <c:v>62.4579668686487</c:v>
                </c:pt>
                <c:pt idx="189">
                  <c:v>62.2773285763738</c:v>
                </c:pt>
                <c:pt idx="190">
                  <c:v>62.0964996068369</c:v>
                </c:pt>
                <c:pt idx="191">
                  <c:v>61.9154821240237</c:v>
                </c:pt>
                <c:pt idx="192">
                  <c:v>61.7342782894919</c:v>
                </c:pt>
                <c:pt idx="193">
                  <c:v>61.5528902622905</c:v>
                </c:pt>
                <c:pt idx="194">
                  <c:v>61.3713201988786</c:v>
                </c:pt>
                <c:pt idx="195">
                  <c:v>61.189570253046</c:v>
                </c:pt>
                <c:pt idx="196">
                  <c:v>61.0076425758327</c:v>
                </c:pt>
                <c:pt idx="197">
                  <c:v>60.8255393154504</c:v>
                </c:pt>
                <c:pt idx="198">
                  <c:v>60.6432626172035</c:v>
                </c:pt>
                <c:pt idx="199">
                  <c:v>60.4608146234106</c:v>
                </c:pt>
                <c:pt idx="200">
                  <c:v>60.2781974733275</c:v>
                </c:pt>
                <c:pt idx="201">
                  <c:v>60.0954133030691</c:v>
                </c:pt>
                <c:pt idx="202">
                  <c:v>59.9124642455332</c:v>
                </c:pt>
                <c:pt idx="203">
                  <c:v>59.7293524303241</c:v>
                </c:pt>
                <c:pt idx="204">
                  <c:v>59.5460799836769</c:v>
                </c:pt>
                <c:pt idx="205">
                  <c:v>59.362649028382</c:v>
                </c:pt>
                <c:pt idx="206">
                  <c:v>59.1790616837107</c:v>
                </c:pt>
                <c:pt idx="207">
                  <c:v>58.9953200653407</c:v>
                </c:pt>
                <c:pt idx="208">
                  <c:v>58.8114262852827</c:v>
                </c:pt>
                <c:pt idx="209">
                  <c:v>58.6273824518068</c:v>
                </c:pt>
                <c:pt idx="210">
                  <c:v>58.4431906693702</c:v>
                </c:pt>
                <c:pt idx="211">
                  <c:v>58.2588530385448</c:v>
                </c:pt>
                <c:pt idx="212">
                  <c:v>58.0743716559456</c:v>
                </c:pt>
                <c:pt idx="213">
                  <c:v>57.8897486141599</c:v>
                </c:pt>
                <c:pt idx="214">
                  <c:v>57.7049860016762</c:v>
                </c:pt>
                <c:pt idx="215">
                  <c:v>57.5200859028149</c:v>
                </c:pt>
                <c:pt idx="216">
                  <c:v>57.3350503976579</c:v>
                </c:pt>
                <c:pt idx="217">
                  <c:v>57.1498815619806</c:v>
                </c:pt>
                <c:pt idx="218">
                  <c:v>56.9645814671827</c:v>
                </c:pt>
                <c:pt idx="219">
                  <c:v>56.779152180221</c:v>
                </c:pt>
                <c:pt idx="220">
                  <c:v>56.5935957635415</c:v>
                </c:pt>
                <c:pt idx="221">
                  <c:v>56.407914275013</c:v>
                </c:pt>
                <c:pt idx="222">
                  <c:v>56.2221097678608</c:v>
                </c:pt>
                <c:pt idx="223">
                  <c:v>56.0361842906011</c:v>
                </c:pt>
                <c:pt idx="224">
                  <c:v>55.8501398869757</c:v>
                </c:pt>
                <c:pt idx="225">
                  <c:v>55.6639785958877</c:v>
                </c:pt>
                <c:pt idx="226">
                  <c:v>55.4777024513373</c:v>
                </c:pt>
                <c:pt idx="227">
                  <c:v>55.2913134823586</c:v>
                </c:pt>
                <c:pt idx="228">
                  <c:v>55.1048137129565</c:v>
                </c:pt>
                <c:pt idx="229">
                  <c:v>54.9182051620445</c:v>
                </c:pt>
                <c:pt idx="230">
                  <c:v>54.7314898433831</c:v>
                </c:pt>
                <c:pt idx="231">
                  <c:v>54.5446697655185</c:v>
                </c:pt>
                <c:pt idx="232">
                  <c:v>54.3577469317221</c:v>
                </c:pt>
                <c:pt idx="233">
                  <c:v>54.1707233399302</c:v>
                </c:pt>
                <c:pt idx="234">
                  <c:v>53.983600982685</c:v>
                </c:pt>
                <c:pt idx="235">
                  <c:v>53.7963818470754</c:v>
                </c:pt>
                <c:pt idx="236">
                  <c:v>53.6090679146788</c:v>
                </c:pt>
                <c:pt idx="237">
                  <c:v>53.4216611615035</c:v>
                </c:pt>
                <c:pt idx="238">
                  <c:v>53.2341635579314</c:v>
                </c:pt>
                <c:pt idx="239">
                  <c:v>53.0465770686613</c:v>
                </c:pt>
                <c:pt idx="240">
                  <c:v>52.8589036526533</c:v>
                </c:pt>
                <c:pt idx="241">
                  <c:v>52.6711452630731</c:v>
                </c:pt>
                <c:pt idx="242">
                  <c:v>52.4833038472373</c:v>
                </c:pt>
                <c:pt idx="243">
                  <c:v>52.2953813465592</c:v>
                </c:pt>
                <c:pt idx="244">
                  <c:v>52.107379696495</c:v>
                </c:pt>
                <c:pt idx="245">
                  <c:v>51.9193008264907</c:v>
                </c:pt>
                <c:pt idx="246">
                  <c:v>51.7311466599298</c:v>
                </c:pt>
                <c:pt idx="247">
                  <c:v>51.5429191140815</c:v>
                </c:pt>
                <c:pt idx="248">
                  <c:v>51.3546201000489</c:v>
                </c:pt>
                <c:pt idx="249">
                  <c:v>51.1662515227186</c:v>
                </c:pt>
                <c:pt idx="250">
                  <c:v>50.9778152807108</c:v>
                </c:pt>
                <c:pt idx="251">
                  <c:v>50.7562726607302</c:v>
                </c:pt>
                <c:pt idx="252">
                  <c:v>50.5016196263982</c:v>
                </c:pt>
                <c:pt idx="253">
                  <c:v>50.2469124897199</c:v>
                </c:pt>
                <c:pt idx="254">
                  <c:v>49.9921539961695</c:v>
                </c:pt>
                <c:pt idx="255">
                  <c:v>49.737346879021</c:v>
                </c:pt>
                <c:pt idx="256">
                  <c:v>49.4824938592767</c:v>
                </c:pt>
                <c:pt idx="257">
                  <c:v>49.227597645596</c:v>
                </c:pt>
                <c:pt idx="258">
                  <c:v>48.9726609342259</c:v>
                </c:pt>
                <c:pt idx="259">
                  <c:v>48.7176864089324</c:v>
                </c:pt>
                <c:pt idx="260">
                  <c:v>48.4626767409336</c:v>
                </c:pt>
                <c:pt idx="261">
                  <c:v>48.2076345888332</c:v>
                </c:pt>
                <c:pt idx="262">
                  <c:v>47.9525625985559</c:v>
                </c:pt>
                <c:pt idx="263">
                  <c:v>47.6974634032832</c:v>
                </c:pt>
                <c:pt idx="264">
                  <c:v>47.4423396233914</c:v>
                </c:pt>
                <c:pt idx="265">
                  <c:v>47.1871938663896</c:v>
                </c:pt>
                <c:pt idx="266">
                  <c:v>46.9320287268599</c:v>
                </c:pt>
                <c:pt idx="267">
                  <c:v>46.6768467863979</c:v>
                </c:pt>
                <c:pt idx="268">
                  <c:v>46.4216506135552</c:v>
                </c:pt>
                <c:pt idx="269">
                  <c:v>46.1664427637821</c:v>
                </c:pt>
                <c:pt idx="270">
                  <c:v>45.9112257793724</c:v>
                </c:pt>
                <c:pt idx="271">
                  <c:v>45.6560021894084</c:v>
                </c:pt>
                <c:pt idx="272">
                  <c:v>45.4007745097082</c:v>
                </c:pt>
                <c:pt idx="273">
                  <c:v>45.1455452427729</c:v>
                </c:pt>
                <c:pt idx="274">
                  <c:v>44.8903168777358</c:v>
                </c:pt>
                <c:pt idx="275">
                  <c:v>44.6350918903125</c:v>
                </c:pt>
                <c:pt idx="276">
                  <c:v>44.3798727427519</c:v>
                </c:pt>
                <c:pt idx="277">
                  <c:v>44.1246618837886</c:v>
                </c:pt>
                <c:pt idx="278">
                  <c:v>43.8694617485963</c:v>
                </c:pt>
                <c:pt idx="279">
                  <c:v>43.6142747587424</c:v>
                </c:pt>
                <c:pt idx="280">
                  <c:v>43.3591033221437</c:v>
                </c:pt>
                <c:pt idx="281">
                  <c:v>43.103949833023</c:v>
                </c:pt>
                <c:pt idx="282">
                  <c:v>42.848816671867</c:v>
                </c:pt>
                <c:pt idx="283">
                  <c:v>42.5937062053857</c:v>
                </c:pt>
                <c:pt idx="284">
                  <c:v>42.3386207864716</c:v>
                </c:pt>
                <c:pt idx="285">
                  <c:v>42.0835627541618</c:v>
                </c:pt>
                <c:pt idx="286">
                  <c:v>41.8285344335997</c:v>
                </c:pt>
                <c:pt idx="287">
                  <c:v>41.5735381359982</c:v>
                </c:pt>
                <c:pt idx="288">
                  <c:v>41.3185761586048</c:v>
                </c:pt>
                <c:pt idx="289">
                  <c:v>41.0636507846662</c:v>
                </c:pt>
                <c:pt idx="290">
                  <c:v>40.8087642833956</c:v>
                </c:pt>
                <c:pt idx="291">
                  <c:v>40.5539189099398</c:v>
                </c:pt>
                <c:pt idx="292">
                  <c:v>40.2991169053482</c:v>
                </c:pt>
                <c:pt idx="293">
                  <c:v>40.044360496542</c:v>
                </c:pt>
                <c:pt idx="294">
                  <c:v>39.7896518962857</c:v>
                </c:pt>
                <c:pt idx="295">
                  <c:v>39.5349933031584</c:v>
                </c:pt>
                <c:pt idx="296">
                  <c:v>39.2803869015267</c:v>
                </c:pt>
                <c:pt idx="297">
                  <c:v>39.0258348615186</c:v>
                </c:pt>
                <c:pt idx="298">
                  <c:v>38.4092622550186</c:v>
                </c:pt>
                <c:pt idx="299">
                  <c:v>37.4307287031153</c:v>
                </c:pt>
                <c:pt idx="300">
                  <c:v>36.4525516107302</c:v>
                </c:pt>
                <c:pt idx="301">
                  <c:v>35.4747493939876</c:v>
                </c:pt>
                <c:pt idx="302">
                  <c:v>34.497340273094</c:v>
                </c:pt>
                <c:pt idx="303">
                  <c:v>33.5203422717726</c:v>
                </c:pt>
                <c:pt idx="304">
                  <c:v>32.5437732167318</c:v>
                </c:pt>
                <c:pt idx="305">
                  <c:v>31.5676507371661</c:v>
                </c:pt>
                <c:pt idx="306">
                  <c:v>30.5919922642894</c:v>
                </c:pt>
                <c:pt idx="307">
                  <c:v>29.6168150309012</c:v>
                </c:pt>
                <c:pt idx="308">
                  <c:v>28.6421360709845</c:v>
                </c:pt>
                <c:pt idx="309">
                  <c:v>27.6679722193351</c:v>
                </c:pt>
                <c:pt idx="310">
                  <c:v>26.6943401112229</c:v>
                </c:pt>
                <c:pt idx="311">
                  <c:v>25.7212561820836</c:v>
                </c:pt>
                <c:pt idx="312">
                  <c:v>24.7487366672421</c:v>
                </c:pt>
                <c:pt idx="313">
                  <c:v>23.776797601665</c:v>
                </c:pt>
                <c:pt idx="314">
                  <c:v>22.8054548197448</c:v>
                </c:pt>
                <c:pt idx="315">
                  <c:v>21.8347239551126</c:v>
                </c:pt>
                <c:pt idx="316">
                  <c:v>20.864620440481</c:v>
                </c:pt>
                <c:pt idx="317">
                  <c:v>19.8951595075157</c:v>
                </c:pt>
                <c:pt idx="318">
                  <c:v>18.926356186736</c:v>
                </c:pt>
                <c:pt idx="319">
                  <c:v>17.9582253074441</c:v>
                </c:pt>
                <c:pt idx="320">
                  <c:v>16.990781497682</c:v>
                </c:pt>
                <c:pt idx="321">
                  <c:v>16.1679493261785</c:v>
                </c:pt>
                <c:pt idx="322">
                  <c:v>15.4896515833654</c:v>
                </c:pt>
                <c:pt idx="323">
                  <c:v>14.8118608393053</c:v>
                </c:pt>
                <c:pt idx="324">
                  <c:v>14.1345839253778</c:v>
                </c:pt>
                <c:pt idx="325">
                  <c:v>13.4578275737475</c:v>
                </c:pt>
                <c:pt idx="326">
                  <c:v>12.7815984175113</c:v>
                </c:pt>
                <c:pt idx="327">
                  <c:v>12.1059029908554</c:v>
                </c:pt>
                <c:pt idx="328">
                  <c:v>11.4307477292197</c:v>
                </c:pt>
                <c:pt idx="329">
                  <c:v>10.7561389694719</c:v>
                </c:pt>
                <c:pt idx="330">
                  <c:v>10.082082950089</c:v>
                </c:pt>
                <c:pt idx="331">
                  <c:v>9.40858581134751</c:v>
                </c:pt>
                <c:pt idx="332">
                  <c:v>8.73565359552161</c:v>
                </c:pt>
                <c:pt idx="333">
                  <c:v>8.06329224708924</c:v>
                </c:pt>
                <c:pt idx="334">
                  <c:v>7.391507612946</c:v>
                </c:pt>
                <c:pt idx="335">
                  <c:v>6.72030544262677</c:v>
                </c:pt>
                <c:pt idx="336">
                  <c:v>6.04969138853482</c:v>
                </c:pt>
                <c:pt idx="337">
                  <c:v>5.37967100617836</c:v>
                </c:pt>
                <c:pt idx="338">
                  <c:v>4.71024975441431</c:v>
                </c:pt>
                <c:pt idx="339">
                  <c:v>4.04143299569932</c:v>
                </c:pt>
                <c:pt idx="340">
                  <c:v>3.37322599634766</c:v>
                </c:pt>
                <c:pt idx="341">
                  <c:v>2.70563392679607</c:v>
                </c:pt>
                <c:pt idx="342">
                  <c:v>2.03866186187531</c:v>
                </c:pt>
                <c:pt idx="343">
                  <c:v>1.37231478108835</c:v>
                </c:pt>
                <c:pt idx="344">
                  <c:v>0.706597568894988</c:v>
                </c:pt>
                <c:pt idx="345">
                  <c:v>0.04151501500283</c:v>
                </c:pt>
                <c:pt idx="346">
                  <c:v>-0.62292818533552</c:v>
                </c:pt>
                <c:pt idx="347">
                  <c:v>-1.2867274310192</c:v>
                </c:pt>
                <c:pt idx="348">
                  <c:v>-1.9343636927201</c:v>
                </c:pt>
                <c:pt idx="349">
                  <c:v>-2.56584784798757</c:v>
                </c:pt>
                <c:pt idx="350">
                  <c:v>-3.19670672590944</c:v>
                </c:pt>
                <c:pt idx="351">
                  <c:v>-3.82693658383406</c:v>
                </c:pt>
                <c:pt idx="352">
                  <c:v>-4.45653376289691</c:v>
                </c:pt>
                <c:pt idx="353">
                  <c:v>-5.08549468770729</c:v>
                </c:pt>
                <c:pt idx="354">
                  <c:v>-5.71381586603067</c:v>
                </c:pt>
                <c:pt idx="355">
                  <c:v>-6.34149388846692</c:v>
                </c:pt>
                <c:pt idx="356">
                  <c:v>-6.96852542812429</c:v>
                </c:pt>
                <c:pt idx="357">
                  <c:v>-7.59490724028955</c:v>
                </c:pt>
                <c:pt idx="358">
                  <c:v>-8.22063616209411</c:v>
                </c:pt>
                <c:pt idx="359">
                  <c:v>-8.84570911217645</c:v>
                </c:pt>
                <c:pt idx="360">
                  <c:v>-9.14747699816332</c:v>
                </c:pt>
                <c:pt idx="361">
                  <c:v>-9.1262954556874</c:v>
                </c:pt>
                <c:pt idx="362">
                  <c:v>-9.10516617506609</c:v>
                </c:pt>
                <c:pt idx="363">
                  <c:v>-9.08408899190398</c:v>
                </c:pt>
                <c:pt idx="364">
                  <c:v>-9.06306374246897</c:v>
                </c:pt>
                <c:pt idx="365">
                  <c:v>-9.04209026368894</c:v>
                </c:pt>
                <c:pt idx="366">
                  <c:v>-9.02116839314864</c:v>
                </c:pt>
                <c:pt idx="367">
                  <c:v>-9.00029796908649</c:v>
                </c:pt>
                <c:pt idx="368">
                  <c:v>-8.97947883039139</c:v>
                </c:pt>
                <c:pt idx="369">
                  <c:v>-8.95871081659965</c:v>
                </c:pt>
                <c:pt idx="370">
                  <c:v>-8.93799376789183</c:v>
                </c:pt>
                <c:pt idx="371">
                  <c:v>-8.9173275250896</c:v>
                </c:pt>
                <c:pt idx="372">
                  <c:v>-8.89671192965274</c:v>
                </c:pt>
                <c:pt idx="373">
                  <c:v>-8.87614682367602</c:v>
                </c:pt>
                <c:pt idx="374">
                  <c:v>-8.85563204988614</c:v>
                </c:pt>
                <c:pt idx="375">
                  <c:v>-8.83516745163874</c:v>
                </c:pt>
                <c:pt idx="376">
                  <c:v>-8.81475287291531</c:v>
                </c:pt>
                <c:pt idx="377">
                  <c:v>-8.79438815832032</c:v>
                </c:pt>
                <c:pt idx="378">
                  <c:v>-8.77407315307806</c:v>
                </c:pt>
                <c:pt idx="379">
                  <c:v>-8.75380770302983</c:v>
                </c:pt>
                <c:pt idx="380">
                  <c:v>-8.73359165463094</c:v>
                </c:pt>
                <c:pt idx="381">
                  <c:v>-8.71342485494772</c:v>
                </c:pt>
                <c:pt idx="382">
                  <c:v>-8.6933071516547</c:v>
                </c:pt>
                <c:pt idx="383">
                  <c:v>-8.67323839303165</c:v>
                </c:pt>
                <c:pt idx="384">
                  <c:v>-8.6532184279607</c:v>
                </c:pt>
                <c:pt idx="385">
                  <c:v>-8.63324710592347</c:v>
                </c:pt>
                <c:pt idx="386">
                  <c:v>-8.61332427699827</c:v>
                </c:pt>
                <c:pt idx="387">
                  <c:v>-8.5934497918572</c:v>
                </c:pt>
                <c:pt idx="388">
                  <c:v>-8.57362350176335</c:v>
                </c:pt>
                <c:pt idx="389">
                  <c:v>-8.55384525856803</c:v>
                </c:pt>
                <c:pt idx="390">
                  <c:v>-8.53411491470792</c:v>
                </c:pt>
                <c:pt idx="391">
                  <c:v>-8.51443232320235</c:v>
                </c:pt>
                <c:pt idx="392">
                  <c:v>-8.49479733765053</c:v>
                </c:pt>
                <c:pt idx="393">
                  <c:v>-8.47520981222877</c:v>
                </c:pt>
                <c:pt idx="394">
                  <c:v>-8.45566960168783</c:v>
                </c:pt>
                <c:pt idx="395">
                  <c:v>-8.43617656135012</c:v>
                </c:pt>
                <c:pt idx="396">
                  <c:v>-8.41673054710707</c:v>
                </c:pt>
                <c:pt idx="397">
                  <c:v>-8.39733141541641</c:v>
                </c:pt>
                <c:pt idx="398">
                  <c:v>-8.37797902329952</c:v>
                </c:pt>
                <c:pt idx="399">
                  <c:v>-8.35867322833879</c:v>
                </c:pt>
                <c:pt idx="400">
                  <c:v>-8.33941388867495</c:v>
                </c:pt>
                <c:pt idx="401">
                  <c:v>-8.32020086300445</c:v>
                </c:pt>
                <c:pt idx="402">
                  <c:v>-8.12974054686307</c:v>
                </c:pt>
                <c:pt idx="403">
                  <c:v>-7.94380977274108</c:v>
                </c:pt>
                <c:pt idx="404">
                  <c:v>-7.76227343271571</c:v>
                </c:pt>
                <c:pt idx="405">
                  <c:v>-7.58500158044425</c:v>
                </c:pt>
                <c:pt idx="406">
                  <c:v>-7.41186919646353</c:v>
                </c:pt>
                <c:pt idx="407">
                  <c:v>-7.24275596593368</c:v>
                </c:pt>
                <c:pt idx="408">
                  <c:v>-7.07754606807585</c:v>
                </c:pt>
                <c:pt idx="409">
                  <c:v>-6.91612797660393</c:v>
                </c:pt>
                <c:pt idx="410">
                  <c:v>-6.75839427049751</c:v>
                </c:pt>
                <c:pt idx="411">
                  <c:v>-6.60424145450652</c:v>
                </c:pt>
                <c:pt idx="412">
                  <c:v>-6.45356978881841</c:v>
                </c:pt>
                <c:pt idx="413">
                  <c:v>-6.30628312735586</c:v>
                </c:pt>
                <c:pt idx="414">
                  <c:v>-6.16228876420778</c:v>
                </c:pt>
                <c:pt idx="415">
                  <c:v>-6.02149728772832</c:v>
                </c:pt>
                <c:pt idx="416">
                  <c:v>-5.88382244186848</c:v>
                </c:pt>
                <c:pt idx="417">
                  <c:v>-5.74918099433267</c:v>
                </c:pt>
                <c:pt idx="418">
                  <c:v>-5.61749261117827</c:v>
                </c:pt>
                <c:pt idx="419">
                  <c:v>-5.48867973750022</c:v>
                </c:pt>
                <c:pt idx="420">
                  <c:v>-5.36266748386487</c:v>
                </c:pt>
                <c:pt idx="421">
                  <c:v>-5.23938351817824</c:v>
                </c:pt>
                <c:pt idx="422">
                  <c:v>-5.11875796269321</c:v>
                </c:pt>
                <c:pt idx="423">
                  <c:v>-5.00072329587774</c:v>
                </c:pt>
                <c:pt idx="424">
                  <c:v>-4.88521425888379</c:v>
                </c:pt>
                <c:pt idx="425">
                  <c:v>-4.77216776637161</c:v>
                </c:pt>
                <c:pt idx="426">
                  <c:v>-4.66152282145901</c:v>
                </c:pt>
                <c:pt idx="427">
                  <c:v>-4.55322043457897</c:v>
                </c:pt>
                <c:pt idx="428">
                  <c:v>-4.44720354604153</c:v>
                </c:pt>
                <c:pt idx="429">
                  <c:v>-4.34341695210791</c:v>
                </c:pt>
                <c:pt idx="430">
                  <c:v>-4.24180723439615</c:v>
                </c:pt>
                <c:pt idx="431">
                  <c:v>-4.14232269244766</c:v>
                </c:pt>
                <c:pt idx="432">
                  <c:v>-4.04491327929425</c:v>
                </c:pt>
                <c:pt idx="433">
                  <c:v>-3.94953053987405</c:v>
                </c:pt>
                <c:pt idx="434">
                  <c:v>-3.85612755215352</c:v>
                </c:pt>
                <c:pt idx="435">
                  <c:v>-3.76465887082065</c:v>
                </c:pt>
                <c:pt idx="436">
                  <c:v>-3.67508047342215</c:v>
                </c:pt>
                <c:pt idx="437">
                  <c:v>-3.58734970882439</c:v>
                </c:pt>
                <c:pt idx="438">
                  <c:v>-3.50142524788446</c:v>
                </c:pt>
                <c:pt idx="439">
                  <c:v>-3.41726703622411</c:v>
                </c:pt>
                <c:pt idx="440">
                  <c:v>-3.33483624900511</c:v>
                </c:pt>
                <c:pt idx="441">
                  <c:v>-3.25409524760992</c:v>
                </c:pt>
                <c:pt idx="442">
                  <c:v>-3.17500753813704</c:v>
                </c:pt>
                <c:pt idx="443">
                  <c:v>-3.09753773162505</c:v>
                </c:pt>
                <c:pt idx="444">
                  <c:v>-3.0216515059239</c:v>
                </c:pt>
                <c:pt idx="445">
                  <c:v>-2.94731556913656</c:v>
                </c:pt>
                <c:pt idx="446">
                  <c:v>-2.87449762455791</c:v>
                </c:pt>
                <c:pt idx="447">
                  <c:v>-2.8031663370417</c:v>
                </c:pt>
                <c:pt idx="448">
                  <c:v>-2.73329130073012</c:v>
                </c:pt>
                <c:pt idx="449">
                  <c:v>-2.6648430080836</c:v>
                </c:pt>
                <c:pt idx="450">
                  <c:v>-2.59779282015202</c:v>
                </c:pt>
                <c:pt idx="451">
                  <c:v>-2.53211293803122</c:v>
                </c:pt>
                <c:pt idx="452">
                  <c:v>-2.46777637545172</c:v>
                </c:pt>
                <c:pt idx="453">
                  <c:v>-2.4047569324492</c:v>
                </c:pt>
                <c:pt idx="454">
                  <c:v>-2.34302917006881</c:v>
                </c:pt>
                <c:pt idx="455">
                  <c:v>-2.2825683860577</c:v>
                </c:pt>
                <c:pt idx="456">
                  <c:v>-2.2233505915026</c:v>
                </c:pt>
                <c:pt idx="457">
                  <c:v>-2.16535248837124</c:v>
                </c:pt>
                <c:pt idx="458">
                  <c:v>-2.10855144791848</c:v>
                </c:pt>
                <c:pt idx="459">
                  <c:v>-2.05292548991993</c:v>
                </c:pt>
                <c:pt idx="460">
                  <c:v>-1.99845326269762</c:v>
                </c:pt>
                <c:pt idx="461">
                  <c:v>-1.94511402390408</c:v>
                </c:pt>
                <c:pt idx="462">
                  <c:v>-1.89288762203256</c:v>
                </c:pt>
                <c:pt idx="463">
                  <c:v>-1.841754478623</c:v>
                </c:pt>
                <c:pt idx="464">
                  <c:v>-1.79169557113444</c:v>
                </c:pt>
                <c:pt idx="465">
                  <c:v>-1.74269241645617</c:v>
                </c:pt>
                <c:pt idx="466">
                  <c:v>-1.69472705503119</c:v>
                </c:pt>
                <c:pt idx="467">
                  <c:v>-1.64778203556655</c:v>
                </c:pt>
                <c:pt idx="468">
                  <c:v>-1.60184040030672</c:v>
                </c:pt>
                <c:pt idx="469">
                  <c:v>-1.55688567084669</c:v>
                </c:pt>
                <c:pt idx="470">
                  <c:v>-1.51290183446307</c:v>
                </c:pt>
                <c:pt idx="471">
                  <c:v>-1.46987333094216</c:v>
                </c:pt>
                <c:pt idx="472">
                  <c:v>-1.42778503988473</c:v>
                </c:pt>
                <c:pt idx="473">
                  <c:v>-1.38662226846867</c:v>
                </c:pt>
                <c:pt idx="474">
                  <c:v>-1.34637073965093</c:v>
                </c:pt>
                <c:pt idx="475">
                  <c:v>-1.30701658079116</c:v>
                </c:pt>
                <c:pt idx="476">
                  <c:v>-1.26854631268052</c:v>
                </c:pt>
                <c:pt idx="477">
                  <c:v>-1.23094683895919</c:v>
                </c:pt>
                <c:pt idx="478">
                  <c:v>-1.19420543590737</c:v>
                </c:pt>
                <c:pt idx="479">
                  <c:v>-1.15830974259492</c:v>
                </c:pt>
                <c:pt idx="480">
                  <c:v>-1.12324775137525</c:v>
                </c:pt>
                <c:pt idx="481">
                  <c:v>-1.08900779871003</c:v>
                </c:pt>
                <c:pt idx="482">
                  <c:v>-1.05557855631125</c:v>
                </c:pt>
                <c:pt idx="483">
                  <c:v>-1.02294902258826</c:v>
                </c:pt>
                <c:pt idx="484">
                  <c:v>-0.991108514387301</c:v>
                </c:pt>
                <c:pt idx="485">
                  <c:v>-0.960046659011925</c:v>
                </c:pt>
                <c:pt idx="486">
                  <c:v>-0.929753386512717</c:v>
                </c:pt>
                <c:pt idx="487">
                  <c:v>-0.900218922235397</c:v>
                </c:pt>
                <c:pt idx="488">
                  <c:v>-0.87143377961651</c:v>
                </c:pt>
                <c:pt idx="489">
                  <c:v>-0.843388753216298</c:v>
                </c:pt>
                <c:pt idx="490">
                  <c:v>-0.81607491197859</c:v>
                </c:pt>
                <c:pt idx="491">
                  <c:v>-0.789483592707818</c:v>
                </c:pt>
                <c:pt idx="492">
                  <c:v>-0.763606393753434</c:v>
                </c:pt>
                <c:pt idx="493">
                  <c:v>-0.73843516889222</c:v>
                </c:pt>
                <c:pt idx="494">
                  <c:v>-0.713962021399125</c:v>
                </c:pt>
                <c:pt idx="495">
                  <c:v>-0.690179298297361</c:v>
                </c:pt>
                <c:pt idx="496">
                  <c:v>-0.667079584778615</c:v>
                </c:pt>
                <c:pt idx="497">
                  <c:v>-0.64465569878426</c:v>
                </c:pt>
                <c:pt idx="498">
                  <c:v>-0.622900685738482</c:v>
                </c:pt>
                <c:pt idx="499">
                  <c:v>-0.60180781342425</c:v>
                </c:pt>
                <c:pt idx="500">
                  <c:v>-0.581370566992964</c:v>
                </c:pt>
                <c:pt idx="501">
                  <c:v>-0.561582644098611</c:v>
                </c:pt>
                <c:pt idx="502">
                  <c:v>-0.54243795014709</c:v>
                </c:pt>
                <c:pt idx="503">
                  <c:v>-0.523930593651252</c:v>
                </c:pt>
                <c:pt idx="504">
                  <c:v>-0.506054881682034</c:v>
                </c:pt>
                <c:pt idx="505">
                  <c:v>-0.488805315405834</c:v>
                </c:pt>
                <c:pt idx="506">
                  <c:v>-0.472176585698082</c:v>
                </c:pt>
                <c:pt idx="507">
                  <c:v>-0.456163568822657</c:v>
                </c:pt>
                <c:pt idx="508">
                  <c:v>-0.440761322166555</c:v>
                </c:pt>
                <c:pt idx="509">
                  <c:v>-0.425965080018917</c:v>
                </c:pt>
                <c:pt idx="510">
                  <c:v>-0.411770249383187</c:v>
                </c:pt>
                <c:pt idx="511">
                  <c:v>-0.398172405810931</c:v>
                </c:pt>
                <c:pt idx="512">
                  <c:v>-0.385167289245503</c:v>
                </c:pt>
                <c:pt idx="513">
                  <c:v>-0.372750799863522</c:v>
                </c:pt>
                <c:pt idx="514">
                  <c:v>-0.360918993901898</c:v>
                </c:pt>
                <c:pt idx="515">
                  <c:v>-0.349668079458008</c:v>
                </c:pt>
                <c:pt idx="516">
                  <c:v>-0.338994412250538</c:v>
                </c:pt>
                <c:pt idx="517">
                  <c:v>-0.328894491328601</c:v>
                </c:pt>
                <c:pt idx="518">
                  <c:v>-0.319364954716905</c:v>
                </c:pt>
                <c:pt idx="519">
                  <c:v>-0.310402574985131</c:v>
                </c:pt>
                <c:pt idx="520">
                  <c:v>-0.302004254730263</c:v>
                </c:pt>
                <c:pt idx="521">
                  <c:v>-0.29416702196139</c:v>
                </c:pt>
                <c:pt idx="522">
                  <c:v>-0.286888025377616</c:v>
                </c:pt>
                <c:pt idx="523">
                  <c:v>-0.28016452953103</c:v>
                </c:pt>
                <c:pt idx="524">
                  <c:v>-0.273993909868387</c:v>
                </c:pt>
                <c:pt idx="525">
                  <c:v>-0.268373647647099</c:v>
                </c:pt>
                <c:pt idx="526">
                  <c:v>-0.263301324723447</c:v>
                </c:pt>
                <c:pt idx="527">
                  <c:v>-0.258774618213473</c:v>
                </c:pt>
                <c:pt idx="528">
                  <c:v>-0.254791295029878</c:v>
                </c:pt>
                <c:pt idx="529">
                  <c:v>-0.251349206301235</c:v>
                </c:pt>
                <c:pt idx="530">
                  <c:v>-0.248446281683049</c:v>
                </c:pt>
                <c:pt idx="531">
                  <c:v>-0.246080523573322</c:v>
                </c:pt>
                <c:pt idx="532">
                  <c:v>-0.244250001248504</c:v>
                </c:pt>
                <c:pt idx="533">
                  <c:v>-0.242952844938595</c:v>
                </c:pt>
                <c:pt idx="534">
                  <c:v>-0.242187239862906</c:v>
                </c:pt>
                <c:pt idx="535">
                  <c:v>-0.24195142025022</c:v>
                </c:pt>
                <c:pt idx="536">
                  <c:v>-0.242243663368901</c:v>
                </c:pt>
                <c:pt idx="537">
                  <c:v>-0.243062283593675</c:v>
                </c:pt>
                <c:pt idx="538">
                  <c:v>-0.244405626536389</c:v>
                </c:pt>
                <c:pt idx="539">
                  <c:v>-0.246272063267956</c:v>
                </c:pt>
                <c:pt idx="540">
                  <c:v>-0.248659984657925</c:v>
                </c:pt>
                <c:pt idx="541">
                  <c:v>-0.251567795856785</c:v>
                </c:pt>
                <c:pt idx="542">
                  <c:v>-0.254993910944143</c:v>
                </c:pt>
                <c:pt idx="543">
                  <c:v>-0.258936747763589</c:v>
                </c:pt>
                <c:pt idx="544">
                  <c:v>-0.263394722962273</c:v>
                </c:pt>
                <c:pt idx="545">
                  <c:v>-0.268366247250275</c:v>
                </c:pt>
                <c:pt idx="546">
                  <c:v>-0.27384972089171</c:v>
                </c:pt>
                <c:pt idx="547">
                  <c:v>-0.279843529436412</c:v>
                </c:pt>
                <c:pt idx="548">
                  <c:v>-0.286346039697955</c:v>
                </c:pt>
                <c:pt idx="549">
                  <c:v>-0.293355595980935</c:v>
                </c:pt>
                <c:pt idx="550">
                  <c:v>-0.300870516557747</c:v>
                </c:pt>
                <c:pt idx="551">
                  <c:v>-0.308889090392732</c:v>
                </c:pt>
                <c:pt idx="552">
                  <c:v>-0.317409574109512</c:v>
                </c:pt>
                <c:pt idx="553">
                  <c:v>-0.326430189195572</c:v>
                </c:pt>
                <c:pt idx="554">
                  <c:v>-0.335949119436721</c:v>
                </c:pt>
                <c:pt idx="555">
                  <c:v>-0.345964508572949</c:v>
                </c:pt>
                <c:pt idx="556">
                  <c:v>-0.356474458166368</c:v>
                </c:pt>
                <c:pt idx="557">
                  <c:v>-0.367477025671322</c:v>
                </c:pt>
                <c:pt idx="558">
                  <c:v>-0.378970222696442</c:v>
                </c:pt>
                <c:pt idx="559">
                  <c:v>-0.390952013448228</c:v>
                </c:pt>
                <c:pt idx="560">
                  <c:v>-0.403420313345793</c:v>
                </c:pt>
                <c:pt idx="561">
                  <c:v>-0.416372987796523</c:v>
                </c:pt>
                <c:pt idx="562">
                  <c:v>-0.429807851122687</c:v>
                </c:pt>
                <c:pt idx="563">
                  <c:v>-0.443722665629357</c:v>
                </c:pt>
                <c:pt idx="564">
                  <c:v>-0.458115140804405</c:v>
                </c:pt>
                <c:pt idx="565">
                  <c:v>-0.472982932641796</c:v>
                </c:pt>
                <c:pt idx="566">
                  <c:v>-0.488323643079842</c:v>
                </c:pt>
                <c:pt idx="567">
                  <c:v>-0.504134819546595</c:v>
                </c:pt>
                <c:pt idx="568">
                  <c:v>-0.520413954605021</c:v>
                </c:pt>
                <c:pt idx="569">
                  <c:v>-0.537158485691083</c:v>
                </c:pt>
                <c:pt idx="570">
                  <c:v>-0.554365794938337</c:v>
                </c:pt>
                <c:pt idx="571">
                  <c:v>-0.572033209083068</c:v>
                </c:pt>
                <c:pt idx="572">
                  <c:v>-0.590157999444468</c:v>
                </c:pt>
                <c:pt idx="573">
                  <c:v>-0.608737381974715</c:v>
                </c:pt>
                <c:pt idx="574">
                  <c:v>-0.627768517374234</c:v>
                </c:pt>
                <c:pt idx="575">
                  <c:v>-0.64724851126776</c:v>
                </c:pt>
                <c:pt idx="576">
                  <c:v>-0.667174414437159</c:v>
                </c:pt>
                <c:pt idx="577">
                  <c:v>-0.68754322310728</c:v>
                </c:pt>
                <c:pt idx="578">
                  <c:v>-0.708351879281394</c:v>
                </c:pt>
                <c:pt idx="579">
                  <c:v>-0.729597271123033</c:v>
                </c:pt>
                <c:pt idx="580">
                  <c:v>-0.751276233381299</c:v>
                </c:pt>
                <c:pt idx="581">
                  <c:v>-0.773385547856924</c:v>
                </c:pt>
                <c:pt idx="582">
                  <c:v>-0.795921943906576</c:v>
                </c:pt>
                <c:pt idx="583">
                  <c:v>-0.81888209898307</c:v>
                </c:pt>
                <c:pt idx="584">
                  <c:v>-0.842262639209359</c:v>
                </c:pt>
                <c:pt idx="585">
                  <c:v>-0.866060139984282</c:v>
                </c:pt>
                <c:pt idx="586">
                  <c:v>-0.890271126618219</c:v>
                </c:pt>
                <c:pt idx="587">
                  <c:v>-0.914892074996933</c:v>
                </c:pt>
                <c:pt idx="588">
                  <c:v>-0.939919412271982</c:v>
                </c:pt>
                <c:pt idx="589">
                  <c:v>-0.965349517576193</c:v>
                </c:pt>
                <c:pt idx="590">
                  <c:v>-0.991178722762803</c:v>
                </c:pt>
                <c:pt idx="591">
                  <c:v>-1.01740331316693</c:v>
                </c:pt>
                <c:pt idx="592">
                  <c:v>-1.04401952838817</c:v>
                </c:pt>
                <c:pt idx="593">
                  <c:v>-1.0710235630931</c:v>
                </c:pt>
                <c:pt idx="594">
                  <c:v>-1.09841156783665</c:v>
                </c:pt>
                <c:pt idx="595">
                  <c:v>-1.12617964990122</c:v>
                </c:pt>
                <c:pt idx="596">
                  <c:v>-1.1543238741527</c:v>
                </c:pt>
                <c:pt idx="597">
                  <c:v>-1.18284026391228</c:v>
                </c:pt>
                <c:pt idx="598">
                  <c:v>-1.21172480184326</c:v>
                </c:pt>
                <c:pt idx="599">
                  <c:v>-1.24097343085208</c:v>
                </c:pt>
                <c:pt idx="600">
                  <c:v>-1.27058205500256</c:v>
                </c:pt>
                <c:pt idx="601">
                  <c:v>-1.30054654044279</c:v>
                </c:pt>
                <c:pt idx="602">
                  <c:v>-1.33086271634374</c:v>
                </c:pt>
                <c:pt idx="603">
                  <c:v>-1.36152637584904</c:v>
                </c:pt>
                <c:pt idx="604">
                  <c:v>-1.39253327703509</c:v>
                </c:pt>
                <c:pt idx="605">
                  <c:v>-1.42387914388097</c:v>
                </c:pt>
                <c:pt idx="606">
                  <c:v>-1.45555966724733</c:v>
                </c:pt>
                <c:pt idx="607">
                  <c:v>-1.48757050586385</c:v>
                </c:pt>
                <c:pt idx="608">
                  <c:v>-1.51990728732448</c:v>
                </c:pt>
                <c:pt idx="609">
                  <c:v>-1.55256560908999</c:v>
                </c:pt>
                <c:pt idx="610">
                  <c:v>-1.58554103949717</c:v>
                </c:pt>
                <c:pt idx="611">
                  <c:v>-1.6188291187742</c:v>
                </c:pt>
                <c:pt idx="612">
                  <c:v>-1.65242536006155</c:v>
                </c:pt>
                <c:pt idx="613">
                  <c:v>-1.68632525043801</c:v>
                </c:pt>
                <c:pt idx="614">
                  <c:v>-1.72052425195119</c:v>
                </c:pt>
                <c:pt idx="615">
                  <c:v>-1.75501780265207</c:v>
                </c:pt>
                <c:pt idx="616">
                  <c:v>-1.78980131763304</c:v>
                </c:pt>
                <c:pt idx="617">
                  <c:v>-1.82487019006903</c:v>
                </c:pt>
                <c:pt idx="618">
                  <c:v>-1.86021979226117</c:v>
                </c:pt>
                <c:pt idx="619">
                  <c:v>-1.89584547668245</c:v>
                </c:pt>
                <c:pt idx="620">
                  <c:v>-1.93174257702516</c:v>
                </c:pt>
                <c:pt idx="621">
                  <c:v>-1.96790640924932</c:v>
                </c:pt>
                <c:pt idx="622">
                  <c:v>-2.00433227263194</c:v>
                </c:pt>
                <c:pt idx="623">
                  <c:v>-2.04101545081652</c:v>
                </c:pt>
                <c:pt idx="624">
                  <c:v>-2.07795121286235</c:v>
                </c:pt>
                <c:pt idx="625">
                  <c:v>-2.11513481429328</c:v>
                </c:pt>
                <c:pt idx="626">
                  <c:v>-2.15256149814546</c:v>
                </c:pt>
                <c:pt idx="627">
                  <c:v>-2.19022649601364</c:v>
                </c:pt>
                <c:pt idx="628">
                  <c:v>-2.22812502909569</c:v>
                </c:pt>
                <c:pt idx="629">
                  <c:v>-2.26625230923482</c:v>
                </c:pt>
                <c:pt idx="630">
                  <c:v>-2.30460353995929</c:v>
                </c:pt>
                <c:pt idx="631">
                  <c:v>-2.34317391751899</c:v>
                </c:pt>
                <c:pt idx="632">
                  <c:v>-2.38195863191869</c:v>
                </c:pt>
                <c:pt idx="633">
                  <c:v>-2.42095286794753</c:v>
                </c:pt>
                <c:pt idx="634">
                  <c:v>-2.46015180620437</c:v>
                </c:pt>
                <c:pt idx="635">
                  <c:v>-2.4995506241186</c:v>
                </c:pt>
                <c:pt idx="636">
                  <c:v>-2.53914449696613</c:v>
                </c:pt>
                <c:pt idx="637">
                  <c:v>-2.57892859888017</c:v>
                </c:pt>
                <c:pt idx="638">
                  <c:v>-2.61889810385644</c:v>
                </c:pt>
                <c:pt idx="639">
                  <c:v>-2.65904818675248</c:v>
                </c:pt>
                <c:pt idx="640">
                  <c:v>-2.69937402428073</c:v>
                </c:pt>
                <c:pt idx="641">
                  <c:v>-2.73987079599513</c:v>
                </c:pt>
                <c:pt idx="642">
                  <c:v>-2.78053368527067</c:v>
                </c:pt>
                <c:pt idx="643">
                  <c:v>-2.82135788027596</c:v>
                </c:pt>
                <c:pt idx="644">
                  <c:v>-2.86233857493811</c:v>
                </c:pt>
                <c:pt idx="645">
                  <c:v>-2.90347096989994</c:v>
                </c:pt>
                <c:pt idx="646">
                  <c:v>-2.94475027346903</c:v>
                </c:pt>
                <c:pt idx="647">
                  <c:v>-2.98617170255836</c:v>
                </c:pt>
                <c:pt idx="648">
                  <c:v>-3.02773048361834</c:v>
                </c:pt>
                <c:pt idx="649">
                  <c:v>-3.06942185355985</c:v>
                </c:pt>
                <c:pt idx="650">
                  <c:v>-3.11124106066803</c:v>
                </c:pt>
                <c:pt idx="651">
                  <c:v>-3.15318336550668</c:v>
                </c:pt>
                <c:pt idx="652">
                  <c:v>-3.19524404181279</c:v>
                </c:pt>
                <c:pt idx="653">
                  <c:v>-3.23741837738117</c:v>
                </c:pt>
                <c:pt idx="654">
                  <c:v>-3.27970167493884</c:v>
                </c:pt>
                <c:pt idx="655">
                  <c:v>-3.3220892530089</c:v>
                </c:pt>
                <c:pt idx="656">
                  <c:v>-3.36457644676369</c:v>
                </c:pt>
                <c:pt idx="657">
                  <c:v>-3.4071586088671</c:v>
                </c:pt>
                <c:pt idx="658">
                  <c:v>-3.44983111030564</c:v>
                </c:pt>
                <c:pt idx="659">
                  <c:v>-3.49258934120822</c:v>
                </c:pt>
                <c:pt idx="660">
                  <c:v>-3.53542871165435</c:v>
                </c:pt>
                <c:pt idx="661">
                  <c:v>-3.57834465247056</c:v>
                </c:pt>
                <c:pt idx="662">
                  <c:v>-3.62133261601493</c:v>
                </c:pt>
                <c:pt idx="663">
                  <c:v>-3.66438807694945</c:v>
                </c:pt>
                <c:pt idx="664">
                  <c:v>-3.7075065330001</c:v>
                </c:pt>
                <c:pt idx="665">
                  <c:v>-3.75068350570444</c:v>
                </c:pt>
                <c:pt idx="666">
                  <c:v>-3.79391454114661</c:v>
                </c:pt>
                <c:pt idx="667">
                  <c:v>-3.83719521067953</c:v>
                </c:pt>
                <c:pt idx="668">
                  <c:v>-3.88052111163414</c:v>
                </c:pt>
                <c:pt idx="669">
                  <c:v>-3.92388786801559</c:v>
                </c:pt>
                <c:pt idx="670">
                  <c:v>-3.96729113118628</c:v>
                </c:pt>
                <c:pt idx="671">
                  <c:v>-4.01072658053547</c:v>
                </c:pt>
                <c:pt idx="672">
                  <c:v>-4.05418992413554</c:v>
                </c:pt>
                <c:pt idx="673">
                  <c:v>-4.09767689938463</c:v>
                </c:pt>
                <c:pt idx="674">
                  <c:v>-4.14118327363565</c:v>
                </c:pt>
                <c:pt idx="675">
                  <c:v>-4.18470484481154</c:v>
                </c:pt>
                <c:pt idx="676">
                  <c:v>-4.22823744200663</c:v>
                </c:pt>
                <c:pt idx="677">
                  <c:v>-4.27177692607414</c:v>
                </c:pt>
                <c:pt idx="678">
                  <c:v>-4.31531919019962</c:v>
                </c:pt>
                <c:pt idx="679">
                  <c:v>-4.35886016046032</c:v>
                </c:pt>
                <c:pt idx="680">
                  <c:v>-4.40239579637044</c:v>
                </c:pt>
                <c:pt idx="681">
                  <c:v>-4.44592209141219</c:v>
                </c:pt>
                <c:pt idx="682">
                  <c:v>-4.48943507355256</c:v>
                </c:pt>
                <c:pt idx="683">
                  <c:v>-4.53293080574586</c:v>
                </c:pt>
                <c:pt idx="684">
                  <c:v>-4.57640538642191</c:v>
                </c:pt>
                <c:pt idx="685">
                  <c:v>-4.61985494995988</c:v>
                </c:pt>
                <c:pt idx="686">
                  <c:v>-4.66327566714778</c:v>
                </c:pt>
                <c:pt idx="687">
                  <c:v>-4.70666374562754</c:v>
                </c:pt>
                <c:pt idx="688">
                  <c:v>-4.7500154303257</c:v>
                </c:pt>
                <c:pt idx="689">
                  <c:v>-4.79332700386971</c:v>
                </c:pt>
                <c:pt idx="690">
                  <c:v>-4.83659478698987</c:v>
                </c:pt>
                <c:pt idx="691">
                  <c:v>-4.87981513890678</c:v>
                </c:pt>
                <c:pt idx="692">
                  <c:v>-4.92298445770457</c:v>
                </c:pt>
                <c:pt idx="693">
                  <c:v>-4.96609918068966</c:v>
                </c:pt>
                <c:pt idx="694">
                  <c:v>-5.00915578473527</c:v>
                </c:pt>
                <c:pt idx="695">
                  <c:v>-5.05215078661163</c:v>
                </c:pt>
                <c:pt idx="696">
                  <c:v>-5.09508074330196</c:v>
                </c:pt>
                <c:pt idx="697">
                  <c:v>-5.13794225230426</c:v>
                </c:pt>
                <c:pt idx="698">
                  <c:v>-5.18073195191891</c:v>
                </c:pt>
                <c:pt idx="699">
                  <c:v>-5.22344652152225</c:v>
                </c:pt>
                <c:pt idx="700">
                  <c:v>-5.2660826818261</c:v>
                </c:pt>
                <c:pt idx="701">
                  <c:v>-5.30863719512333</c:v>
                </c:pt>
                <c:pt idx="702">
                  <c:v>-5.35110686551957</c:v>
                </c:pt>
                <c:pt idx="703">
                  <c:v>-5.39348853915107</c:v>
                </c:pt>
                <c:pt idx="704">
                  <c:v>-5.4357791043889</c:v>
                </c:pt>
                <c:pt idx="705">
                  <c:v>-5.47797549202949</c:v>
                </c:pt>
                <c:pt idx="706">
                  <c:v>-5.52007467547165</c:v>
                </c:pt>
                <c:pt idx="707">
                  <c:v>-5.56207367088012</c:v>
                </c:pt>
                <c:pt idx="708">
                  <c:v>-5.60396953733582</c:v>
                </c:pt>
                <c:pt idx="709">
                  <c:v>-5.64575937697287</c:v>
                </c:pt>
                <c:pt idx="710">
                  <c:v>-5.68744033510248</c:v>
                </c:pt>
                <c:pt idx="711">
                  <c:v>-5.72900960032384</c:v>
                </c:pt>
                <c:pt idx="712">
                  <c:v>-5.77046440462219</c:v>
                </c:pt>
                <c:pt idx="713">
                  <c:v>-5.81180202345403</c:v>
                </c:pt>
                <c:pt idx="714">
                  <c:v>-5.85301977581977</c:v>
                </c:pt>
                <c:pt idx="715">
                  <c:v>-5.89411502432396</c:v>
                </c:pt>
                <c:pt idx="716">
                  <c:v>-5.93508517522296</c:v>
                </c:pt>
                <c:pt idx="717">
                  <c:v>-5.97592767846062</c:v>
                </c:pt>
                <c:pt idx="718">
                  <c:v>-6.01664002769175</c:v>
                </c:pt>
                <c:pt idx="719">
                  <c:v>-6.01668049716015</c:v>
                </c:pt>
                <c:pt idx="720">
                  <c:v>-6.01672096649646</c:v>
                </c:pt>
                <c:pt idx="721">
                  <c:v>-6.01676143570068</c:v>
                </c:pt>
                <c:pt idx="722">
                  <c:v>-6.0168019047728</c:v>
                </c:pt>
                <c:pt idx="723">
                  <c:v>-6.01684237371283</c:v>
                </c:pt>
                <c:pt idx="724">
                  <c:v>-6.01688284252076</c:v>
                </c:pt>
                <c:pt idx="725">
                  <c:v>-6.01692331119659</c:v>
                </c:pt>
                <c:pt idx="726">
                  <c:v>-6.01696377974031</c:v>
                </c:pt>
                <c:pt idx="727">
                  <c:v>-6.01700424815193</c:v>
                </c:pt>
                <c:pt idx="728">
                  <c:v>-6.01704471643144</c:v>
                </c:pt>
                <c:pt idx="729">
                  <c:v>-6.01708518457884</c:v>
                </c:pt>
                <c:pt idx="730">
                  <c:v>-6.01712565259413</c:v>
                </c:pt>
                <c:pt idx="731">
                  <c:v>-6.01716612047729</c:v>
                </c:pt>
                <c:pt idx="732">
                  <c:v>-6.01720658822834</c:v>
                </c:pt>
                <c:pt idx="733">
                  <c:v>-6.01724705584727</c:v>
                </c:pt>
                <c:pt idx="734">
                  <c:v>-6.01728752333408</c:v>
                </c:pt>
                <c:pt idx="735">
                  <c:v>-6.01732799068876</c:v>
                </c:pt>
                <c:pt idx="736">
                  <c:v>-6.01736845791131</c:v>
                </c:pt>
                <c:pt idx="737">
                  <c:v>-6.01740892500173</c:v>
                </c:pt>
                <c:pt idx="738">
                  <c:v>-6.01744939196002</c:v>
                </c:pt>
                <c:pt idx="739">
                  <c:v>-6.01748985878618</c:v>
                </c:pt>
                <c:pt idx="740">
                  <c:v>-6.0175303254802</c:v>
                </c:pt>
                <c:pt idx="741">
                  <c:v>-6.01757079204207</c:v>
                </c:pt>
                <c:pt idx="742">
                  <c:v>-6.01761125847181</c:v>
                </c:pt>
                <c:pt idx="743">
                  <c:v>-6.0176517247694</c:v>
                </c:pt>
                <c:pt idx="744">
                  <c:v>-6.01769219093484</c:v>
                </c:pt>
                <c:pt idx="745">
                  <c:v>-6.01773265696814</c:v>
                </c:pt>
                <c:pt idx="746">
                  <c:v>-6.01777312286928</c:v>
                </c:pt>
                <c:pt idx="747">
                  <c:v>-6.01781358863827</c:v>
                </c:pt>
                <c:pt idx="748">
                  <c:v>-6.0178540542751</c:v>
                </c:pt>
                <c:pt idx="749">
                  <c:v>-6.01789451977977</c:v>
                </c:pt>
                <c:pt idx="750">
                  <c:v>-6.01793498515229</c:v>
                </c:pt>
                <c:pt idx="751">
                  <c:v>-6.01797545039264</c:v>
                </c:pt>
                <c:pt idx="752">
                  <c:v>-6.01801591550082</c:v>
                </c:pt>
                <c:pt idx="753">
                  <c:v>-6.01805638047683</c:v>
                </c:pt>
                <c:pt idx="754">
                  <c:v>-6.01809684532067</c:v>
                </c:pt>
                <c:pt idx="755">
                  <c:v>-6.01813731003234</c:v>
                </c:pt>
                <c:pt idx="756">
                  <c:v>-6.01817777461183</c:v>
                </c:pt>
                <c:pt idx="757">
                  <c:v>-6.01821823905914</c:v>
                </c:pt>
                <c:pt idx="758">
                  <c:v>-6.01825870337428</c:v>
                </c:pt>
                <c:pt idx="759">
                  <c:v>-6.01829916755723</c:v>
                </c:pt>
                <c:pt idx="760">
                  <c:v>-6.01833963160799</c:v>
                </c:pt>
                <c:pt idx="761">
                  <c:v>-6.01838009552657</c:v>
                </c:pt>
                <c:pt idx="762">
                  <c:v>-6.01842055931295</c:v>
                </c:pt>
                <c:pt idx="763">
                  <c:v>-6.01846102296715</c:v>
                </c:pt>
                <c:pt idx="764">
                  <c:v>-6.01850148648914</c:v>
                </c:pt>
                <c:pt idx="765">
                  <c:v>-6.01854194987895</c:v>
                </c:pt>
                <c:pt idx="766">
                  <c:v>-6.01858241313655</c:v>
                </c:pt>
                <c:pt idx="767">
                  <c:v>-6.01862287626195</c:v>
                </c:pt>
                <c:pt idx="768">
                  <c:v>-6.01866333925514</c:v>
                </c:pt>
                <c:pt idx="769">
                  <c:v>-6.01870380211613</c:v>
                </c:pt>
                <c:pt idx="770">
                  <c:v>-6.01874426484491</c:v>
                </c:pt>
                <c:pt idx="771">
                  <c:v>-6.01878472744147</c:v>
                </c:pt>
                <c:pt idx="772">
                  <c:v>-6.01882518990583</c:v>
                </c:pt>
                <c:pt idx="773">
                  <c:v>-6.01886565223796</c:v>
                </c:pt>
                <c:pt idx="774">
                  <c:v>-6.01890611443788</c:v>
                </c:pt>
                <c:pt idx="775">
                  <c:v>-6.01894657650557</c:v>
                </c:pt>
                <c:pt idx="776">
                  <c:v>-6.01898703844104</c:v>
                </c:pt>
                <c:pt idx="777">
                  <c:v>-6.01902750024429</c:v>
                </c:pt>
                <c:pt idx="778">
                  <c:v>-6.0190679619153</c:v>
                </c:pt>
                <c:pt idx="779">
                  <c:v>-6.01910842345409</c:v>
                </c:pt>
                <c:pt idx="780">
                  <c:v>-6.01914888486064</c:v>
                </c:pt>
                <c:pt idx="781">
                  <c:v>-6.01918934613495</c:v>
                </c:pt>
                <c:pt idx="782">
                  <c:v>-6.01922980727703</c:v>
                </c:pt>
                <c:pt idx="783">
                  <c:v>-6.01927026828686</c:v>
                </c:pt>
                <c:pt idx="784">
                  <c:v>-6.01931072916446</c:v>
                </c:pt>
                <c:pt idx="785">
                  <c:v>-6.01935118990981</c:v>
                </c:pt>
                <c:pt idx="786">
                  <c:v>-6.0193916505229</c:v>
                </c:pt>
                <c:pt idx="787">
                  <c:v>-6.01943211100376</c:v>
                </c:pt>
                <c:pt idx="788">
                  <c:v>-6.01947257135235</c:v>
                </c:pt>
                <c:pt idx="789">
                  <c:v>-6.0195130315687</c:v>
                </c:pt>
                <c:pt idx="790">
                  <c:v>-6.01955349165278</c:v>
                </c:pt>
                <c:pt idx="791">
                  <c:v>-6.01959395160461</c:v>
                </c:pt>
                <c:pt idx="792">
                  <c:v>-6.01963441142417</c:v>
                </c:pt>
                <c:pt idx="793">
                  <c:v>-6.01967487111147</c:v>
                </c:pt>
                <c:pt idx="794">
                  <c:v>-6.0197153306665</c:v>
                </c:pt>
                <c:pt idx="795">
                  <c:v>-6.01975579008926</c:v>
                </c:pt>
                <c:pt idx="796">
                  <c:v>-6.01979624937975</c:v>
                </c:pt>
                <c:pt idx="797">
                  <c:v>-6.01983670853797</c:v>
                </c:pt>
                <c:pt idx="798">
                  <c:v>-6.01987716756391</c:v>
                </c:pt>
                <c:pt idx="799">
                  <c:v>-6.01991762645757</c:v>
                </c:pt>
                <c:pt idx="800">
                  <c:v>-6.01995808521895</c:v>
                </c:pt>
                <c:pt idx="801">
                  <c:v>-6.01999854384804</c:v>
                </c:pt>
                <c:pt idx="802">
                  <c:v>-6.02003900234485</c:v>
                </c:pt>
                <c:pt idx="803">
                  <c:v>-6.02007946070937</c:v>
                </c:pt>
                <c:pt idx="804">
                  <c:v>-6.0201199189416</c:v>
                </c:pt>
                <c:pt idx="805">
                  <c:v>-6.02016037704154</c:v>
                </c:pt>
                <c:pt idx="806">
                  <c:v>-6.02020083500918</c:v>
                </c:pt>
                <c:pt idx="807">
                  <c:v>-6.02024129284452</c:v>
                </c:pt>
                <c:pt idx="808">
                  <c:v>-6.02028175054756</c:v>
                </c:pt>
                <c:pt idx="809">
                  <c:v>-6.0203222081183</c:v>
                </c:pt>
                <c:pt idx="810">
                  <c:v>-6.02036266555673</c:v>
                </c:pt>
                <c:pt idx="811">
                  <c:v>-6.02040312286286</c:v>
                </c:pt>
                <c:pt idx="812">
                  <c:v>-6.02044358003667</c:v>
                </c:pt>
                <c:pt idx="813">
                  <c:v>-6.02048403707817</c:v>
                </c:pt>
                <c:pt idx="814">
                  <c:v>-6.02052449398736</c:v>
                </c:pt>
                <c:pt idx="815">
                  <c:v>-6.02056495076423</c:v>
                </c:pt>
                <c:pt idx="816">
                  <c:v>-6.02060540740878</c:v>
                </c:pt>
                <c:pt idx="817">
                  <c:v>-6.020645863921</c:v>
                </c:pt>
                <c:pt idx="818">
                  <c:v>-6.02068632030091</c:v>
                </c:pt>
                <c:pt idx="819">
                  <c:v>-6.02072677654848</c:v>
                </c:pt>
                <c:pt idx="820">
                  <c:v>-6.02076723266373</c:v>
                </c:pt>
                <c:pt idx="821">
                  <c:v>-6.02080768864665</c:v>
                </c:pt>
                <c:pt idx="822">
                  <c:v>-6.02084814449723</c:v>
                </c:pt>
                <c:pt idx="823">
                  <c:v>-6.02088860021547</c:v>
                </c:pt>
                <c:pt idx="824">
                  <c:v>-6.02092905580138</c:v>
                </c:pt>
                <c:pt idx="825">
                  <c:v>-6.02096951125494</c:v>
                </c:pt>
                <c:pt idx="826">
                  <c:v>-6.02100996657616</c:v>
                </c:pt>
                <c:pt idx="827">
                  <c:v>-6.02105042176503</c:v>
                </c:pt>
                <c:pt idx="828">
                  <c:v>-6.02109087682156</c:v>
                </c:pt>
                <c:pt idx="829">
                  <c:v>-6.02113133174573</c:v>
                </c:pt>
                <c:pt idx="830">
                  <c:v>-6.02117178653756</c:v>
                </c:pt>
                <c:pt idx="831">
                  <c:v>-6.02121224119702</c:v>
                </c:pt>
                <c:pt idx="832">
                  <c:v>-6.02125269572413</c:v>
                </c:pt>
                <c:pt idx="833">
                  <c:v>-6.02129315011888</c:v>
                </c:pt>
                <c:pt idx="834">
                  <c:v>-6.02133360438126</c:v>
                </c:pt>
                <c:pt idx="835">
                  <c:v>-6.02137405851128</c:v>
                </c:pt>
                <c:pt idx="836">
                  <c:v>-6.02141451250893</c:v>
                </c:pt>
                <c:pt idx="837">
                  <c:v>-6.02145496637421</c:v>
                </c:pt>
                <c:pt idx="838">
                  <c:v>-6.02149542010712</c:v>
                </c:pt>
                <c:pt idx="839">
                  <c:v>-6.02153587370765</c:v>
                </c:pt>
                <c:pt idx="840">
                  <c:v>-6.02157632717581</c:v>
                </c:pt>
                <c:pt idx="841">
                  <c:v>-6.02161678051158</c:v>
                </c:pt>
                <c:pt idx="842">
                  <c:v>-6.02165723371498</c:v>
                </c:pt>
                <c:pt idx="843">
                  <c:v>-6.02169768678599</c:v>
                </c:pt>
                <c:pt idx="844">
                  <c:v>-6.02173813972461</c:v>
                </c:pt>
                <c:pt idx="845">
                  <c:v>-6.02177859253085</c:v>
                </c:pt>
                <c:pt idx="846">
                  <c:v>-6.02181904520469</c:v>
                </c:pt>
                <c:pt idx="847">
                  <c:v>-6.02185949774614</c:v>
                </c:pt>
                <c:pt idx="848">
                  <c:v>-6.02189995015519</c:v>
                </c:pt>
                <c:pt idx="849">
                  <c:v>-6.02194040243184</c:v>
                </c:pt>
                <c:pt idx="850">
                  <c:v>-6.02198085457609</c:v>
                </c:pt>
                <c:pt idx="851">
                  <c:v>-6.02202130658794</c:v>
                </c:pt>
                <c:pt idx="852">
                  <c:v>-6.02206175846738</c:v>
                </c:pt>
                <c:pt idx="853">
                  <c:v>-6.02210221021442</c:v>
                </c:pt>
                <c:pt idx="854">
                  <c:v>-6.02214266182904</c:v>
                </c:pt>
                <c:pt idx="855">
                  <c:v>-6.02218311331125</c:v>
                </c:pt>
                <c:pt idx="856">
                  <c:v>-6.02222356466104</c:v>
                </c:pt>
                <c:pt idx="857">
                  <c:v>-6.02226401587842</c:v>
                </c:pt>
                <c:pt idx="858">
                  <c:v>-6.02230446696337</c:v>
                </c:pt>
                <c:pt idx="859">
                  <c:v>-6.0223449179159</c:v>
                </c:pt>
                <c:pt idx="860">
                  <c:v>-6.02238536873601</c:v>
                </c:pt>
                <c:pt idx="861">
                  <c:v>-6.02242581942369</c:v>
                </c:pt>
                <c:pt idx="862">
                  <c:v>-6.02246626997894</c:v>
                </c:pt>
                <c:pt idx="863">
                  <c:v>-6.02250672040176</c:v>
                </c:pt>
                <c:pt idx="864">
                  <c:v>-6.02254717069214</c:v>
                </c:pt>
                <c:pt idx="865">
                  <c:v>-6.02258762085008</c:v>
                </c:pt>
                <c:pt idx="866">
                  <c:v>-6.02262807087559</c:v>
                </c:pt>
                <c:pt idx="867">
                  <c:v>-6.02266852076865</c:v>
                </c:pt>
                <c:pt idx="868">
                  <c:v>-6.02270897052927</c:v>
                </c:pt>
                <c:pt idx="869">
                  <c:v>-6.02274942015745</c:v>
                </c:pt>
                <c:pt idx="870">
                  <c:v>-6.02278986965317</c:v>
                </c:pt>
                <c:pt idx="871">
                  <c:v>-6.02283031901644</c:v>
                </c:pt>
                <c:pt idx="872">
                  <c:v>-6.02287076824726</c:v>
                </c:pt>
                <c:pt idx="873">
                  <c:v>-6.02291121734562</c:v>
                </c:pt>
                <c:pt idx="874">
                  <c:v>-6.02295166631152</c:v>
                </c:pt>
                <c:pt idx="875">
                  <c:v>-6.02299211514496</c:v>
                </c:pt>
                <c:pt idx="876">
                  <c:v>-6.02303256384594</c:v>
                </c:pt>
                <c:pt idx="877">
                  <c:v>-6.02307301241445</c:v>
                </c:pt>
                <c:pt idx="878">
                  <c:v>-6.02311346085049</c:v>
                </c:pt>
                <c:pt idx="879">
                  <c:v>-6.02315390915407</c:v>
                </c:pt>
                <c:pt idx="880">
                  <c:v>-6.02319435732517</c:v>
                </c:pt>
                <c:pt idx="881">
                  <c:v>-6.02323480536379</c:v>
                </c:pt>
                <c:pt idx="882">
                  <c:v>-6.02327525326994</c:v>
                </c:pt>
                <c:pt idx="883">
                  <c:v>-6.0233157010436</c:v>
                </c:pt>
                <c:pt idx="884">
                  <c:v>-6.02335614868479</c:v>
                </c:pt>
                <c:pt idx="885">
                  <c:v>-6.02339659619349</c:v>
                </c:pt>
                <c:pt idx="886">
                  <c:v>-6.0234370435697</c:v>
                </c:pt>
                <c:pt idx="887">
                  <c:v>-6.02347749081342</c:v>
                </c:pt>
                <c:pt idx="888">
                  <c:v>-6.02351793792465</c:v>
                </c:pt>
                <c:pt idx="889">
                  <c:v>-6.02355838490339</c:v>
                </c:pt>
                <c:pt idx="890">
                  <c:v>-6.02359883174962</c:v>
                </c:pt>
                <c:pt idx="891">
                  <c:v>-6.02363927846336</c:v>
                </c:pt>
                <c:pt idx="892">
                  <c:v>-6.0236797250446</c:v>
                </c:pt>
                <c:pt idx="893">
                  <c:v>-6.02372017149333</c:v>
                </c:pt>
                <c:pt idx="894">
                  <c:v>-6.02376061780955</c:v>
                </c:pt>
                <c:pt idx="895">
                  <c:v>-6.02380106399327</c:v>
                </c:pt>
                <c:pt idx="896">
                  <c:v>-6.02384151004447</c:v>
                </c:pt>
                <c:pt idx="897">
                  <c:v>-6.02388195596316</c:v>
                </c:pt>
                <c:pt idx="898">
                  <c:v>-6.02392240174934</c:v>
                </c:pt>
                <c:pt idx="899">
                  <c:v>-6.02396284740299</c:v>
                </c:pt>
                <c:pt idx="900">
                  <c:v>-6.02400329292413</c:v>
                </c:pt>
                <c:pt idx="901">
                  <c:v>-6.02404373831274</c:v>
                </c:pt>
                <c:pt idx="902">
                  <c:v>-6.02408418356883</c:v>
                </c:pt>
                <c:pt idx="903">
                  <c:v>-6.02412462869239</c:v>
                </c:pt>
                <c:pt idx="904">
                  <c:v>-6.02416507368341</c:v>
                </c:pt>
                <c:pt idx="905">
                  <c:v>-6.02420551854191</c:v>
                </c:pt>
                <c:pt idx="906">
                  <c:v>-6.02424596326787</c:v>
                </c:pt>
                <c:pt idx="907">
                  <c:v>-6.02428640786129</c:v>
                </c:pt>
                <c:pt idx="908">
                  <c:v>-6.02432685232217</c:v>
                </c:pt>
                <c:pt idx="909">
                  <c:v>-6.02436729665051</c:v>
                </c:pt>
                <c:pt idx="910">
                  <c:v>-6.0244077408463</c:v>
                </c:pt>
                <c:pt idx="911">
                  <c:v>-6.02444818490955</c:v>
                </c:pt>
                <c:pt idx="912">
                  <c:v>-6.02448862884024</c:v>
                </c:pt>
                <c:pt idx="913">
                  <c:v>-6.02452907263839</c:v>
                </c:pt>
                <c:pt idx="914">
                  <c:v>-6.02456951630398</c:v>
                </c:pt>
                <c:pt idx="915">
                  <c:v>-6.02460995983701</c:v>
                </c:pt>
                <c:pt idx="916">
                  <c:v>-6.02465040323748</c:v>
                </c:pt>
                <c:pt idx="917">
                  <c:v>-6.0246908465054</c:v>
                </c:pt>
                <c:pt idx="918">
                  <c:v>-6.02473128964075</c:v>
                </c:pt>
                <c:pt idx="919">
                  <c:v>-6.02477173264353</c:v>
                </c:pt>
                <c:pt idx="920">
                  <c:v>-6.02481217551374</c:v>
                </c:pt>
                <c:pt idx="921">
                  <c:v>-6.02485261825138</c:v>
                </c:pt>
                <c:pt idx="922">
                  <c:v>-6.02489306085645</c:v>
                </c:pt>
                <c:pt idx="923">
                  <c:v>-6.02493350332894</c:v>
                </c:pt>
                <c:pt idx="924">
                  <c:v>-6.02497394566886</c:v>
                </c:pt>
                <c:pt idx="925">
                  <c:v>-6.02501438787619</c:v>
                </c:pt>
                <c:pt idx="926">
                  <c:v>-6.02505482995094</c:v>
                </c:pt>
                <c:pt idx="927">
                  <c:v>-6.0250952718931</c:v>
                </c:pt>
                <c:pt idx="928">
                  <c:v>-6.02513571370267</c:v>
                </c:pt>
                <c:pt idx="929">
                  <c:v>-6.02517615537966</c:v>
                </c:pt>
                <c:pt idx="930">
                  <c:v>-6.02521659692405</c:v>
                </c:pt>
                <c:pt idx="931">
                  <c:v>-6.02525703833585</c:v>
                </c:pt>
                <c:pt idx="932">
                  <c:v>-6.02529747961505</c:v>
                </c:pt>
                <c:pt idx="933">
                  <c:v>-6.02533792076165</c:v>
                </c:pt>
                <c:pt idx="934">
                  <c:v>-6.02537836177564</c:v>
                </c:pt>
                <c:pt idx="935">
                  <c:v>-6.02541880265704</c:v>
                </c:pt>
                <c:pt idx="936">
                  <c:v>-6.02545924340583</c:v>
                </c:pt>
                <c:pt idx="937">
                  <c:v>-6.025499684022</c:v>
                </c:pt>
                <c:pt idx="938">
                  <c:v>-6.02554012450557</c:v>
                </c:pt>
                <c:pt idx="939">
                  <c:v>-6.02558056485652</c:v>
                </c:pt>
                <c:pt idx="940">
                  <c:v>-6.02562100507485</c:v>
                </c:pt>
                <c:pt idx="941">
                  <c:v>-6.02566144516057</c:v>
                </c:pt>
                <c:pt idx="942">
                  <c:v>-6.02570188511366</c:v>
                </c:pt>
                <c:pt idx="943">
                  <c:v>-6.02574232493413</c:v>
                </c:pt>
                <c:pt idx="944">
                  <c:v>-6.02578276462197</c:v>
                </c:pt>
                <c:pt idx="945">
                  <c:v>-6.02582320417719</c:v>
                </c:pt>
                <c:pt idx="946">
                  <c:v>-6.02586364359977</c:v>
                </c:pt>
                <c:pt idx="947">
                  <c:v>-6.02590408288972</c:v>
                </c:pt>
                <c:pt idx="948">
                  <c:v>-6.02594452204703</c:v>
                </c:pt>
                <c:pt idx="949">
                  <c:v>-6.02598496107171</c:v>
                </c:pt>
                <c:pt idx="950">
                  <c:v>-6.02602539996375</c:v>
                </c:pt>
                <c:pt idx="951">
                  <c:v>-6.02606583872313</c:v>
                </c:pt>
                <c:pt idx="952">
                  <c:v>-6.02610627734988</c:v>
                </c:pt>
                <c:pt idx="953">
                  <c:v>-6.02614671584398</c:v>
                </c:pt>
                <c:pt idx="954">
                  <c:v>-6.02618715420543</c:v>
                </c:pt>
                <c:pt idx="955">
                  <c:v>-6.02622759243423</c:v>
                </c:pt>
                <c:pt idx="956">
                  <c:v>-6.02626803053037</c:v>
                </c:pt>
                <c:pt idx="957">
                  <c:v>-6.02630846849385</c:v>
                </c:pt>
                <c:pt idx="958">
                  <c:v>-6.02634890632468</c:v>
                </c:pt>
                <c:pt idx="959">
                  <c:v>-6.02638934402284</c:v>
                </c:pt>
                <c:pt idx="960">
                  <c:v>-6.02642978158833</c:v>
                </c:pt>
                <c:pt idx="961">
                  <c:v>-6.02647021902116</c:v>
                </c:pt>
                <c:pt idx="962">
                  <c:v>-6.02651065632132</c:v>
                </c:pt>
                <c:pt idx="963">
                  <c:v>-6.02655109348881</c:v>
                </c:pt>
                <c:pt idx="964">
                  <c:v>-6.02659153052363</c:v>
                </c:pt>
                <c:pt idx="965">
                  <c:v>-6.02663196742577</c:v>
                </c:pt>
                <c:pt idx="966">
                  <c:v>-6.02667240419523</c:v>
                </c:pt>
                <c:pt idx="967">
                  <c:v>-6.02671284083201</c:v>
                </c:pt>
                <c:pt idx="968">
                  <c:v>-6.0267532773361</c:v>
                </c:pt>
                <c:pt idx="969">
                  <c:v>-6.02679371370751</c:v>
                </c:pt>
                <c:pt idx="970">
                  <c:v>-6.02683414994623</c:v>
                </c:pt>
                <c:pt idx="971">
                  <c:v>-6.02687458605226</c:v>
                </c:pt>
                <c:pt idx="972">
                  <c:v>-6.0269150220256</c:v>
                </c:pt>
                <c:pt idx="973">
                  <c:v>-6.02695545786624</c:v>
                </c:pt>
                <c:pt idx="974">
                  <c:v>-6.02699589357418</c:v>
                </c:pt>
                <c:pt idx="975">
                  <c:v>-6.02703632914942</c:v>
                </c:pt>
                <c:pt idx="976">
                  <c:v>-6.02707676459196</c:v>
                </c:pt>
                <c:pt idx="977">
                  <c:v>-6.0271171999018</c:v>
                </c:pt>
                <c:pt idx="978">
                  <c:v>-6.02715763507892</c:v>
                </c:pt>
                <c:pt idx="979">
                  <c:v>-6.02719807012334</c:v>
                </c:pt>
                <c:pt idx="980">
                  <c:v>-6.02723850503504</c:v>
                </c:pt>
                <c:pt idx="981">
                  <c:v>-6.02727893981403</c:v>
                </c:pt>
                <c:pt idx="982">
                  <c:v>-6.02731937446031</c:v>
                </c:pt>
                <c:pt idx="983">
                  <c:v>-6.02735980897387</c:v>
                </c:pt>
                <c:pt idx="984">
                  <c:v>-6.0274002433547</c:v>
                </c:pt>
                <c:pt idx="985">
                  <c:v>-6.0274406776028</c:v>
                </c:pt>
                <c:pt idx="986">
                  <c:v>-6.02748111171818</c:v>
                </c:pt>
                <c:pt idx="987">
                  <c:v>-6.02752154570084</c:v>
                </c:pt>
                <c:pt idx="988">
                  <c:v>-6.02756197955075</c:v>
                </c:pt>
                <c:pt idx="989">
                  <c:v>-6.02760241326794</c:v>
                </c:pt>
                <c:pt idx="990">
                  <c:v>-6.02764284685239</c:v>
                </c:pt>
                <c:pt idx="991">
                  <c:v>-6.0276832803041</c:v>
                </c:pt>
                <c:pt idx="992">
                  <c:v>-6.02772371362307</c:v>
                </c:pt>
                <c:pt idx="993">
                  <c:v>-6.0277641468093</c:v>
                </c:pt>
                <c:pt idx="994">
                  <c:v>-6.02780457986278</c:v>
                </c:pt>
                <c:pt idx="995">
                  <c:v>-6.02784501278352</c:v>
                </c:pt>
                <c:pt idx="996">
                  <c:v>-6.0278854455715</c:v>
                </c:pt>
                <c:pt idx="997">
                  <c:v>-6.02792587822673</c:v>
                </c:pt>
                <c:pt idx="998">
                  <c:v>-6.0279663107492</c:v>
                </c:pt>
                <c:pt idx="999">
                  <c:v>-6.02800674313891</c:v>
                </c:pt>
                <c:pt idx="1000">
                  <c:v>-6.02804717539587</c:v>
                </c:pt>
              </c:numCache>
            </c:numRef>
          </c:yVal>
          <c:smooth val="0"/>
        </c:ser>
        <c:axId val="35871482"/>
        <c:axId val="69697627"/>
      </c:scatterChart>
      <c:valAx>
        <c:axId val="35871482"/>
        <c:scaling>
          <c:orientation val="minMax"/>
        </c:scaling>
        <c:delete val="0"/>
        <c:axPos val="b"/>
        <c:majorGridlines>
          <c:spPr>
            <a:ln w="3240">
              <a:solidFill>
                <a:srgbClr val="000000"/>
              </a:solidFill>
              <a:prstDash val="sysDash"/>
              <a:round/>
            </a:ln>
          </c:spPr>
        </c:majorGridlines>
        <c:title>
          <c:tx>
            <c:rich>
              <a:bodyPr rot="0"/>
              <a:lstStyle/>
              <a:p>
                <a:pPr>
                  <a:defRPr b="1" sz="1000" spc="-1" strike="noStrike">
                    <a:solidFill>
                      <a:srgbClr val="000000"/>
                    </a:solidFill>
                    <a:latin typeface="Arial"/>
                    <a:ea typeface="Arial"/>
                  </a:defRPr>
                </a:pPr>
                <a:r>
                  <a:rPr b="1"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69697627"/>
        <c:crosses val="autoZero"/>
        <c:crossBetween val="midCat"/>
      </c:valAx>
      <c:valAx>
        <c:axId val="69697627"/>
        <c:scaling>
          <c:orientation val="minMax"/>
        </c:scaling>
        <c:delete val="0"/>
        <c:axPos val="l"/>
        <c:majorGridlines>
          <c:spPr>
            <a:ln w="3240">
              <a:solidFill>
                <a:srgbClr val="000000"/>
              </a:solidFill>
              <a:prstDash val="sysDash"/>
              <a:round/>
            </a:ln>
          </c:spPr>
        </c:majorGridlines>
        <c:title>
          <c:tx>
            <c:rich>
              <a:bodyPr rot="-5400000"/>
              <a:lstStyle/>
              <a:p>
                <a:pPr>
                  <a:defRPr b="1" lang="fr-FR" sz="1000" spc="-1" strike="noStrike">
                    <a:solidFill>
                      <a:srgbClr val="000000"/>
                    </a:solidFill>
                    <a:latin typeface="Arial"/>
                    <a:ea typeface="Arial"/>
                  </a:defRPr>
                </a:pPr>
                <a:r>
                  <a:rPr b="1" lang="fr-FR" sz="1000" spc="-1" strike="noStrike">
                    <a:solidFill>
                      <a:srgbClr val="000000"/>
                    </a:solidFill>
                    <a:latin typeface="Arial"/>
                    <a:ea typeface="Arial"/>
                  </a:rPr>
                  <a:t>Accélérations [m/s²]_</a:t>
                </a:r>
              </a:p>
            </c:rich>
          </c:tx>
          <c:layout>
            <c:manualLayout>
              <c:xMode val="edge"/>
              <c:yMode val="edge"/>
              <c:x val="0.027151362078297"/>
              <c:y val="0.297244094488189"/>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35871482"/>
        <c:crosses val="autoZero"/>
        <c:crossBetween val="midCat"/>
      </c:valAx>
      <c:spPr>
        <a:noFill/>
        <a:ln w="12600">
          <a:solidFill>
            <a:srgbClr val="808080"/>
          </a:solidFill>
          <a:round/>
        </a:ln>
      </c:spPr>
    </c:plotArea>
    <c:legend>
      <c:legendPos val="r"/>
      <c:layout>
        <c:manualLayout>
          <c:xMode val="edge"/>
          <c:yMode val="edge"/>
          <c:x val="0.661950180755707"/>
          <c:y val="0.257777777777778"/>
          <c:w val="0.309748675283514"/>
          <c:h val="0.15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Positions</a:t>
            </a:r>
          </a:p>
        </c:rich>
      </c:tx>
      <c:overlay val="0"/>
      <c:spPr>
        <a:noFill/>
        <a:ln w="0">
          <a:noFill/>
        </a:ln>
      </c:spPr>
    </c:title>
    <c:autoTitleDeleted val="0"/>
    <c:plotArea>
      <c:layout>
        <c:manualLayout>
          <c:layoutTarget val="inner"/>
          <c:xMode val="edge"/>
          <c:yMode val="edge"/>
          <c:x val="0.116723795778459"/>
          <c:y val="0.094750656167979"/>
          <c:w val="0.86433339346924"/>
          <c:h val="0.738451443569554"/>
        </c:manualLayout>
      </c:layout>
      <c:scatterChart>
        <c:scatterStyle val="line"/>
        <c:varyColors val="0"/>
        <c:ser>
          <c:idx val="0"/>
          <c:order val="0"/>
          <c:tx>
            <c:strRef>
              <c:f>Courbes!$B$144</c:f>
              <c:strCache>
                <c:ptCount val="1"/>
                <c:pt idx="0">
                  <c:v>Portée</c:v>
                </c:pt>
              </c:strCache>
            </c:strRef>
          </c:tx>
          <c:spPr>
            <a:solidFill>
              <a:srgbClr val="800000"/>
            </a:solidFill>
            <a:ln w="25560">
              <a:solidFill>
                <a:srgbClr val="80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34.8000000000002</c:v>
                </c:pt>
                <c:pt idx="709">
                  <c:v>34.9000000000002</c:v>
                </c:pt>
                <c:pt idx="710">
                  <c:v>35.0000000000002</c:v>
                </c:pt>
                <c:pt idx="711">
                  <c:v>35.1000000000002</c:v>
                </c:pt>
                <c:pt idx="712">
                  <c:v>35.2000000000002</c:v>
                </c:pt>
                <c:pt idx="713">
                  <c:v>35.3000000000002</c:v>
                </c:pt>
                <c:pt idx="714">
                  <c:v>35.4000000000002</c:v>
                </c:pt>
                <c:pt idx="715">
                  <c:v>35.5000000000002</c:v>
                </c:pt>
                <c:pt idx="716">
                  <c:v>35.6000000000002</c:v>
                </c:pt>
                <c:pt idx="717">
                  <c:v>35.7000000000002</c:v>
                </c:pt>
                <c:pt idx="718">
                  <c:v>35.7001000000002</c:v>
                </c:pt>
                <c:pt idx="719">
                  <c:v>35.7002000000002</c:v>
                </c:pt>
                <c:pt idx="720">
                  <c:v>35.7003000000002</c:v>
                </c:pt>
                <c:pt idx="721">
                  <c:v>35.7004000000002</c:v>
                </c:pt>
                <c:pt idx="722">
                  <c:v>35.7005000000002</c:v>
                </c:pt>
                <c:pt idx="723">
                  <c:v>35.7006000000002</c:v>
                </c:pt>
                <c:pt idx="724">
                  <c:v>35.7007000000002</c:v>
                </c:pt>
                <c:pt idx="725">
                  <c:v>35.7008000000002</c:v>
                </c:pt>
                <c:pt idx="726">
                  <c:v>35.7009000000002</c:v>
                </c:pt>
                <c:pt idx="727">
                  <c:v>35.7010000000002</c:v>
                </c:pt>
                <c:pt idx="728">
                  <c:v>35.7011000000002</c:v>
                </c:pt>
                <c:pt idx="729">
                  <c:v>35.7012000000002</c:v>
                </c:pt>
                <c:pt idx="730">
                  <c:v>35.7013000000002</c:v>
                </c:pt>
                <c:pt idx="731">
                  <c:v>35.7014000000002</c:v>
                </c:pt>
                <c:pt idx="732">
                  <c:v>35.7015000000002</c:v>
                </c:pt>
                <c:pt idx="733">
                  <c:v>35.7016000000003</c:v>
                </c:pt>
                <c:pt idx="734">
                  <c:v>35.7017000000003</c:v>
                </c:pt>
                <c:pt idx="735">
                  <c:v>35.7018000000003</c:v>
                </c:pt>
                <c:pt idx="736">
                  <c:v>35.7019000000003</c:v>
                </c:pt>
                <c:pt idx="737">
                  <c:v>35.7020000000003</c:v>
                </c:pt>
                <c:pt idx="738">
                  <c:v>35.7021000000003</c:v>
                </c:pt>
                <c:pt idx="739">
                  <c:v>35.7022000000003</c:v>
                </c:pt>
                <c:pt idx="740">
                  <c:v>35.7023000000003</c:v>
                </c:pt>
                <c:pt idx="741">
                  <c:v>35.7024000000003</c:v>
                </c:pt>
                <c:pt idx="742">
                  <c:v>35.7025000000003</c:v>
                </c:pt>
                <c:pt idx="743">
                  <c:v>35.7026000000003</c:v>
                </c:pt>
                <c:pt idx="744">
                  <c:v>35.7027000000003</c:v>
                </c:pt>
                <c:pt idx="745">
                  <c:v>35.7028000000003</c:v>
                </c:pt>
                <c:pt idx="746">
                  <c:v>35.7029000000003</c:v>
                </c:pt>
                <c:pt idx="747">
                  <c:v>35.7030000000003</c:v>
                </c:pt>
                <c:pt idx="748">
                  <c:v>35.7031000000003</c:v>
                </c:pt>
                <c:pt idx="749">
                  <c:v>35.7032000000003</c:v>
                </c:pt>
                <c:pt idx="750">
                  <c:v>35.7033000000003</c:v>
                </c:pt>
                <c:pt idx="751">
                  <c:v>35.7034000000003</c:v>
                </c:pt>
                <c:pt idx="752">
                  <c:v>35.7035000000003</c:v>
                </c:pt>
                <c:pt idx="753">
                  <c:v>35.7036000000003</c:v>
                </c:pt>
                <c:pt idx="754">
                  <c:v>35.7037000000003</c:v>
                </c:pt>
                <c:pt idx="755">
                  <c:v>35.7038000000003</c:v>
                </c:pt>
                <c:pt idx="756">
                  <c:v>35.7039000000003</c:v>
                </c:pt>
                <c:pt idx="757">
                  <c:v>35.7040000000003</c:v>
                </c:pt>
                <c:pt idx="758">
                  <c:v>35.7041000000003</c:v>
                </c:pt>
                <c:pt idx="759">
                  <c:v>35.7042000000003</c:v>
                </c:pt>
                <c:pt idx="760">
                  <c:v>35.7043000000003</c:v>
                </c:pt>
                <c:pt idx="761">
                  <c:v>35.7044000000003</c:v>
                </c:pt>
                <c:pt idx="762">
                  <c:v>35.7045000000003</c:v>
                </c:pt>
                <c:pt idx="763">
                  <c:v>35.7046000000004</c:v>
                </c:pt>
                <c:pt idx="764">
                  <c:v>35.7047000000004</c:v>
                </c:pt>
                <c:pt idx="765">
                  <c:v>35.7048000000004</c:v>
                </c:pt>
                <c:pt idx="766">
                  <c:v>35.7049000000004</c:v>
                </c:pt>
                <c:pt idx="767">
                  <c:v>35.7050000000004</c:v>
                </c:pt>
                <c:pt idx="768">
                  <c:v>35.7051000000004</c:v>
                </c:pt>
                <c:pt idx="769">
                  <c:v>35.7052000000004</c:v>
                </c:pt>
                <c:pt idx="770">
                  <c:v>35.7053000000004</c:v>
                </c:pt>
                <c:pt idx="771">
                  <c:v>35.7054000000004</c:v>
                </c:pt>
                <c:pt idx="772">
                  <c:v>35.7055000000004</c:v>
                </c:pt>
                <c:pt idx="773">
                  <c:v>35.7056000000004</c:v>
                </c:pt>
                <c:pt idx="774">
                  <c:v>35.7057000000004</c:v>
                </c:pt>
                <c:pt idx="775">
                  <c:v>35.7058000000004</c:v>
                </c:pt>
                <c:pt idx="776">
                  <c:v>35.7059000000004</c:v>
                </c:pt>
                <c:pt idx="777">
                  <c:v>35.7060000000004</c:v>
                </c:pt>
                <c:pt idx="778">
                  <c:v>35.7061000000004</c:v>
                </c:pt>
                <c:pt idx="779">
                  <c:v>35.7062000000004</c:v>
                </c:pt>
                <c:pt idx="780">
                  <c:v>35.7063000000004</c:v>
                </c:pt>
                <c:pt idx="781">
                  <c:v>35.7064000000004</c:v>
                </c:pt>
                <c:pt idx="782">
                  <c:v>35.7065000000004</c:v>
                </c:pt>
                <c:pt idx="783">
                  <c:v>35.7066000000004</c:v>
                </c:pt>
                <c:pt idx="784">
                  <c:v>35.7067000000004</c:v>
                </c:pt>
                <c:pt idx="785">
                  <c:v>35.7068000000004</c:v>
                </c:pt>
                <c:pt idx="786">
                  <c:v>35.7069000000004</c:v>
                </c:pt>
                <c:pt idx="787">
                  <c:v>35.7070000000004</c:v>
                </c:pt>
                <c:pt idx="788">
                  <c:v>35.7071000000004</c:v>
                </c:pt>
                <c:pt idx="789">
                  <c:v>35.7072000000004</c:v>
                </c:pt>
                <c:pt idx="790">
                  <c:v>35.7073000000004</c:v>
                </c:pt>
                <c:pt idx="791">
                  <c:v>35.7074000000004</c:v>
                </c:pt>
                <c:pt idx="792">
                  <c:v>35.7075000000004</c:v>
                </c:pt>
                <c:pt idx="793">
                  <c:v>35.7076000000005</c:v>
                </c:pt>
                <c:pt idx="794">
                  <c:v>35.7077000000005</c:v>
                </c:pt>
                <c:pt idx="795">
                  <c:v>35.7078000000005</c:v>
                </c:pt>
                <c:pt idx="796">
                  <c:v>35.7079000000005</c:v>
                </c:pt>
                <c:pt idx="797">
                  <c:v>35.7080000000005</c:v>
                </c:pt>
                <c:pt idx="798">
                  <c:v>35.7081000000005</c:v>
                </c:pt>
                <c:pt idx="799">
                  <c:v>35.7082000000005</c:v>
                </c:pt>
                <c:pt idx="800">
                  <c:v>35.7083000000005</c:v>
                </c:pt>
                <c:pt idx="801">
                  <c:v>35.7084000000005</c:v>
                </c:pt>
                <c:pt idx="802">
                  <c:v>35.7085000000005</c:v>
                </c:pt>
                <c:pt idx="803">
                  <c:v>35.7086000000005</c:v>
                </c:pt>
                <c:pt idx="804">
                  <c:v>35.7087000000005</c:v>
                </c:pt>
                <c:pt idx="805">
                  <c:v>35.7088000000005</c:v>
                </c:pt>
                <c:pt idx="806">
                  <c:v>35.7089000000005</c:v>
                </c:pt>
                <c:pt idx="807">
                  <c:v>35.7090000000005</c:v>
                </c:pt>
                <c:pt idx="808">
                  <c:v>35.7091000000005</c:v>
                </c:pt>
                <c:pt idx="809">
                  <c:v>35.7092000000005</c:v>
                </c:pt>
                <c:pt idx="810">
                  <c:v>35.7093000000005</c:v>
                </c:pt>
                <c:pt idx="811">
                  <c:v>35.7094000000005</c:v>
                </c:pt>
                <c:pt idx="812">
                  <c:v>35.7095000000005</c:v>
                </c:pt>
                <c:pt idx="813">
                  <c:v>35.7096000000005</c:v>
                </c:pt>
                <c:pt idx="814">
                  <c:v>35.7097000000005</c:v>
                </c:pt>
                <c:pt idx="815">
                  <c:v>35.7098000000005</c:v>
                </c:pt>
                <c:pt idx="816">
                  <c:v>35.7099000000005</c:v>
                </c:pt>
                <c:pt idx="817">
                  <c:v>35.7100000000005</c:v>
                </c:pt>
                <c:pt idx="818">
                  <c:v>35.7101000000005</c:v>
                </c:pt>
                <c:pt idx="819">
                  <c:v>35.7102000000005</c:v>
                </c:pt>
                <c:pt idx="820">
                  <c:v>35.7103000000005</c:v>
                </c:pt>
                <c:pt idx="821">
                  <c:v>35.7104000000005</c:v>
                </c:pt>
                <c:pt idx="822">
                  <c:v>35.7105000000005</c:v>
                </c:pt>
                <c:pt idx="823">
                  <c:v>35.7106000000006</c:v>
                </c:pt>
                <c:pt idx="824">
                  <c:v>35.7107000000006</c:v>
                </c:pt>
                <c:pt idx="825">
                  <c:v>35.7108000000006</c:v>
                </c:pt>
                <c:pt idx="826">
                  <c:v>35.7109000000006</c:v>
                </c:pt>
                <c:pt idx="827">
                  <c:v>35.7110000000006</c:v>
                </c:pt>
                <c:pt idx="828">
                  <c:v>35.7111000000006</c:v>
                </c:pt>
                <c:pt idx="829">
                  <c:v>35.7112000000006</c:v>
                </c:pt>
                <c:pt idx="830">
                  <c:v>35.7113000000006</c:v>
                </c:pt>
                <c:pt idx="831">
                  <c:v>35.7114000000006</c:v>
                </c:pt>
                <c:pt idx="832">
                  <c:v>35.7115000000006</c:v>
                </c:pt>
                <c:pt idx="833">
                  <c:v>35.7116000000006</c:v>
                </c:pt>
                <c:pt idx="834">
                  <c:v>35.7117000000006</c:v>
                </c:pt>
                <c:pt idx="835">
                  <c:v>35.7118000000006</c:v>
                </c:pt>
                <c:pt idx="836">
                  <c:v>35.7119000000006</c:v>
                </c:pt>
                <c:pt idx="837">
                  <c:v>35.7120000000006</c:v>
                </c:pt>
                <c:pt idx="838">
                  <c:v>35.7121000000006</c:v>
                </c:pt>
                <c:pt idx="839">
                  <c:v>35.7122000000006</c:v>
                </c:pt>
                <c:pt idx="840">
                  <c:v>35.7123000000006</c:v>
                </c:pt>
                <c:pt idx="841">
                  <c:v>35.7124000000006</c:v>
                </c:pt>
                <c:pt idx="842">
                  <c:v>35.7125000000006</c:v>
                </c:pt>
                <c:pt idx="843">
                  <c:v>35.7126000000006</c:v>
                </c:pt>
                <c:pt idx="844">
                  <c:v>35.7127000000006</c:v>
                </c:pt>
                <c:pt idx="845">
                  <c:v>35.7128000000006</c:v>
                </c:pt>
                <c:pt idx="846">
                  <c:v>35.7129000000006</c:v>
                </c:pt>
                <c:pt idx="847">
                  <c:v>35.7130000000006</c:v>
                </c:pt>
                <c:pt idx="848">
                  <c:v>35.7131000000006</c:v>
                </c:pt>
                <c:pt idx="849">
                  <c:v>35.7132000000006</c:v>
                </c:pt>
                <c:pt idx="850">
                  <c:v>35.7133000000006</c:v>
                </c:pt>
                <c:pt idx="851">
                  <c:v>35.7134000000006</c:v>
                </c:pt>
                <c:pt idx="852">
                  <c:v>35.7135000000006</c:v>
                </c:pt>
                <c:pt idx="853">
                  <c:v>35.7136000000006</c:v>
                </c:pt>
                <c:pt idx="854">
                  <c:v>35.7137000000007</c:v>
                </c:pt>
                <c:pt idx="855">
                  <c:v>35.7138000000007</c:v>
                </c:pt>
                <c:pt idx="856">
                  <c:v>35.7139000000007</c:v>
                </c:pt>
                <c:pt idx="857">
                  <c:v>35.7140000000007</c:v>
                </c:pt>
                <c:pt idx="858">
                  <c:v>35.7141000000007</c:v>
                </c:pt>
                <c:pt idx="859">
                  <c:v>35.7142000000007</c:v>
                </c:pt>
                <c:pt idx="860">
                  <c:v>35.7143000000007</c:v>
                </c:pt>
                <c:pt idx="861">
                  <c:v>35.7144000000007</c:v>
                </c:pt>
                <c:pt idx="862">
                  <c:v>35.7145000000007</c:v>
                </c:pt>
                <c:pt idx="863">
                  <c:v>35.7146000000007</c:v>
                </c:pt>
                <c:pt idx="864">
                  <c:v>35.7147000000007</c:v>
                </c:pt>
                <c:pt idx="865">
                  <c:v>35.7148000000007</c:v>
                </c:pt>
                <c:pt idx="866">
                  <c:v>35.7149000000007</c:v>
                </c:pt>
                <c:pt idx="867">
                  <c:v>35.7150000000007</c:v>
                </c:pt>
                <c:pt idx="868">
                  <c:v>35.7151000000007</c:v>
                </c:pt>
                <c:pt idx="869">
                  <c:v>35.7152000000007</c:v>
                </c:pt>
                <c:pt idx="870">
                  <c:v>35.7153000000007</c:v>
                </c:pt>
                <c:pt idx="871">
                  <c:v>35.7154000000007</c:v>
                </c:pt>
                <c:pt idx="872">
                  <c:v>35.7155000000007</c:v>
                </c:pt>
                <c:pt idx="873">
                  <c:v>35.7156000000007</c:v>
                </c:pt>
                <c:pt idx="874">
                  <c:v>35.7157000000007</c:v>
                </c:pt>
                <c:pt idx="875">
                  <c:v>35.7158000000007</c:v>
                </c:pt>
                <c:pt idx="876">
                  <c:v>35.7159000000007</c:v>
                </c:pt>
                <c:pt idx="877">
                  <c:v>35.7160000000007</c:v>
                </c:pt>
                <c:pt idx="878">
                  <c:v>35.7161000000007</c:v>
                </c:pt>
                <c:pt idx="879">
                  <c:v>35.7162000000007</c:v>
                </c:pt>
                <c:pt idx="880">
                  <c:v>35.7163000000007</c:v>
                </c:pt>
                <c:pt idx="881">
                  <c:v>35.7164000000007</c:v>
                </c:pt>
                <c:pt idx="882">
                  <c:v>35.7165000000007</c:v>
                </c:pt>
                <c:pt idx="883">
                  <c:v>35.7166000000007</c:v>
                </c:pt>
                <c:pt idx="884">
                  <c:v>35.7167000000008</c:v>
                </c:pt>
                <c:pt idx="885">
                  <c:v>35.7168000000008</c:v>
                </c:pt>
                <c:pt idx="886">
                  <c:v>35.7169000000008</c:v>
                </c:pt>
                <c:pt idx="887">
                  <c:v>35.7170000000008</c:v>
                </c:pt>
                <c:pt idx="888">
                  <c:v>35.7171000000008</c:v>
                </c:pt>
                <c:pt idx="889">
                  <c:v>35.7172000000008</c:v>
                </c:pt>
                <c:pt idx="890">
                  <c:v>35.7173000000008</c:v>
                </c:pt>
                <c:pt idx="891">
                  <c:v>35.7174000000008</c:v>
                </c:pt>
                <c:pt idx="892">
                  <c:v>35.7175000000008</c:v>
                </c:pt>
                <c:pt idx="893">
                  <c:v>35.7176000000008</c:v>
                </c:pt>
                <c:pt idx="894">
                  <c:v>35.7177000000008</c:v>
                </c:pt>
                <c:pt idx="895">
                  <c:v>35.7178000000008</c:v>
                </c:pt>
                <c:pt idx="896">
                  <c:v>35.7179000000008</c:v>
                </c:pt>
                <c:pt idx="897">
                  <c:v>35.7180000000008</c:v>
                </c:pt>
                <c:pt idx="898">
                  <c:v>35.7181000000008</c:v>
                </c:pt>
                <c:pt idx="899">
                  <c:v>35.7182000000008</c:v>
                </c:pt>
                <c:pt idx="900">
                  <c:v>35.7183000000008</c:v>
                </c:pt>
                <c:pt idx="901">
                  <c:v>35.7184000000008</c:v>
                </c:pt>
                <c:pt idx="902">
                  <c:v>35.7185000000008</c:v>
                </c:pt>
                <c:pt idx="903">
                  <c:v>35.7186000000008</c:v>
                </c:pt>
                <c:pt idx="904">
                  <c:v>35.7187000000008</c:v>
                </c:pt>
                <c:pt idx="905">
                  <c:v>35.7188000000008</c:v>
                </c:pt>
                <c:pt idx="906">
                  <c:v>35.7189000000008</c:v>
                </c:pt>
                <c:pt idx="907">
                  <c:v>35.7190000000008</c:v>
                </c:pt>
                <c:pt idx="908">
                  <c:v>35.7191000000008</c:v>
                </c:pt>
                <c:pt idx="909">
                  <c:v>35.7192000000008</c:v>
                </c:pt>
                <c:pt idx="910">
                  <c:v>35.7193000000008</c:v>
                </c:pt>
                <c:pt idx="911">
                  <c:v>35.7194000000008</c:v>
                </c:pt>
                <c:pt idx="912">
                  <c:v>35.7195000000008</c:v>
                </c:pt>
                <c:pt idx="913">
                  <c:v>35.7196000000008</c:v>
                </c:pt>
                <c:pt idx="914">
                  <c:v>35.7197000000009</c:v>
                </c:pt>
                <c:pt idx="915">
                  <c:v>35.7198000000009</c:v>
                </c:pt>
                <c:pt idx="916">
                  <c:v>35.7199000000009</c:v>
                </c:pt>
                <c:pt idx="917">
                  <c:v>35.7200000000009</c:v>
                </c:pt>
                <c:pt idx="918">
                  <c:v>35.7201000000009</c:v>
                </c:pt>
                <c:pt idx="919">
                  <c:v>35.7202000000009</c:v>
                </c:pt>
                <c:pt idx="920">
                  <c:v>35.7203000000009</c:v>
                </c:pt>
                <c:pt idx="921">
                  <c:v>35.7204000000009</c:v>
                </c:pt>
                <c:pt idx="922">
                  <c:v>35.7205000000009</c:v>
                </c:pt>
                <c:pt idx="923">
                  <c:v>35.7206000000009</c:v>
                </c:pt>
                <c:pt idx="924">
                  <c:v>35.7207000000009</c:v>
                </c:pt>
                <c:pt idx="925">
                  <c:v>35.7208000000009</c:v>
                </c:pt>
                <c:pt idx="926">
                  <c:v>35.7209000000009</c:v>
                </c:pt>
                <c:pt idx="927">
                  <c:v>35.7210000000009</c:v>
                </c:pt>
                <c:pt idx="928">
                  <c:v>35.7211000000009</c:v>
                </c:pt>
                <c:pt idx="929">
                  <c:v>35.7212000000009</c:v>
                </c:pt>
                <c:pt idx="930">
                  <c:v>35.7213000000009</c:v>
                </c:pt>
                <c:pt idx="931">
                  <c:v>35.7214000000009</c:v>
                </c:pt>
                <c:pt idx="932">
                  <c:v>35.7215000000009</c:v>
                </c:pt>
                <c:pt idx="933">
                  <c:v>35.7216000000009</c:v>
                </c:pt>
                <c:pt idx="934">
                  <c:v>35.7217000000009</c:v>
                </c:pt>
                <c:pt idx="935">
                  <c:v>35.7218000000009</c:v>
                </c:pt>
                <c:pt idx="936">
                  <c:v>35.7219000000009</c:v>
                </c:pt>
                <c:pt idx="937">
                  <c:v>35.7220000000009</c:v>
                </c:pt>
                <c:pt idx="938">
                  <c:v>35.7221000000009</c:v>
                </c:pt>
                <c:pt idx="939">
                  <c:v>35.7222000000009</c:v>
                </c:pt>
                <c:pt idx="940">
                  <c:v>35.7223000000009</c:v>
                </c:pt>
                <c:pt idx="941">
                  <c:v>35.7224000000009</c:v>
                </c:pt>
                <c:pt idx="942">
                  <c:v>35.7225000000009</c:v>
                </c:pt>
                <c:pt idx="943">
                  <c:v>35.7226000000009</c:v>
                </c:pt>
                <c:pt idx="944">
                  <c:v>35.722700000001</c:v>
                </c:pt>
                <c:pt idx="945">
                  <c:v>35.722800000001</c:v>
                </c:pt>
                <c:pt idx="946">
                  <c:v>35.722900000001</c:v>
                </c:pt>
                <c:pt idx="947">
                  <c:v>35.723000000001</c:v>
                </c:pt>
                <c:pt idx="948">
                  <c:v>35.723100000001</c:v>
                </c:pt>
                <c:pt idx="949">
                  <c:v>35.723200000001</c:v>
                </c:pt>
                <c:pt idx="950">
                  <c:v>35.723300000001</c:v>
                </c:pt>
                <c:pt idx="951">
                  <c:v>35.723400000001</c:v>
                </c:pt>
                <c:pt idx="952">
                  <c:v>35.723500000001</c:v>
                </c:pt>
                <c:pt idx="953">
                  <c:v>35.723600000001</c:v>
                </c:pt>
                <c:pt idx="954">
                  <c:v>35.723700000001</c:v>
                </c:pt>
                <c:pt idx="955">
                  <c:v>35.723800000001</c:v>
                </c:pt>
                <c:pt idx="956">
                  <c:v>35.723900000001</c:v>
                </c:pt>
                <c:pt idx="957">
                  <c:v>35.724000000001</c:v>
                </c:pt>
                <c:pt idx="958">
                  <c:v>35.724100000001</c:v>
                </c:pt>
                <c:pt idx="959">
                  <c:v>35.724200000001</c:v>
                </c:pt>
                <c:pt idx="960">
                  <c:v>35.724300000001</c:v>
                </c:pt>
                <c:pt idx="961">
                  <c:v>35.724400000001</c:v>
                </c:pt>
                <c:pt idx="962">
                  <c:v>35.724500000001</c:v>
                </c:pt>
                <c:pt idx="963">
                  <c:v>35.724600000001</c:v>
                </c:pt>
                <c:pt idx="964">
                  <c:v>35.724700000001</c:v>
                </c:pt>
                <c:pt idx="965">
                  <c:v>35.724800000001</c:v>
                </c:pt>
                <c:pt idx="966">
                  <c:v>35.724900000001</c:v>
                </c:pt>
                <c:pt idx="967">
                  <c:v>35.725000000001</c:v>
                </c:pt>
                <c:pt idx="968">
                  <c:v>35.725100000001</c:v>
                </c:pt>
                <c:pt idx="969">
                  <c:v>35.725200000001</c:v>
                </c:pt>
                <c:pt idx="970">
                  <c:v>35.725300000001</c:v>
                </c:pt>
                <c:pt idx="971">
                  <c:v>35.725400000001</c:v>
                </c:pt>
                <c:pt idx="972">
                  <c:v>35.725500000001</c:v>
                </c:pt>
                <c:pt idx="973">
                  <c:v>35.725600000001</c:v>
                </c:pt>
                <c:pt idx="974">
                  <c:v>35.7257000000011</c:v>
                </c:pt>
                <c:pt idx="975">
                  <c:v>35.7258000000011</c:v>
                </c:pt>
                <c:pt idx="976">
                  <c:v>35.7259000000011</c:v>
                </c:pt>
                <c:pt idx="977">
                  <c:v>35.7260000000011</c:v>
                </c:pt>
                <c:pt idx="978">
                  <c:v>35.7261000000011</c:v>
                </c:pt>
                <c:pt idx="979">
                  <c:v>35.7262000000011</c:v>
                </c:pt>
                <c:pt idx="980">
                  <c:v>35.7263000000011</c:v>
                </c:pt>
                <c:pt idx="981">
                  <c:v>35.7264000000011</c:v>
                </c:pt>
                <c:pt idx="982">
                  <c:v>35.7265000000011</c:v>
                </c:pt>
                <c:pt idx="983">
                  <c:v>35.7266000000011</c:v>
                </c:pt>
                <c:pt idx="984">
                  <c:v>35.7267000000011</c:v>
                </c:pt>
                <c:pt idx="985">
                  <c:v>35.7268000000011</c:v>
                </c:pt>
                <c:pt idx="986">
                  <c:v>35.7269000000011</c:v>
                </c:pt>
                <c:pt idx="987">
                  <c:v>35.7270000000011</c:v>
                </c:pt>
                <c:pt idx="988">
                  <c:v>35.7271000000011</c:v>
                </c:pt>
                <c:pt idx="989">
                  <c:v>35.7272000000011</c:v>
                </c:pt>
                <c:pt idx="990">
                  <c:v>35.7273000000011</c:v>
                </c:pt>
                <c:pt idx="991">
                  <c:v>35.7274000000011</c:v>
                </c:pt>
                <c:pt idx="992">
                  <c:v>35.7275000000011</c:v>
                </c:pt>
                <c:pt idx="993">
                  <c:v>35.7276000000011</c:v>
                </c:pt>
                <c:pt idx="994">
                  <c:v>35.7277000000011</c:v>
                </c:pt>
                <c:pt idx="995">
                  <c:v>35.7278000000011</c:v>
                </c:pt>
                <c:pt idx="996">
                  <c:v>35.7279000000011</c:v>
                </c:pt>
                <c:pt idx="997">
                  <c:v>35.7280000000011</c:v>
                </c:pt>
                <c:pt idx="998">
                  <c:v>35.7281000000011</c:v>
                </c:pt>
                <c:pt idx="999">
                  <c:v>35.7282000000011</c:v>
                </c:pt>
                <c:pt idx="1000">
                  <c:v>35.7283000000011</c:v>
                </c:pt>
              </c:numCache>
            </c:numRef>
          </c:xVal>
          <c:yVal>
            <c:numRef>
              <c:f>Calculs!$J$4:$J$1004</c:f>
              <c:numCache>
                <c:formatCode>General</c:formatCode>
                <c:ptCount val="1001"/>
                <c:pt idx="0">
                  <c:v>0</c:v>
                </c:pt>
                <c:pt idx="1">
                  <c:v>0</c:v>
                </c:pt>
                <c:pt idx="2">
                  <c:v>0.000156319369098837</c:v>
                </c:pt>
                <c:pt idx="3">
                  <c:v>0.000785503265228458</c:v>
                </c:pt>
                <c:pt idx="4">
                  <c:v>0.00220812882059278</c:v>
                </c:pt>
                <c:pt idx="5">
                  <c:v>0.00474506798217722</c:v>
                </c:pt>
                <c:pt idx="6">
                  <c:v>0.00863640384471691</c:v>
                </c:pt>
                <c:pt idx="7">
                  <c:v>0.0139601634588169</c:v>
                </c:pt>
                <c:pt idx="8">
                  <c:v>0.0207132703400663</c:v>
                </c:pt>
                <c:pt idx="9">
                  <c:v>0.028892636816223</c:v>
                </c:pt>
                <c:pt idx="10">
                  <c:v>0.0384951640652156</c:v>
                </c:pt>
                <c:pt idx="11">
                  <c:v>0.0495177421534332</c:v>
                </c:pt>
                <c:pt idx="12">
                  <c:v>0.061957250074301</c:v>
                </c:pt>
                <c:pt idx="13">
                  <c:v>0.0758105557871398</c:v>
                </c:pt>
                <c:pt idx="14">
                  <c:v>0.0910745162563058</c:v>
                </c:pt>
                <c:pt idx="15">
                  <c:v>0.107745977490611</c:v>
                </c:pt>
                <c:pt idx="16">
                  <c:v>0.125821774583017</c:v>
                </c:pt>
                <c:pt idx="17">
                  <c:v>0.145298731750608</c:v>
                </c:pt>
                <c:pt idx="18">
                  <c:v>0.166173662374833</c:v>
                </c:pt>
                <c:pt idx="19">
                  <c:v>0.188443369042015</c:v>
                </c:pt>
                <c:pt idx="20">
                  <c:v>0.212104643584133</c:v>
                </c:pt>
                <c:pt idx="21">
                  <c:v>0.237154267119864</c:v>
                </c:pt>
                <c:pt idx="22">
                  <c:v>0.263589010095892</c:v>
                </c:pt>
                <c:pt idx="23">
                  <c:v>0.291405632328471</c:v>
                </c:pt>
                <c:pt idx="24">
                  <c:v>0.320600883045251</c:v>
                </c:pt>
                <c:pt idx="25">
                  <c:v>0.351171500927361</c:v>
                </c:pt>
                <c:pt idx="26">
                  <c:v>0.383114214151732</c:v>
                </c:pt>
                <c:pt idx="27">
                  <c:v>0.416425740433687</c:v>
                </c:pt>
                <c:pt idx="28">
                  <c:v>0.451102787069768</c:v>
                </c:pt>
                <c:pt idx="29">
                  <c:v>0.48714205098081</c:v>
                </c:pt>
                <c:pt idx="30">
                  <c:v>0.52454021875526</c:v>
                </c:pt>
                <c:pt idx="31">
                  <c:v>0.563293966692735</c:v>
                </c:pt>
                <c:pt idx="32">
                  <c:v>0.603399960847816</c:v>
                </c:pt>
                <c:pt idx="33">
                  <c:v>0.644854857074079</c:v>
                </c:pt>
                <c:pt idx="34">
                  <c:v>0.687655301068359</c:v>
                </c:pt>
                <c:pt idx="35">
                  <c:v>0.731797928415239</c:v>
                </c:pt>
                <c:pt idx="36">
                  <c:v>0.777363281634927</c:v>
                </c:pt>
                <c:pt idx="37">
                  <c:v>0.824434582159027</c:v>
                </c:pt>
                <c:pt idx="38">
                  <c:v>0.873013773679456</c:v>
                </c:pt>
                <c:pt idx="39">
                  <c:v>0.923102674770925</c:v>
                </c:pt>
                <c:pt idx="40">
                  <c:v>0.974702946838359</c:v>
                </c:pt>
                <c:pt idx="41">
                  <c:v>1.02781610127982</c:v>
                </c:pt>
                <c:pt idx="42">
                  <c:v>1.08244350610953</c:v>
                </c:pt>
                <c:pt idx="43">
                  <c:v>1.13858639209483</c:v>
                </c:pt>
                <c:pt idx="44">
                  <c:v>1.19624585845474</c:v>
                </c:pt>
                <c:pt idx="45">
                  <c:v>1.25542287816145</c:v>
                </c:pt>
                <c:pt idx="46">
                  <c:v>1.31611830288181</c:v>
                </c:pt>
                <c:pt idx="47">
                  <c:v>1.37833286759146</c:v>
                </c:pt>
                <c:pt idx="48">
                  <c:v>1.44206719489041</c:v>
                </c:pt>
                <c:pt idx="49">
                  <c:v>1.50732179904601</c:v>
                </c:pt>
                <c:pt idx="50">
                  <c:v>1.57409708978645</c:v>
                </c:pt>
                <c:pt idx="51">
                  <c:v>1.64239382245908</c:v>
                </c:pt>
                <c:pt idx="52">
                  <c:v>1.71221355201921</c:v>
                </c:pt>
                <c:pt idx="53">
                  <c:v>1.78355819490707</c:v>
                </c:pt>
                <c:pt idx="54">
                  <c:v>1.85642958654701</c:v>
                </c:pt>
                <c:pt idx="55">
                  <c:v>1.93082948385691</c:v>
                </c:pt>
                <c:pt idx="56">
                  <c:v>2.00675956762325</c:v>
                </c:pt>
                <c:pt idx="57">
                  <c:v>2.08422144475138</c:v>
                </c:pt>
                <c:pt idx="58">
                  <c:v>2.16321665039985</c:v>
                </c:pt>
                <c:pt idx="59">
                  <c:v>2.24374665000667</c:v>
                </c:pt>
                <c:pt idx="60">
                  <c:v>2.32581284121508</c:v>
                </c:pt>
                <c:pt idx="61">
                  <c:v>2.40941655570528</c:v>
                </c:pt>
                <c:pt idx="62">
                  <c:v>2.49455906093845</c:v>
                </c:pt>
                <c:pt idx="63">
                  <c:v>2.58124156181876</c:v>
                </c:pt>
                <c:pt idx="64">
                  <c:v>2.66946520227836</c:v>
                </c:pt>
                <c:pt idx="65">
                  <c:v>2.75923106679048</c:v>
                </c:pt>
                <c:pt idx="66">
                  <c:v>2.85054018181477</c:v>
                </c:pt>
                <c:pt idx="67">
                  <c:v>2.94339351717912</c:v>
                </c:pt>
                <c:pt idx="68">
                  <c:v>3.03779198740185</c:v>
                </c:pt>
                <c:pt idx="69">
                  <c:v>3.13373645295748</c:v>
                </c:pt>
                <c:pt idx="70">
                  <c:v>3.23122772148971</c:v>
                </c:pt>
                <c:pt idx="71">
                  <c:v>3.33026654897431</c:v>
                </c:pt>
                <c:pt idx="72">
                  <c:v>3.43085364083492</c:v>
                </c:pt>
                <c:pt idx="73">
                  <c:v>3.53298965301432</c:v>
                </c:pt>
                <c:pt idx="74">
                  <c:v>3.6366751930036</c:v>
                </c:pt>
                <c:pt idx="75">
                  <c:v>3.74191082083149</c:v>
                </c:pt>
                <c:pt idx="76">
                  <c:v>3.84869705001598</c:v>
                </c:pt>
                <c:pt idx="77">
                  <c:v>3.95703434848027</c:v>
                </c:pt>
                <c:pt idx="78">
                  <c:v>4.06692313943477</c:v>
                </c:pt>
                <c:pt idx="79">
                  <c:v>4.17836380222698</c:v>
                </c:pt>
                <c:pt idx="80">
                  <c:v>4.2913566731609</c:v>
                </c:pt>
                <c:pt idx="81">
                  <c:v>4.40590204628737</c:v>
                </c:pt>
                <c:pt idx="82">
                  <c:v>4.52200017416689</c:v>
                </c:pt>
                <c:pt idx="83">
                  <c:v>4.63965126860619</c:v>
                </c:pt>
                <c:pt idx="84">
                  <c:v>4.75885550136986</c:v>
                </c:pt>
                <c:pt idx="85">
                  <c:v>4.87961300486815</c:v>
                </c:pt>
                <c:pt idx="86">
                  <c:v>5.00192387282218</c:v>
                </c:pt>
                <c:pt idx="87">
                  <c:v>5.12578816090742</c:v>
                </c:pt>
                <c:pt idx="88">
                  <c:v>5.25120588737671</c:v>
                </c:pt>
                <c:pt idx="89">
                  <c:v>5.37817703366344</c:v>
                </c:pt>
                <c:pt idx="90">
                  <c:v>5.50670154496601</c:v>
                </c:pt>
                <c:pt idx="91">
                  <c:v>5.6367793308143</c:v>
                </c:pt>
                <c:pt idx="92">
                  <c:v>5.76841026561897</c:v>
                </c:pt>
                <c:pt idx="93">
                  <c:v>5.90159418920428</c:v>
                </c:pt>
                <c:pt idx="94">
                  <c:v>6.03633090732527</c:v>
                </c:pt>
                <c:pt idx="95">
                  <c:v>6.17262019216975</c:v>
                </c:pt>
                <c:pt idx="96">
                  <c:v>6.310461782846</c:v>
                </c:pt>
                <c:pt idx="97">
                  <c:v>6.44985538585653</c:v>
                </c:pt>
                <c:pt idx="98">
                  <c:v>6.59080067555864</c:v>
                </c:pt>
                <c:pt idx="99">
                  <c:v>6.73329729461225</c:v>
                </c:pt>
                <c:pt idx="100">
                  <c:v>6.87734485441551</c:v>
                </c:pt>
                <c:pt idx="101">
                  <c:v>7.02294271060805</c:v>
                </c:pt>
                <c:pt idx="102">
                  <c:v>7.17008973742381</c:v>
                </c:pt>
                <c:pt idx="103">
                  <c:v>7.31878455152108</c:v>
                </c:pt>
                <c:pt idx="104">
                  <c:v>7.46902573696642</c:v>
                </c:pt>
                <c:pt idx="105">
                  <c:v>7.62081184566592</c:v>
                </c:pt>
                <c:pt idx="106">
                  <c:v>7.77414139778557</c:v>
                </c:pt>
                <c:pt idx="107">
                  <c:v>7.9290128821613</c:v>
                </c:pt>
                <c:pt idx="108">
                  <c:v>8.08542475669892</c:v>
                </c:pt>
                <c:pt idx="109">
                  <c:v>8.24337544876452</c:v>
                </c:pt>
                <c:pt idx="110">
                  <c:v>8.40286335556552</c:v>
                </c:pt>
                <c:pt idx="111">
                  <c:v>8.56388684452285</c:v>
                </c:pt>
                <c:pt idx="112">
                  <c:v>8.72644425363445</c:v>
                </c:pt>
                <c:pt idx="113">
                  <c:v>8.89053389183063</c:v>
                </c:pt>
                <c:pt idx="114">
                  <c:v>9.05615403932126</c:v>
                </c:pt>
                <c:pt idx="115">
                  <c:v>9.22330294793541</c:v>
                </c:pt>
                <c:pt idx="116">
                  <c:v>9.39197884145347</c:v>
                </c:pt>
                <c:pt idx="117">
                  <c:v>9.56217991593213</c:v>
                </c:pt>
                <c:pt idx="118">
                  <c:v>9.73390434002247</c:v>
                </c:pt>
                <c:pt idx="119">
                  <c:v>9.90715025528132</c:v>
                </c:pt>
                <c:pt idx="120">
                  <c:v>10.0819157764762</c:v>
                </c:pt>
                <c:pt idx="121">
                  <c:v>10.258198991884</c:v>
                </c:pt>
                <c:pt idx="122">
                  <c:v>10.4359979635838</c:v>
                </c:pt>
                <c:pt idx="123">
                  <c:v>10.6153107277435</c:v>
                </c:pt>
                <c:pt idx="124">
                  <c:v>10.7961352949011</c:v>
                </c:pt>
                <c:pt idx="125">
                  <c:v>10.9784696502408</c:v>
                </c:pt>
                <c:pt idx="126">
                  <c:v>11.1623117538629</c:v>
                </c:pt>
                <c:pt idx="127">
                  <c:v>11.3476595410498</c:v>
                </c:pt>
                <c:pt idx="128">
                  <c:v>11.5345109225264</c:v>
                </c:pt>
                <c:pt idx="129">
                  <c:v>11.7228637847152</c:v>
                </c:pt>
                <c:pt idx="130">
                  <c:v>11.9127159899883</c:v>
                </c:pt>
                <c:pt idx="131">
                  <c:v>12.1040653769132</c:v>
                </c:pt>
                <c:pt idx="132">
                  <c:v>12.2969097604956</c:v>
                </c:pt>
                <c:pt idx="133">
                  <c:v>12.4912469324169</c:v>
                </c:pt>
                <c:pt idx="134">
                  <c:v>12.6870746612688</c:v>
                </c:pt>
                <c:pt idx="135">
                  <c:v>12.8843906927826</c:v>
                </c:pt>
                <c:pt idx="136">
                  <c:v>13.0831927500559</c:v>
                </c:pt>
                <c:pt idx="137">
                  <c:v>13.2834785337745</c:v>
                </c:pt>
                <c:pt idx="138">
                  <c:v>13.4852457224317</c:v>
                </c:pt>
                <c:pt idx="139">
                  <c:v>13.6884919725432</c:v>
                </c:pt>
                <c:pt idx="140">
                  <c:v>13.8932149188592</c:v>
                </c:pt>
                <c:pt idx="141">
                  <c:v>14.0994121745728</c:v>
                </c:pt>
                <c:pt idx="142">
                  <c:v>14.3070813315253</c:v>
                </c:pt>
                <c:pt idx="143">
                  <c:v>14.5162199604086</c:v>
                </c:pt>
                <c:pt idx="144">
                  <c:v>14.7268256109642</c:v>
                </c:pt>
                <c:pt idx="145">
                  <c:v>14.9388958121795</c:v>
                </c:pt>
                <c:pt idx="146">
                  <c:v>15.152428072481</c:v>
                </c:pt>
                <c:pt idx="147">
                  <c:v>15.3674198799249</c:v>
                </c:pt>
                <c:pt idx="148">
                  <c:v>15.583868702385</c:v>
                </c:pt>
                <c:pt idx="149">
                  <c:v>15.8017719877378</c:v>
                </c:pt>
                <c:pt idx="150">
                  <c:v>16.021127164045</c:v>
                </c:pt>
                <c:pt idx="151">
                  <c:v>16.2419317203982</c:v>
                </c:pt>
                <c:pt idx="152">
                  <c:v>16.4641832880456</c:v>
                </c:pt>
                <c:pt idx="153">
                  <c:v>16.6878795602628</c:v>
                </c:pt>
                <c:pt idx="154">
                  <c:v>16.9130182119319</c:v>
                </c:pt>
                <c:pt idx="155">
                  <c:v>17.1395968997011</c:v>
                </c:pt>
                <c:pt idx="156">
                  <c:v>17.3676132621437</c:v>
                </c:pt>
                <c:pt idx="157">
                  <c:v>17.5970649199137</c:v>
                </c:pt>
                <c:pt idx="158">
                  <c:v>17.8279494759007</c:v>
                </c:pt>
                <c:pt idx="159">
                  <c:v>18.0602645153814</c:v>
                </c:pt>
                <c:pt idx="160">
                  <c:v>18.2940076061707</c:v>
                </c:pt>
                <c:pt idx="161">
                  <c:v>18.5291762987702</c:v>
                </c:pt>
                <c:pt idx="162">
                  <c:v>18.765768126515</c:v>
                </c:pt>
                <c:pt idx="163">
                  <c:v>19.0037806057188</c:v>
                </c:pt>
                <c:pt idx="164">
                  <c:v>19.2432112358174</c:v>
                </c:pt>
                <c:pt idx="165">
                  <c:v>19.4840574995105</c:v>
                </c:pt>
                <c:pt idx="166">
                  <c:v>19.7263168629019</c:v>
                </c:pt>
                <c:pt idx="167">
                  <c:v>19.9699867756381</c:v>
                </c:pt>
                <c:pt idx="168">
                  <c:v>20.2150646710451</c:v>
                </c:pt>
                <c:pt idx="169">
                  <c:v>20.4615479662643</c:v>
                </c:pt>
                <c:pt idx="170">
                  <c:v>20.7094340623865</c:v>
                </c:pt>
                <c:pt idx="171">
                  <c:v>20.9587203445843</c:v>
                </c:pt>
                <c:pt idx="172">
                  <c:v>21.2094041822436</c:v>
                </c:pt>
                <c:pt idx="173">
                  <c:v>21.4614829290933</c:v>
                </c:pt>
                <c:pt idx="174">
                  <c:v>21.714953923334</c:v>
                </c:pt>
                <c:pt idx="175">
                  <c:v>21.9698144877648</c:v>
                </c:pt>
                <c:pt idx="176">
                  <c:v>22.2260619299098</c:v>
                </c:pt>
                <c:pt idx="177">
                  <c:v>22.4836935421421</c:v>
                </c:pt>
                <c:pt idx="178">
                  <c:v>22.7427066018075</c:v>
                </c:pt>
                <c:pt idx="179">
                  <c:v>23.003098371347</c:v>
                </c:pt>
                <c:pt idx="180">
                  <c:v>23.2648660984172</c:v>
                </c:pt>
                <c:pt idx="181">
                  <c:v>23.5280070160106</c:v>
                </c:pt>
                <c:pt idx="182">
                  <c:v>23.7925183425742</c:v>
                </c:pt>
                <c:pt idx="183">
                  <c:v>24.058397282127</c:v>
                </c:pt>
                <c:pt idx="184">
                  <c:v>24.3256410243766</c:v>
                </c:pt>
                <c:pt idx="185">
                  <c:v>24.5942467448348</c:v>
                </c:pt>
                <c:pt idx="186">
                  <c:v>24.8642116049317</c:v>
                </c:pt>
                <c:pt idx="187">
                  <c:v>25.1355327521292</c:v>
                </c:pt>
                <c:pt idx="188">
                  <c:v>25.4082073200335</c:v>
                </c:pt>
                <c:pt idx="189">
                  <c:v>25.6822324285062</c:v>
                </c:pt>
                <c:pt idx="190">
                  <c:v>25.9576051837748</c:v>
                </c:pt>
                <c:pt idx="191">
                  <c:v>26.2343226785423</c:v>
                </c:pt>
                <c:pt idx="192">
                  <c:v>26.5123819920955</c:v>
                </c:pt>
                <c:pt idx="193">
                  <c:v>26.7917801904128</c:v>
                </c:pt>
                <c:pt idx="194">
                  <c:v>27.0725143262706</c:v>
                </c:pt>
                <c:pt idx="195">
                  <c:v>27.3545814393494</c:v>
                </c:pt>
                <c:pt idx="196">
                  <c:v>27.6379785563386</c:v>
                </c:pt>
                <c:pt idx="197">
                  <c:v>27.9227026910405</c:v>
                </c:pt>
                <c:pt idx="198">
                  <c:v>28.2087508444738</c:v>
                </c:pt>
                <c:pt idx="199">
                  <c:v>28.4961200049757</c:v>
                </c:pt>
                <c:pt idx="200">
                  <c:v>28.7848071483038</c:v>
                </c:pt>
                <c:pt idx="201">
                  <c:v>29.0748092377366</c:v>
                </c:pt>
                <c:pt idx="202">
                  <c:v>29.3661232241738</c:v>
                </c:pt>
                <c:pt idx="203">
                  <c:v>29.6587460462355</c:v>
                </c:pt>
                <c:pt idx="204">
                  <c:v>29.9526746303606</c:v>
                </c:pt>
                <c:pt idx="205">
                  <c:v>30.2479058909045</c:v>
                </c:pt>
                <c:pt idx="206">
                  <c:v>30.5444367302363</c:v>
                </c:pt>
                <c:pt idx="207">
                  <c:v>30.8422640388349</c:v>
                </c:pt>
                <c:pt idx="208">
                  <c:v>31.1413846953849</c:v>
                </c:pt>
                <c:pt idx="209">
                  <c:v>31.4417955668709</c:v>
                </c:pt>
                <c:pt idx="210">
                  <c:v>31.7434935086722</c:v>
                </c:pt>
                <c:pt idx="211">
                  <c:v>32.0464753646563</c:v>
                </c:pt>
                <c:pt idx="212">
                  <c:v>32.3507379672712</c:v>
                </c:pt>
                <c:pt idx="213">
                  <c:v>32.6562781376382</c:v>
                </c:pt>
                <c:pt idx="214">
                  <c:v>32.9630926856432</c:v>
                </c:pt>
                <c:pt idx="215">
                  <c:v>33.2711784100273</c:v>
                </c:pt>
                <c:pt idx="216">
                  <c:v>33.5805320984775</c:v>
                </c:pt>
                <c:pt idx="217">
                  <c:v>33.891150527716</c:v>
                </c:pt>
                <c:pt idx="218">
                  <c:v>34.2030304635895</c:v>
                </c:pt>
                <c:pt idx="219">
                  <c:v>34.5161686611572</c:v>
                </c:pt>
                <c:pt idx="220">
                  <c:v>34.830561864779</c:v>
                </c:pt>
                <c:pt idx="221">
                  <c:v>35.1462068082025</c:v>
                </c:pt>
                <c:pt idx="222">
                  <c:v>35.4631002146495</c:v>
                </c:pt>
                <c:pt idx="223">
                  <c:v>35.7812387969026</c:v>
                </c:pt>
                <c:pt idx="224">
                  <c:v>36.10061925739</c:v>
                </c:pt>
                <c:pt idx="225">
                  <c:v>36.4212382882709</c:v>
                </c:pt>
                <c:pt idx="226">
                  <c:v>36.7430925715195</c:v>
                </c:pt>
                <c:pt idx="227">
                  <c:v>37.0661787790092</c:v>
                </c:pt>
                <c:pt idx="228">
                  <c:v>37.3904935725957</c:v>
                </c:pt>
                <c:pt idx="229">
                  <c:v>37.7160336041997</c:v>
                </c:pt>
                <c:pt idx="230">
                  <c:v>38.0427955158891</c:v>
                </c:pt>
                <c:pt idx="231">
                  <c:v>38.3707759399609</c:v>
                </c:pt>
                <c:pt idx="232">
                  <c:v>38.699971499022</c:v>
                </c:pt>
                <c:pt idx="233">
                  <c:v>39.0303788060704</c:v>
                </c:pt>
                <c:pt idx="234">
                  <c:v>39.3619944645748</c:v>
                </c:pt>
                <c:pt idx="235">
                  <c:v>39.6948150685547</c:v>
                </c:pt>
                <c:pt idx="236">
                  <c:v>40.0288372026592</c:v>
                </c:pt>
                <c:pt idx="237">
                  <c:v>40.3640574422459</c:v>
                </c:pt>
                <c:pt idx="238">
                  <c:v>40.7004723534592</c:v>
                </c:pt>
                <c:pt idx="239">
                  <c:v>41.0380784933077</c:v>
                </c:pt>
                <c:pt idx="240">
                  <c:v>41.3768724097417</c:v>
                </c:pt>
                <c:pt idx="241">
                  <c:v>41.7168506417298</c:v>
                </c:pt>
                <c:pt idx="242">
                  <c:v>42.0580097193352</c:v>
                </c:pt>
                <c:pt idx="243">
                  <c:v>42.4003461637918</c:v>
                </c:pt>
                <c:pt idx="244">
                  <c:v>42.7438564875793</c:v>
                </c:pt>
                <c:pt idx="245">
                  <c:v>43.0885371944981</c:v>
                </c:pt>
                <c:pt idx="246">
                  <c:v>43.4343847797442</c:v>
                </c:pt>
                <c:pt idx="247">
                  <c:v>43.7813957299826</c:v>
                </c:pt>
                <c:pt idx="248">
                  <c:v>44.1295665234217</c:v>
                </c:pt>
                <c:pt idx="249">
                  <c:v>44.4788936298855</c:v>
                </c:pt>
                <c:pt idx="250">
                  <c:v>44.8293735108873</c:v>
                </c:pt>
                <c:pt idx="251">
                  <c:v>45.181002246468</c:v>
                </c:pt>
                <c:pt idx="252">
                  <c:v>45.5337751612822</c:v>
                </c:pt>
                <c:pt idx="253">
                  <c:v>45.8876871970809</c:v>
                </c:pt>
                <c:pt idx="254">
                  <c:v>46.2427332859609</c:v>
                </c:pt>
                <c:pt idx="255">
                  <c:v>46.5989083504641</c:v>
                </c:pt>
                <c:pt idx="256">
                  <c:v>46.9562073036758</c:v>
                </c:pt>
                <c:pt idx="257">
                  <c:v>47.3146250493218</c:v>
                </c:pt>
                <c:pt idx="258">
                  <c:v>47.6741564818659</c:v>
                </c:pt>
                <c:pt idx="259">
                  <c:v>48.0347964866059</c:v>
                </c:pt>
                <c:pt idx="260">
                  <c:v>48.3965399397692</c:v>
                </c:pt>
                <c:pt idx="261">
                  <c:v>48.7593817086083</c:v>
                </c:pt>
                <c:pt idx="262">
                  <c:v>49.1233166514942</c:v>
                </c:pt>
                <c:pt idx="263">
                  <c:v>49.4883396180111</c:v>
                </c:pt>
                <c:pt idx="264">
                  <c:v>49.8544454490491</c:v>
                </c:pt>
                <c:pt idx="265">
                  <c:v>50.2216289768963</c:v>
                </c:pt>
                <c:pt idx="266">
                  <c:v>50.5898850253314</c:v>
                </c:pt>
                <c:pt idx="267">
                  <c:v>50.9592084097141</c:v>
                </c:pt>
                <c:pt idx="268">
                  <c:v>51.3295939370766</c:v>
                </c:pt>
                <c:pt idx="269">
                  <c:v>51.7010364062126</c:v>
                </c:pt>
                <c:pt idx="270">
                  <c:v>52.0735306077675</c:v>
                </c:pt>
                <c:pt idx="271">
                  <c:v>52.4470713243267</c:v>
                </c:pt>
                <c:pt idx="272">
                  <c:v>52.8216533305041</c:v>
                </c:pt>
                <c:pt idx="273">
                  <c:v>53.1972713930293</c:v>
                </c:pt>
                <c:pt idx="274">
                  <c:v>53.5739202708349</c:v>
                </c:pt>
                <c:pt idx="275">
                  <c:v>53.9515947151427</c:v>
                </c:pt>
                <c:pt idx="276">
                  <c:v>54.3302894695496</c:v>
                </c:pt>
                <c:pt idx="277">
                  <c:v>54.7099992701128</c:v>
                </c:pt>
                <c:pt idx="278">
                  <c:v>55.0907188454341</c:v>
                </c:pt>
                <c:pt idx="279">
                  <c:v>55.4724429167446</c:v>
                </c:pt>
                <c:pt idx="280">
                  <c:v>55.8551661979875</c:v>
                </c:pt>
                <c:pt idx="281">
                  <c:v>56.2388833959014</c:v>
                </c:pt>
                <c:pt idx="282">
                  <c:v>56.6235892101024</c:v>
                </c:pt>
                <c:pt idx="283">
                  <c:v>57.009278333166</c:v>
                </c:pt>
                <c:pt idx="284">
                  <c:v>57.395945450708</c:v>
                </c:pt>
                <c:pt idx="285">
                  <c:v>57.7835852414655</c:v>
                </c:pt>
                <c:pt idx="286">
                  <c:v>58.1721923773766</c:v>
                </c:pt>
                <c:pt idx="287">
                  <c:v>58.56176152366</c:v>
                </c:pt>
                <c:pt idx="288">
                  <c:v>58.9522873388941</c:v>
                </c:pt>
                <c:pt idx="289">
                  <c:v>59.343764475095</c:v>
                </c:pt>
                <c:pt idx="290">
                  <c:v>59.7361875777947</c:v>
                </c:pt>
                <c:pt idx="291">
                  <c:v>60.129551286118</c:v>
                </c:pt>
                <c:pt idx="292">
                  <c:v>60.5238502328595</c:v>
                </c:pt>
                <c:pt idx="293">
                  <c:v>60.9190790445596</c:v>
                </c:pt>
                <c:pt idx="294">
                  <c:v>61.3152323415801</c:v>
                </c:pt>
                <c:pt idx="295">
                  <c:v>61.7123047381795</c:v>
                </c:pt>
                <c:pt idx="296">
                  <c:v>62.1102908425873</c:v>
                </c:pt>
                <c:pt idx="297">
                  <c:v>62.5091852570779</c:v>
                </c:pt>
                <c:pt idx="298">
                  <c:v>62.9089783746437</c:v>
                </c:pt>
                <c:pt idx="299">
                  <c:v>63.3096521693557</c:v>
                </c:pt>
                <c:pt idx="300">
                  <c:v>63.7111843939904</c:v>
                </c:pt>
                <c:pt idx="301">
                  <c:v>64.1135527841856</c:v>
                </c:pt>
                <c:pt idx="302">
                  <c:v>64.5167350589476</c:v>
                </c:pt>
                <c:pt idx="303">
                  <c:v>64.9207089211518</c:v>
                </c:pt>
                <c:pt idx="304">
                  <c:v>65.3254520580354</c:v>
                </c:pt>
                <c:pt idx="305">
                  <c:v>65.7309421416846</c:v>
                </c:pt>
                <c:pt idx="306">
                  <c:v>66.1371568295138</c:v>
                </c:pt>
                <c:pt idx="307">
                  <c:v>66.5440737647394</c:v>
                </c:pt>
                <c:pt idx="308">
                  <c:v>66.9516705768453</c:v>
                </c:pt>
                <c:pt idx="309">
                  <c:v>67.3599248820427</c:v>
                </c:pt>
                <c:pt idx="310">
                  <c:v>67.768814283723</c:v>
                </c:pt>
                <c:pt idx="311">
                  <c:v>68.1783163729035</c:v>
                </c:pt>
                <c:pt idx="312">
                  <c:v>68.5884087286669</c:v>
                </c:pt>
                <c:pt idx="313">
                  <c:v>68.9990689185936</c:v>
                </c:pt>
                <c:pt idx="314">
                  <c:v>69.4102744991875</c:v>
                </c:pt>
                <c:pt idx="315">
                  <c:v>69.8220030162953</c:v>
                </c:pt>
                <c:pt idx="316">
                  <c:v>70.2342320055186</c:v>
                </c:pt>
                <c:pt idx="317">
                  <c:v>70.6469389926197</c:v>
                </c:pt>
                <c:pt idx="318">
                  <c:v>71.0601014939201</c:v>
                </c:pt>
                <c:pt idx="319">
                  <c:v>71.4736970166934</c:v>
                </c:pt>
                <c:pt idx="320">
                  <c:v>71.88770305955</c:v>
                </c:pt>
                <c:pt idx="321">
                  <c:v>72.3020988046077</c:v>
                </c:pt>
                <c:pt idx="322">
                  <c:v>72.7168668113243</c:v>
                </c:pt>
                <c:pt idx="323">
                  <c:v>73.131991326109</c:v>
                </c:pt>
                <c:pt idx="324">
                  <c:v>73.5474565901714</c:v>
                </c:pt>
                <c:pt idx="325">
                  <c:v>73.9632468397029</c:v>
                </c:pt>
                <c:pt idx="326">
                  <c:v>74.3793463060535</c:v>
                </c:pt>
                <c:pt idx="327">
                  <c:v>74.795739215907</c:v>
                </c:pt>
                <c:pt idx="328">
                  <c:v>75.2124097914521</c:v>
                </c:pt>
                <c:pt idx="329">
                  <c:v>75.6293422505497</c:v>
                </c:pt>
                <c:pt idx="330">
                  <c:v>76.046520806898</c:v>
                </c:pt>
                <c:pt idx="331">
                  <c:v>76.4639296701933</c:v>
                </c:pt>
                <c:pt idx="332">
                  <c:v>76.8815530462881</c:v>
                </c:pt>
                <c:pt idx="333">
                  <c:v>77.2993751373461</c:v>
                </c:pt>
                <c:pt idx="334">
                  <c:v>77.7173801419927</c:v>
                </c:pt>
                <c:pt idx="335">
                  <c:v>78.1355522554638</c:v>
                </c:pt>
                <c:pt idx="336">
                  <c:v>78.5538756697503</c:v>
                </c:pt>
                <c:pt idx="337">
                  <c:v>78.9723345737395</c:v>
                </c:pt>
                <c:pt idx="338">
                  <c:v>79.3909131533533</c:v>
                </c:pt>
                <c:pt idx="339">
                  <c:v>79.8095955916832</c:v>
                </c:pt>
                <c:pt idx="340">
                  <c:v>80.2283660691217</c:v>
                </c:pt>
                <c:pt idx="341">
                  <c:v>80.6472087634906</c:v>
                </c:pt>
                <c:pt idx="342">
                  <c:v>81.0661078501662</c:v>
                </c:pt>
                <c:pt idx="343">
                  <c:v>81.4850475022007</c:v>
                </c:pt>
                <c:pt idx="344">
                  <c:v>81.904011890441</c:v>
                </c:pt>
                <c:pt idx="345">
                  <c:v>82.3229851836434</c:v>
                </c:pt>
                <c:pt idx="346">
                  <c:v>82.7419515485856</c:v>
                </c:pt>
                <c:pt idx="347">
                  <c:v>83.1608951501751</c:v>
                </c:pt>
                <c:pt idx="348">
                  <c:v>83.5798003366229</c:v>
                </c:pt>
                <c:pt idx="349">
                  <c:v>83.9986518247323</c:v>
                </c:pt>
                <c:pt idx="350">
                  <c:v>84.4174345149504</c:v>
                </c:pt>
                <c:pt idx="351">
                  <c:v>84.8361333062923</c:v>
                </c:pt>
                <c:pt idx="352">
                  <c:v>85.2547330964213</c:v>
                </c:pt>
                <c:pt idx="353">
                  <c:v>85.6732187817273</c:v>
                </c:pt>
                <c:pt idx="354">
                  <c:v>86.0915752574016</c:v>
                </c:pt>
                <c:pt idx="355">
                  <c:v>86.509787417509</c:v>
                </c:pt>
                <c:pt idx="356">
                  <c:v>86.9278401550562</c:v>
                </c:pt>
                <c:pt idx="357">
                  <c:v>87.3457183620582</c:v>
                </c:pt>
                <c:pt idx="358">
                  <c:v>87.7634069296007</c:v>
                </c:pt>
                <c:pt idx="359">
                  <c:v>88.1808907479001</c:v>
                </c:pt>
                <c:pt idx="360">
                  <c:v>88.5981585803684</c:v>
                </c:pt>
                <c:pt idx="361">
                  <c:v>89.0152069397431</c:v>
                </c:pt>
                <c:pt idx="362">
                  <c:v>89.4320362140274</c:v>
                </c:pt>
                <c:pt idx="363">
                  <c:v>89.8486467903366</c:v>
                </c:pt>
                <c:pt idx="364">
                  <c:v>90.265039054901</c:v>
                </c:pt>
                <c:pt idx="365">
                  <c:v>90.6812133930691</c:v>
                </c:pt>
                <c:pt idx="366">
                  <c:v>91.0971701893099</c:v>
                </c:pt>
                <c:pt idx="367">
                  <c:v>91.5129098272163</c:v>
                </c:pt>
                <c:pt idx="368">
                  <c:v>91.9284326895074</c:v>
                </c:pt>
                <c:pt idx="369">
                  <c:v>92.3437391580315</c:v>
                </c:pt>
                <c:pt idx="370">
                  <c:v>92.7588296137691</c:v>
                </c:pt>
                <c:pt idx="371">
                  <c:v>93.1737044368353</c:v>
                </c:pt>
                <c:pt idx="372">
                  <c:v>93.5883640064828</c:v>
                </c:pt>
                <c:pt idx="373">
                  <c:v>94.0028087011047</c:v>
                </c:pt>
                <c:pt idx="374">
                  <c:v>94.417038898237</c:v>
                </c:pt>
                <c:pt idx="375">
                  <c:v>94.8310549745614</c:v>
                </c:pt>
                <c:pt idx="376">
                  <c:v>95.2448573059084</c:v>
                </c:pt>
                <c:pt idx="377">
                  <c:v>95.6584462672595</c:v>
                </c:pt>
                <c:pt idx="378">
                  <c:v>96.07182223275</c:v>
                </c:pt>
                <c:pt idx="379">
                  <c:v>96.4849855756721</c:v>
                </c:pt>
                <c:pt idx="380">
                  <c:v>96.897936668477</c:v>
                </c:pt>
                <c:pt idx="381">
                  <c:v>97.310675882778</c:v>
                </c:pt>
                <c:pt idx="382">
                  <c:v>97.723203589353</c:v>
                </c:pt>
                <c:pt idx="383">
                  <c:v>98.1355201581469</c:v>
                </c:pt>
                <c:pt idx="384">
                  <c:v>98.547625958275</c:v>
                </c:pt>
                <c:pt idx="385">
                  <c:v>98.9595213580245</c:v>
                </c:pt>
                <c:pt idx="386">
                  <c:v>99.3712067248582</c:v>
                </c:pt>
                <c:pt idx="387">
                  <c:v>99.7826824254164</c:v>
                </c:pt>
                <c:pt idx="388">
                  <c:v>100.19394882552</c:v>
                </c:pt>
                <c:pt idx="389">
                  <c:v>100.605006290172</c:v>
                </c:pt>
                <c:pt idx="390">
                  <c:v>101.015855183562</c:v>
                </c:pt>
                <c:pt idx="391">
                  <c:v>101.426495869067</c:v>
                </c:pt>
                <c:pt idx="392">
                  <c:v>101.836928709255</c:v>
                </c:pt>
                <c:pt idx="393">
                  <c:v>102.247154065887</c:v>
                </c:pt>
                <c:pt idx="394">
                  <c:v>102.657172299918</c:v>
                </c:pt>
                <c:pt idx="395">
                  <c:v>103.066983771505</c:v>
                </c:pt>
                <c:pt idx="396">
                  <c:v>103.476588840002</c:v>
                </c:pt>
                <c:pt idx="397">
                  <c:v>103.885987863969</c:v>
                </c:pt>
                <c:pt idx="398">
                  <c:v>104.295181201169</c:v>
                </c:pt>
                <c:pt idx="399">
                  <c:v>104.704169208576</c:v>
                </c:pt>
                <c:pt idx="400">
                  <c:v>105.112952242373</c:v>
                </c:pt>
                <c:pt idx="401">
                  <c:v>109.189536566171</c:v>
                </c:pt>
                <c:pt idx="402">
                  <c:v>113.245853101376</c:v>
                </c:pt>
                <c:pt idx="403">
                  <c:v>117.282250569408</c:v>
                </c:pt>
                <c:pt idx="404">
                  <c:v>121.299070122047</c:v>
                </c:pt>
                <c:pt idx="405">
                  <c:v>125.29664557267</c:v>
                </c:pt>
                <c:pt idx="406">
                  <c:v>129.275303618732</c:v>
                </c:pt>
                <c:pt idx="407">
                  <c:v>133.235364055894</c:v>
                </c:pt>
                <c:pt idx="408">
                  <c:v>137.177139984163</c:v>
                </c:pt>
                <c:pt idx="409">
                  <c:v>141.100938006399</c:v>
                </c:pt>
                <c:pt idx="410">
                  <c:v>145.007058419544</c:v>
                </c:pt>
                <c:pt idx="411">
                  <c:v>148.895795398867</c:v>
                </c:pt>
                <c:pt idx="412">
                  <c:v>152.767437175545</c:v>
                </c:pt>
                <c:pt idx="413">
                  <c:v>156.622266207872</c:v>
                </c:pt>
                <c:pt idx="414">
                  <c:v>160.46055934635</c:v>
                </c:pt>
                <c:pt idx="415">
                  <c:v>164.282587992939</c:v>
                </c:pt>
                <c:pt idx="416">
                  <c:v>168.088618254705</c:v>
                </c:pt>
                <c:pt idx="417">
                  <c:v>171.878911092104</c:v>
                </c:pt>
                <c:pt idx="418">
                  <c:v>175.653722462121</c:v>
                </c:pt>
                <c:pt idx="419">
                  <c:v>179.413303456472</c:v>
                </c:pt>
                <c:pt idx="420">
                  <c:v>183.157900435088</c:v>
                </c:pt>
                <c:pt idx="421">
                  <c:v>186.887755155045</c:v>
                </c:pt>
                <c:pt idx="422">
                  <c:v>190.603104895153</c:v>
                </c:pt>
                <c:pt idx="423">
                  <c:v>194.304182576352</c:v>
                </c:pt>
                <c:pt idx="424">
                  <c:v>197.991216878094</c:v>
                </c:pt>
                <c:pt idx="425">
                  <c:v>201.664432350869</c:v>
                </c:pt>
                <c:pt idx="426">
                  <c:v>205.324049525016</c:v>
                </c:pt>
                <c:pt idx="427">
                  <c:v>208.970285015973</c:v>
                </c:pt>
                <c:pt idx="428">
                  <c:v>212.603351626097</c:v>
                </c:pt>
                <c:pt idx="429">
                  <c:v>216.223458443179</c:v>
                </c:pt>
                <c:pt idx="430">
                  <c:v>219.830810935791</c:v>
                </c:pt>
                <c:pt idx="431">
                  <c:v>223.425611045573</c:v>
                </c:pt>
                <c:pt idx="432">
                  <c:v>227.008057276572</c:v>
                </c:pt>
                <c:pt idx="433">
                  <c:v>230.578344781754</c:v>
                </c:pt>
                <c:pt idx="434">
                  <c:v>234.13666544677</c:v>
                </c:pt>
                <c:pt idx="435">
                  <c:v>237.683207971099</c:v>
                </c:pt>
                <c:pt idx="436">
                  <c:v>241.218157946641</c:v>
                </c:pt>
                <c:pt idx="437">
                  <c:v>244.741697933858</c:v>
                </c:pt>
                <c:pt idx="438">
                  <c:v>248.254007535553</c:v>
                </c:pt>
                <c:pt idx="439">
                  <c:v>251.755263468359</c:v>
                </c:pt>
                <c:pt idx="440">
                  <c:v>255.245639632019</c:v>
                </c:pt>
                <c:pt idx="441">
                  <c:v>258.725307176537</c:v>
                </c:pt>
                <c:pt idx="442">
                  <c:v>262.194434567261</c:v>
                </c:pt>
                <c:pt idx="443">
                  <c:v>265.653187647972</c:v>
                </c:pt>
                <c:pt idx="444">
                  <c:v>269.101729702044</c:v>
                </c:pt>
                <c:pt idx="445">
                  <c:v>272.540221511729</c:v>
                </c:pt>
                <c:pt idx="446">
                  <c:v>275.968821415637</c:v>
                </c:pt>
                <c:pt idx="447">
                  <c:v>279.387685364454</c:v>
                </c:pt>
                <c:pt idx="448">
                  <c:v>282.796966974962</c:v>
                </c:pt>
                <c:pt idx="449">
                  <c:v>286.196817582405</c:v>
                </c:pt>
                <c:pt idx="450">
                  <c:v>289.587386291249</c:v>
                </c:pt>
                <c:pt idx="451">
                  <c:v>292.968820024388</c:v>
                </c:pt>
                <c:pt idx="452">
                  <c:v>296.341263570832</c:v>
                </c:pt>
                <c:pt idx="453">
                  <c:v>299.704859631918</c:v>
                </c:pt>
                <c:pt idx="454">
                  <c:v>303.059748866093</c:v>
                </c:pt>
                <c:pt idx="455">
                  <c:v>306.406069932288</c:v>
                </c:pt>
                <c:pt idx="456">
                  <c:v>309.743959531938</c:v>
                </c:pt>
                <c:pt idx="457">
                  <c:v>313.073552449666</c:v>
                </c:pt>
                <c:pt idx="458">
                  <c:v>316.39498159266</c:v>
                </c:pt>
                <c:pt idx="459">
                  <c:v>319.70837802879</c:v>
                </c:pt>
                <c:pt idx="460">
                  <c:v>323.01387102347</c:v>
                </c:pt>
                <c:pt idx="461">
                  <c:v>326.311588075299</c:v>
                </c:pt>
                <c:pt idx="462">
                  <c:v>329.60165495051</c:v>
                </c:pt>
                <c:pt idx="463">
                  <c:v>332.884195716238</c:v>
                </c:pt>
                <c:pt idx="464">
                  <c:v>336.159332772625</c:v>
                </c:pt>
                <c:pt idx="465">
                  <c:v>339.427186883797</c:v>
                </c:pt>
                <c:pt idx="466">
                  <c:v>342.6878772077</c:v>
                </c:pt>
                <c:pt idx="467">
                  <c:v>345.941521324839</c:v>
                </c:pt>
                <c:pt idx="468">
                  <c:v>349.188235265906</c:v>
                </c:pt>
                <c:pt idx="469">
                  <c:v>352.428133538322</c:v>
                </c:pt>
                <c:pt idx="470">
                  <c:v>355.661329151697</c:v>
                </c:pt>
                <c:pt idx="471">
                  <c:v>358.887933642211</c:v>
                </c:pt>
                <c:pt idx="472">
                  <c:v>362.108057095926</c:v>
                </c:pt>
                <c:pt idx="473">
                  <c:v>365.321808171021</c:v>
                </c:pt>
                <c:pt idx="474">
                  <c:v>368.529294118962</c:v>
                </c:pt>
                <c:pt idx="475">
                  <c:v>371.730620804596</c:v>
                </c:pt>
                <c:pt idx="476">
                  <c:v>374.925892725164</c:v>
                </c:pt>
                <c:pt idx="477">
                  <c:v>378.115213028236</c:v>
                </c:pt>
                <c:pt idx="478">
                  <c:v>381.298683528544</c:v>
                </c:pt>
                <c:pt idx="479">
                  <c:v>384.476404723717</c:v>
                </c:pt>
                <c:pt idx="480">
                  <c:v>387.648475808893</c:v>
                </c:pt>
                <c:pt idx="481">
                  <c:v>390.814994690192</c:v>
                </c:pt>
                <c:pt idx="482">
                  <c:v>393.976057997042</c:v>
                </c:pt>
                <c:pt idx="483">
                  <c:v>397.13176109332</c:v>
                </c:pt>
                <c:pt idx="484">
                  <c:v>400.282198087296</c:v>
                </c:pt>
                <c:pt idx="485">
                  <c:v>403.427461840346</c:v>
                </c:pt>
                <c:pt idx="486">
                  <c:v>406.567643974405</c:v>
                </c:pt>
                <c:pt idx="487">
                  <c:v>409.702834878126</c:v>
                </c:pt>
                <c:pt idx="488">
                  <c:v>412.83312371171</c:v>
                </c:pt>
                <c:pt idx="489">
                  <c:v>415.958598410363</c:v>
                </c:pt>
                <c:pt idx="490">
                  <c:v>419.079345686341</c:v>
                </c:pt>
                <c:pt idx="491">
                  <c:v>422.195451029528</c:v>
                </c:pt>
                <c:pt idx="492">
                  <c:v>425.306998706513</c:v>
                </c:pt>
                <c:pt idx="493">
                  <c:v>428.414071758091</c:v>
                </c:pt>
                <c:pt idx="494">
                  <c:v>431.516751995151</c:v>
                </c:pt>
                <c:pt idx="495">
                  <c:v>434.615119992878</c:v>
                </c:pt>
                <c:pt idx="496">
                  <c:v>437.709255083209</c:v>
                </c:pt>
                <c:pt idx="497">
                  <c:v>440.799235345483</c:v>
                </c:pt>
                <c:pt idx="498">
                  <c:v>443.885137595211</c:v>
                </c:pt>
                <c:pt idx="499">
                  <c:v>446.967037370891</c:v>
                </c:pt>
                <c:pt idx="500">
                  <c:v>450.045008918815</c:v>
                </c:pt>
                <c:pt idx="501">
                  <c:v>453.119125175768</c:v>
                </c:pt>
                <c:pt idx="502">
                  <c:v>456.189457749572</c:v>
                </c:pt>
                <c:pt idx="503">
                  <c:v>459.256076897386</c:v>
                </c:pt>
                <c:pt idx="504">
                  <c:v>462.319051501706</c:v>
                </c:pt>
                <c:pt idx="505">
                  <c:v>465.378449043988</c:v>
                </c:pt>
                <c:pt idx="506">
                  <c:v>468.434335575844</c:v>
                </c:pt>
                <c:pt idx="507">
                  <c:v>471.486775687752</c:v>
                </c:pt>
                <c:pt idx="508">
                  <c:v>474.535832475247</c:v>
                </c:pt>
                <c:pt idx="509">
                  <c:v>477.581567502558</c:v>
                </c:pt>
                <c:pt idx="510">
                  <c:v>480.624040763679</c:v>
                </c:pt>
                <c:pt idx="511">
                  <c:v>483.66331064089</c:v>
                </c:pt>
                <c:pt idx="512">
                  <c:v>486.699433860746</c:v>
                </c:pt>
                <c:pt idx="513">
                  <c:v>489.732465447606</c:v>
                </c:pt>
                <c:pt idx="514">
                  <c:v>492.762458674786</c:v>
                </c:pt>
                <c:pt idx="515">
                  <c:v>495.789465013467</c:v>
                </c:pt>
                <c:pt idx="516">
                  <c:v>498.813534079531</c:v>
                </c:pt>
                <c:pt idx="517">
                  <c:v>501.834713578533</c:v>
                </c:pt>
                <c:pt idx="518">
                  <c:v>504.853049249096</c:v>
                </c:pt>
                <c:pt idx="519">
                  <c:v>507.868584805021</c:v>
                </c:pt>
                <c:pt idx="520">
                  <c:v>510.881361876531</c:v>
                </c:pt>
                <c:pt idx="521">
                  <c:v>513.891419951056</c:v>
                </c:pt>
                <c:pt idx="522">
                  <c:v>516.898796314073</c:v>
                </c:pt>
                <c:pt idx="523">
                  <c:v>519.903525990569</c:v>
                </c:pt>
                <c:pt idx="524">
                  <c:v>522.905641687718</c:v>
                </c:pt>
                <c:pt idx="525">
                  <c:v>525.905173739452</c:v>
                </c:pt>
                <c:pt idx="526">
                  <c:v>528.902150053623</c:v>
                </c:pt>
                <c:pt idx="527">
                  <c:v>531.89659606248</c:v>
                </c:pt>
                <c:pt idx="528">
                  <c:v>534.888534677207</c:v>
                </c:pt>
                <c:pt idx="529">
                  <c:v>537.877986247264</c:v>
                </c:pt>
                <c:pt idx="530">
                  <c:v>540.864968525238</c:v>
                </c:pt>
                <c:pt idx="531">
                  <c:v>543.849496637889</c:v>
                </c:pt>
                <c:pt idx="532">
                  <c:v>546.831583063994</c:v>
                </c:pt>
                <c:pt idx="533">
                  <c:v>549.811237619521</c:v>
                </c:pt>
                <c:pt idx="534">
                  <c:v>552.788467450563</c:v>
                </c:pt>
                <c:pt idx="535">
                  <c:v>555.763277034339</c:v>
                </c:pt>
                <c:pt idx="536">
                  <c:v>558.735668188448</c:v>
                </c:pt>
                <c:pt idx="537">
                  <c:v>561.705640088436</c:v>
                </c:pt>
                <c:pt idx="538">
                  <c:v>564.67318929357</c:v>
                </c:pt>
                <c:pt idx="539">
                  <c:v>567.638309780623</c:v>
                </c:pt>
                <c:pt idx="540">
                  <c:v>570.600992985303</c:v>
                </c:pt>
                <c:pt idx="541">
                  <c:v>573.561227850884</c:v>
                </c:pt>
                <c:pt idx="542">
                  <c:v>576.519000883471</c:v>
                </c:pt>
                <c:pt idx="543">
                  <c:v>579.474296213282</c:v>
                </c:pt>
                <c:pt idx="544">
                  <c:v>582.427095661226</c:v>
                </c:pt>
                <c:pt idx="545">
                  <c:v>585.377378810078</c:v>
                </c:pt>
                <c:pt idx="546">
                  <c:v>588.325123079486</c:v>
                </c:pt>
                <c:pt idx="547">
                  <c:v>591.270303804053</c:v>
                </c:pt>
                <c:pt idx="548">
                  <c:v>594.212894313797</c:v>
                </c:pt>
                <c:pt idx="549">
                  <c:v>597.152866016255</c:v>
                </c:pt>
                <c:pt idx="550">
                  <c:v>600.090188479598</c:v>
                </c:pt>
                <c:pt idx="551">
                  <c:v>603.024829516156</c:v>
                </c:pt>
                <c:pt idx="552">
                  <c:v>605.956755265792</c:v>
                </c:pt>
                <c:pt idx="553">
                  <c:v>608.885930278657</c:v>
                </c:pt>
                <c:pt idx="554">
                  <c:v>611.812317596897</c:v>
                </c:pt>
                <c:pt idx="555">
                  <c:v>614.735878834947</c:v>
                </c:pt>
                <c:pt idx="556">
                  <c:v>617.656574258122</c:v>
                </c:pt>
                <c:pt idx="557">
                  <c:v>620.574362859236</c:v>
                </c:pt>
                <c:pt idx="558">
                  <c:v>623.489202433087</c:v>
                </c:pt>
                <c:pt idx="559">
                  <c:v>626.401049648619</c:v>
                </c:pt>
                <c:pt idx="560">
                  <c:v>629.309860118686</c:v>
                </c:pt>
                <c:pt idx="561">
                  <c:v>632.215588467336</c:v>
                </c:pt>
                <c:pt idx="562">
                  <c:v>635.118188394564</c:v>
                </c:pt>
                <c:pt idx="563">
                  <c:v>638.017612738545</c:v>
                </c:pt>
                <c:pt idx="564">
                  <c:v>640.913813535346</c:v>
                </c:pt>
                <c:pt idx="565">
                  <c:v>643.806742076141</c:v>
                </c:pt>
                <c:pt idx="566">
                  <c:v>646.696348961992</c:v>
                </c:pt>
                <c:pt idx="567">
                  <c:v>649.582584156243</c:v>
                </c:pt>
                <c:pt idx="568">
                  <c:v>652.465397034596</c:v>
                </c:pt>
                <c:pt idx="569">
                  <c:v>655.34473643295</c:v>
                </c:pt>
                <c:pt idx="570">
                  <c:v>658.220550693074</c:v>
                </c:pt>
                <c:pt idx="571">
                  <c:v>661.092787706212</c:v>
                </c:pt>
                <c:pt idx="572">
                  <c:v>663.961394954689</c:v>
                </c:pt>
                <c:pt idx="573">
                  <c:v>666.826319551619</c:v>
                </c:pt>
                <c:pt idx="574">
                  <c:v>669.687508278794</c:v>
                </c:pt>
                <c:pt idx="575">
                  <c:v>672.544907622839</c:v>
                </c:pt>
                <c:pt idx="576">
                  <c:v>675.398463809719</c:v>
                </c:pt>
                <c:pt idx="577">
                  <c:v>678.248122837676</c:v>
                </c:pt>
                <c:pt idx="578">
                  <c:v>681.093830508683</c:v>
                </c:pt>
                <c:pt idx="579">
                  <c:v>683.935532458475</c:v>
                </c:pt>
                <c:pt idx="580">
                  <c:v>686.77317418525</c:v>
                </c:pt>
                <c:pt idx="581">
                  <c:v>689.606701077085</c:v>
                </c:pt>
                <c:pt idx="582">
                  <c:v>692.436058438165</c:v>
                </c:pt>
                <c:pt idx="583">
                  <c:v>695.261191513852</c:v>
                </c:pt>
                <c:pt idx="584">
                  <c:v>698.082045514685</c:v>
                </c:pt>
                <c:pt idx="585">
                  <c:v>700.898565639349</c:v>
                </c:pt>
                <c:pt idx="586">
                  <c:v>703.710697096674</c:v>
                </c:pt>
                <c:pt idx="587">
                  <c:v>706.518385126714</c:v>
                </c:pt>
                <c:pt idx="588">
                  <c:v>709.321575020952</c:v>
                </c:pt>
                <c:pt idx="589">
                  <c:v>712.120212141676</c:v>
                </c:pt>
                <c:pt idx="590">
                  <c:v>714.914241940577</c:v>
                </c:pt>
                <c:pt idx="591">
                  <c:v>717.703609976592</c:v>
                </c:pt>
                <c:pt idx="592">
                  <c:v>720.488261933043</c:v>
                </c:pt>
                <c:pt idx="593">
                  <c:v>723.268143634111</c:v>
                </c:pt>
                <c:pt idx="594">
                  <c:v>726.043201060658</c:v>
                </c:pt>
                <c:pt idx="595">
                  <c:v>728.813380365451</c:v>
                </c:pt>
                <c:pt idx="596">
                  <c:v>731.578627887803</c:v>
                </c:pt>
                <c:pt idx="597">
                  <c:v>734.338890167667</c:v>
                </c:pt>
                <c:pt idx="598">
                  <c:v>737.094113959198</c:v>
                </c:pt>
                <c:pt idx="599">
                  <c:v>739.844246243821</c:v>
                </c:pt>
                <c:pt idx="600">
                  <c:v>742.589234242815</c:v>
                </c:pt>
                <c:pt idx="601">
                  <c:v>745.329025429446</c:v>
                </c:pt>
                <c:pt idx="602">
                  <c:v>748.063567540656</c:v>
                </c:pt>
                <c:pt idx="603">
                  <c:v>750.79280858834</c:v>
                </c:pt>
                <c:pt idx="604">
                  <c:v>753.51669687022</c:v>
                </c:pt>
                <c:pt idx="605">
                  <c:v>756.235180980335</c:v>
                </c:pt>
                <c:pt idx="606">
                  <c:v>758.948209819163</c:v>
                </c:pt>
                <c:pt idx="607">
                  <c:v>761.655732603389</c:v>
                </c:pt>
                <c:pt idx="608">
                  <c:v>764.357698875333</c:v>
                </c:pt>
                <c:pt idx="609">
                  <c:v>767.054058512056</c:v>
                </c:pt>
                <c:pt idx="610">
                  <c:v>769.744761734141</c:v>
                </c:pt>
                <c:pt idx="611">
                  <c:v>772.429759114181</c:v>
                </c:pt>
                <c:pt idx="612">
                  <c:v>775.109001584968</c:v>
                </c:pt>
                <c:pt idx="613">
                  <c:v>777.782440447404</c:v>
                </c:pt>
                <c:pt idx="614">
                  <c:v>780.450027378135</c:v>
                </c:pt>
                <c:pt idx="615">
                  <c:v>783.111714436925</c:v>
                </c:pt>
                <c:pt idx="616">
                  <c:v>785.767454073774</c:v>
                </c:pt>
                <c:pt idx="617">
                  <c:v>788.417199135786</c:v>
                </c:pt>
                <c:pt idx="618">
                  <c:v>791.060902873803</c:v>
                </c:pt>
                <c:pt idx="619">
                  <c:v>793.6985189488</c:v>
                </c:pt>
                <c:pt idx="620">
                  <c:v>796.330001438061</c:v>
                </c:pt>
                <c:pt idx="621">
                  <c:v>798.955304841129</c:v>
                </c:pt>
                <c:pt idx="622">
                  <c:v>801.57438408555</c:v>
                </c:pt>
                <c:pt idx="623">
                  <c:v>804.187194532403</c:v>
                </c:pt>
                <c:pt idx="624">
                  <c:v>806.793691981637</c:v>
                </c:pt>
                <c:pt idx="625">
                  <c:v>809.393832677198</c:v>
                </c:pt>
                <c:pt idx="626">
                  <c:v>811.987573311978</c:v>
                </c:pt>
                <c:pt idx="627">
                  <c:v>814.574871032569</c:v>
                </c:pt>
                <c:pt idx="628">
                  <c:v>817.155683443834</c:v>
                </c:pt>
                <c:pt idx="629">
                  <c:v>819.729968613306</c:v>
                </c:pt>
                <c:pt idx="630">
                  <c:v>822.297685075408</c:v>
                </c:pt>
                <c:pt idx="631">
                  <c:v>824.858791835498</c:v>
                </c:pt>
                <c:pt idx="632">
                  <c:v>827.41324837376</c:v>
                </c:pt>
                <c:pt idx="633">
                  <c:v>829.961014648918</c:v>
                </c:pt>
                <c:pt idx="634">
                  <c:v>832.502051101801</c:v>
                </c:pt>
                <c:pt idx="635">
                  <c:v>835.03631865874</c:v>
                </c:pt>
                <c:pt idx="636">
                  <c:v>837.563778734828</c:v>
                </c:pt>
                <c:pt idx="637">
                  <c:v>840.084393237008</c:v>
                </c:pt>
                <c:pt idx="638">
                  <c:v>842.598124567034</c:v>
                </c:pt>
                <c:pt idx="639">
                  <c:v>845.104935624273</c:v>
                </c:pt>
                <c:pt idx="640">
                  <c:v>847.604789808368</c:v>
                </c:pt>
                <c:pt idx="641">
                  <c:v>850.097651021769</c:v>
                </c:pt>
                <c:pt idx="642">
                  <c:v>852.583483672114</c:v>
                </c:pt>
                <c:pt idx="643">
                  <c:v>855.062252674482</c:v>
                </c:pt>
                <c:pt idx="644">
                  <c:v>857.533923453518</c:v>
                </c:pt>
                <c:pt idx="645">
                  <c:v>859.998461945415</c:v>
                </c:pt>
                <c:pt idx="646">
                  <c:v>862.455834599779</c:v>
                </c:pt>
                <c:pt idx="647">
                  <c:v>864.906008381366</c:v>
                </c:pt>
                <c:pt idx="648">
                  <c:v>867.348950771689</c:v>
                </c:pt>
                <c:pt idx="649">
                  <c:v>869.784629770507</c:v>
                </c:pt>
                <c:pt idx="650">
                  <c:v>872.213013897196</c:v>
                </c:pt>
                <c:pt idx="651">
                  <c:v>874.634072191998</c:v>
                </c:pt>
                <c:pt idx="652">
                  <c:v>877.047774217157</c:v>
                </c:pt>
                <c:pt idx="653">
                  <c:v>879.454090057934</c:v>
                </c:pt>
                <c:pt idx="654">
                  <c:v>881.852990323517</c:v>
                </c:pt>
                <c:pt idx="655">
                  <c:v>884.244446147818</c:v>
                </c:pt>
                <c:pt idx="656">
                  <c:v>886.628429190155</c:v>
                </c:pt>
                <c:pt idx="657">
                  <c:v>889.004911635832</c:v>
                </c:pt>
                <c:pt idx="658">
                  <c:v>891.373866196613</c:v>
                </c:pt>
                <c:pt idx="659">
                  <c:v>893.735266111088</c:v>
                </c:pt>
                <c:pt idx="660">
                  <c:v>896.08908514494</c:v>
                </c:pt>
                <c:pt idx="661">
                  <c:v>898.435297591103</c:v>
                </c:pt>
                <c:pt idx="662">
                  <c:v>900.773878269836</c:v>
                </c:pt>
                <c:pt idx="663">
                  <c:v>903.104802528678</c:v>
                </c:pt>
                <c:pt idx="664">
                  <c:v>905.428046242325</c:v>
                </c:pt>
                <c:pt idx="665">
                  <c:v>907.743585812397</c:v>
                </c:pt>
                <c:pt idx="666">
                  <c:v>910.051398167123</c:v>
                </c:pt>
                <c:pt idx="667">
                  <c:v>912.351460760928</c:v>
                </c:pt>
                <c:pt idx="668">
                  <c:v>914.643751573924</c:v>
                </c:pt>
                <c:pt idx="669">
                  <c:v>916.928249111326</c:v>
                </c:pt>
                <c:pt idx="670">
                  <c:v>919.204932402762</c:v>
                </c:pt>
                <c:pt idx="671">
                  <c:v>921.473781001511</c:v>
                </c:pt>
                <c:pt idx="672">
                  <c:v>923.73477498365</c:v>
                </c:pt>
                <c:pt idx="673">
                  <c:v>925.987894947114</c:v>
                </c:pt>
                <c:pt idx="674">
                  <c:v>928.233122010677</c:v>
                </c:pt>
                <c:pt idx="675">
                  <c:v>930.470437812855</c:v>
                </c:pt>
                <c:pt idx="676">
                  <c:v>932.69982451072</c:v>
                </c:pt>
                <c:pt idx="677">
                  <c:v>934.921264778647</c:v>
                </c:pt>
                <c:pt idx="678">
                  <c:v>937.134741806972</c:v>
                </c:pt>
                <c:pt idx="679">
                  <c:v>939.340239300586</c:v>
                </c:pt>
                <c:pt idx="680">
                  <c:v>941.537741477441</c:v>
                </c:pt>
                <c:pt idx="681">
                  <c:v>943.727233066997</c:v>
                </c:pt>
                <c:pt idx="682">
                  <c:v>945.908699308588</c:v>
                </c:pt>
                <c:pt idx="683">
                  <c:v>948.082125949719</c:v>
                </c:pt>
                <c:pt idx="684">
                  <c:v>950.247499244294</c:v>
                </c:pt>
                <c:pt idx="685">
                  <c:v>952.404805950778</c:v>
                </c:pt>
                <c:pt idx="686">
                  <c:v>954.55403333029</c:v>
                </c:pt>
                <c:pt idx="687">
                  <c:v>956.695169144629</c:v>
                </c:pt>
                <c:pt idx="688">
                  <c:v>958.828201654242</c:v>
                </c:pt>
                <c:pt idx="689">
                  <c:v>960.953119616122</c:v>
                </c:pt>
                <c:pt idx="690">
                  <c:v>963.069912281647</c:v>
                </c:pt>
                <c:pt idx="691">
                  <c:v>965.178569394359</c:v>
                </c:pt>
                <c:pt idx="692">
                  <c:v>967.279081187686</c:v>
                </c:pt>
                <c:pt idx="693">
                  <c:v>969.371438382601</c:v>
                </c:pt>
                <c:pt idx="694">
                  <c:v>971.455632185228</c:v>
                </c:pt>
                <c:pt idx="695">
                  <c:v>973.53165428439</c:v>
                </c:pt>
                <c:pt idx="696">
                  <c:v>975.599496849105</c:v>
                </c:pt>
                <c:pt idx="697">
                  <c:v>977.659152526031</c:v>
                </c:pt>
                <c:pt idx="698">
                  <c:v>979.710614436849</c:v>
                </c:pt>
                <c:pt idx="699">
                  <c:v>981.75387617561</c:v>
                </c:pt>
                <c:pt idx="700">
                  <c:v>983.788931806022</c:v>
                </c:pt>
                <c:pt idx="701">
                  <c:v>985.815775858691</c:v>
                </c:pt>
                <c:pt idx="702">
                  <c:v>987.834403328318</c:v>
                </c:pt>
                <c:pt idx="703">
                  <c:v>989.844809670847</c:v>
                </c:pt>
                <c:pt idx="704">
                  <c:v>991.846990800569</c:v>
                </c:pt>
                <c:pt idx="705">
                  <c:v>993.840943087182</c:v>
                </c:pt>
                <c:pt idx="706">
                  <c:v>995.826663352813</c:v>
                </c:pt>
                <c:pt idx="707">
                  <c:v>997.804148868993</c:v>
                </c:pt>
                <c:pt idx="708">
                  <c:v>999.773397353592</c:v>
                </c:pt>
                <c:pt idx="709">
                  <c:v>1001.73440696772</c:v>
                </c:pt>
                <c:pt idx="710">
                  <c:v>1003.6871763126</c:v>
                </c:pt>
                <c:pt idx="711">
                  <c:v>1005.63170442635</c:v>
                </c:pt>
                <c:pt idx="712">
                  <c:v>1007.56799078083</c:v>
                </c:pt>
                <c:pt idx="713">
                  <c:v>1009.49603527836</c:v>
                </c:pt>
                <c:pt idx="714">
                  <c:v>1011.41583824843</c:v>
                </c:pt>
                <c:pt idx="715">
                  <c:v>1013.32740044444</c:v>
                </c:pt>
                <c:pt idx="716">
                  <c:v>1015.2307230403</c:v>
                </c:pt>
                <c:pt idx="717">
                  <c:v>1017.12580762709</c:v>
                </c:pt>
                <c:pt idx="718">
                  <c:v>1017.12580762709</c:v>
                </c:pt>
                <c:pt idx="719">
                  <c:v>1017.12580762709</c:v>
                </c:pt>
                <c:pt idx="720">
                  <c:v>1017.12580762709</c:v>
                </c:pt>
                <c:pt idx="721">
                  <c:v>1017.12580762709</c:v>
                </c:pt>
                <c:pt idx="722">
                  <c:v>1017.12580762709</c:v>
                </c:pt>
                <c:pt idx="723">
                  <c:v>1017.12580762709</c:v>
                </c:pt>
                <c:pt idx="724">
                  <c:v>1017.12580762709</c:v>
                </c:pt>
                <c:pt idx="725">
                  <c:v>1017.12580762709</c:v>
                </c:pt>
                <c:pt idx="726">
                  <c:v>1017.12580762709</c:v>
                </c:pt>
                <c:pt idx="727">
                  <c:v>1017.12580762709</c:v>
                </c:pt>
                <c:pt idx="728">
                  <c:v>1017.12580762709</c:v>
                </c:pt>
                <c:pt idx="729">
                  <c:v>1017.12580762709</c:v>
                </c:pt>
                <c:pt idx="730">
                  <c:v>1017.12580762709</c:v>
                </c:pt>
                <c:pt idx="731">
                  <c:v>1017.12580762709</c:v>
                </c:pt>
                <c:pt idx="732">
                  <c:v>1017.12580762709</c:v>
                </c:pt>
                <c:pt idx="733">
                  <c:v>1017.12580762709</c:v>
                </c:pt>
                <c:pt idx="734">
                  <c:v>1017.12580762709</c:v>
                </c:pt>
                <c:pt idx="735">
                  <c:v>1017.12580762709</c:v>
                </c:pt>
                <c:pt idx="736">
                  <c:v>1017.12580762709</c:v>
                </c:pt>
                <c:pt idx="737">
                  <c:v>1017.12580762709</c:v>
                </c:pt>
                <c:pt idx="738">
                  <c:v>1017.12580762709</c:v>
                </c:pt>
                <c:pt idx="739">
                  <c:v>1017.12580762709</c:v>
                </c:pt>
                <c:pt idx="740">
                  <c:v>1017.12580762709</c:v>
                </c:pt>
                <c:pt idx="741">
                  <c:v>1017.12580762709</c:v>
                </c:pt>
                <c:pt idx="742">
                  <c:v>1017.12580762709</c:v>
                </c:pt>
                <c:pt idx="743">
                  <c:v>1017.12580762709</c:v>
                </c:pt>
                <c:pt idx="744">
                  <c:v>1017.12580762709</c:v>
                </c:pt>
                <c:pt idx="745">
                  <c:v>1017.12580762709</c:v>
                </c:pt>
                <c:pt idx="746">
                  <c:v>1017.12580762709</c:v>
                </c:pt>
                <c:pt idx="747">
                  <c:v>1017.12580762709</c:v>
                </c:pt>
                <c:pt idx="748">
                  <c:v>1017.12580762709</c:v>
                </c:pt>
                <c:pt idx="749">
                  <c:v>1017.12580762709</c:v>
                </c:pt>
                <c:pt idx="750">
                  <c:v>1017.12580762709</c:v>
                </c:pt>
                <c:pt idx="751">
                  <c:v>1017.12580762709</c:v>
                </c:pt>
                <c:pt idx="752">
                  <c:v>1017.12580762709</c:v>
                </c:pt>
                <c:pt idx="753">
                  <c:v>1017.12580762709</c:v>
                </c:pt>
                <c:pt idx="754">
                  <c:v>1017.12580762709</c:v>
                </c:pt>
                <c:pt idx="755">
                  <c:v>1017.12580762709</c:v>
                </c:pt>
                <c:pt idx="756">
                  <c:v>1017.12580762709</c:v>
                </c:pt>
                <c:pt idx="757">
                  <c:v>1017.12580762709</c:v>
                </c:pt>
                <c:pt idx="758">
                  <c:v>1017.12580762709</c:v>
                </c:pt>
                <c:pt idx="759">
                  <c:v>1017.12580762709</c:v>
                </c:pt>
                <c:pt idx="760">
                  <c:v>1017.12580762709</c:v>
                </c:pt>
                <c:pt idx="761">
                  <c:v>1017.12580762709</c:v>
                </c:pt>
                <c:pt idx="762">
                  <c:v>1017.12580762709</c:v>
                </c:pt>
                <c:pt idx="763">
                  <c:v>1017.12580762709</c:v>
                </c:pt>
                <c:pt idx="764">
                  <c:v>1017.12580762709</c:v>
                </c:pt>
                <c:pt idx="765">
                  <c:v>1017.12580762709</c:v>
                </c:pt>
                <c:pt idx="766">
                  <c:v>1017.12580762709</c:v>
                </c:pt>
                <c:pt idx="767">
                  <c:v>1017.12580762709</c:v>
                </c:pt>
                <c:pt idx="768">
                  <c:v>1017.12580762709</c:v>
                </c:pt>
                <c:pt idx="769">
                  <c:v>1017.12580762709</c:v>
                </c:pt>
                <c:pt idx="770">
                  <c:v>1017.12580762709</c:v>
                </c:pt>
                <c:pt idx="771">
                  <c:v>1017.12580762709</c:v>
                </c:pt>
                <c:pt idx="772">
                  <c:v>1017.12580762709</c:v>
                </c:pt>
                <c:pt idx="773">
                  <c:v>1017.12580762709</c:v>
                </c:pt>
                <c:pt idx="774">
                  <c:v>1017.12580762709</c:v>
                </c:pt>
                <c:pt idx="775">
                  <c:v>1017.12580762709</c:v>
                </c:pt>
                <c:pt idx="776">
                  <c:v>1017.12580762709</c:v>
                </c:pt>
                <c:pt idx="777">
                  <c:v>1017.12580762709</c:v>
                </c:pt>
                <c:pt idx="778">
                  <c:v>1017.12580762709</c:v>
                </c:pt>
                <c:pt idx="779">
                  <c:v>1017.12580762709</c:v>
                </c:pt>
                <c:pt idx="780">
                  <c:v>1017.12580762709</c:v>
                </c:pt>
                <c:pt idx="781">
                  <c:v>1017.12580762709</c:v>
                </c:pt>
                <c:pt idx="782">
                  <c:v>1017.12580762709</c:v>
                </c:pt>
                <c:pt idx="783">
                  <c:v>1017.12580762709</c:v>
                </c:pt>
                <c:pt idx="784">
                  <c:v>1017.12580762709</c:v>
                </c:pt>
                <c:pt idx="785">
                  <c:v>1017.12580762709</c:v>
                </c:pt>
                <c:pt idx="786">
                  <c:v>1017.12580762709</c:v>
                </c:pt>
                <c:pt idx="787">
                  <c:v>1017.12580762709</c:v>
                </c:pt>
                <c:pt idx="788">
                  <c:v>1017.12580762709</c:v>
                </c:pt>
                <c:pt idx="789">
                  <c:v>1017.12580762709</c:v>
                </c:pt>
                <c:pt idx="790">
                  <c:v>1017.12580762709</c:v>
                </c:pt>
                <c:pt idx="791">
                  <c:v>1017.12580762709</c:v>
                </c:pt>
                <c:pt idx="792">
                  <c:v>1017.12580762709</c:v>
                </c:pt>
                <c:pt idx="793">
                  <c:v>1017.12580762709</c:v>
                </c:pt>
                <c:pt idx="794">
                  <c:v>1017.12580762709</c:v>
                </c:pt>
                <c:pt idx="795">
                  <c:v>1017.12580762709</c:v>
                </c:pt>
                <c:pt idx="796">
                  <c:v>1017.12580762709</c:v>
                </c:pt>
                <c:pt idx="797">
                  <c:v>1017.12580762709</c:v>
                </c:pt>
                <c:pt idx="798">
                  <c:v>1017.12580762709</c:v>
                </c:pt>
                <c:pt idx="799">
                  <c:v>1017.12580762709</c:v>
                </c:pt>
                <c:pt idx="800">
                  <c:v>1017.12580762709</c:v>
                </c:pt>
                <c:pt idx="801">
                  <c:v>1017.12580762709</c:v>
                </c:pt>
                <c:pt idx="802">
                  <c:v>1017.12580762709</c:v>
                </c:pt>
                <c:pt idx="803">
                  <c:v>1017.12580762709</c:v>
                </c:pt>
                <c:pt idx="804">
                  <c:v>1017.12580762709</c:v>
                </c:pt>
                <c:pt idx="805">
                  <c:v>1017.12580762709</c:v>
                </c:pt>
                <c:pt idx="806">
                  <c:v>1017.12580762709</c:v>
                </c:pt>
                <c:pt idx="807">
                  <c:v>1017.12580762709</c:v>
                </c:pt>
                <c:pt idx="808">
                  <c:v>1017.12580762709</c:v>
                </c:pt>
                <c:pt idx="809">
                  <c:v>1017.12580762709</c:v>
                </c:pt>
                <c:pt idx="810">
                  <c:v>1017.12580762709</c:v>
                </c:pt>
                <c:pt idx="811">
                  <c:v>1017.12580762709</c:v>
                </c:pt>
                <c:pt idx="812">
                  <c:v>1017.12580762709</c:v>
                </c:pt>
                <c:pt idx="813">
                  <c:v>1017.12580762709</c:v>
                </c:pt>
                <c:pt idx="814">
                  <c:v>1017.12580762709</c:v>
                </c:pt>
                <c:pt idx="815">
                  <c:v>1017.12580762709</c:v>
                </c:pt>
                <c:pt idx="816">
                  <c:v>1017.12580762709</c:v>
                </c:pt>
                <c:pt idx="817">
                  <c:v>1017.12580762709</c:v>
                </c:pt>
                <c:pt idx="818">
                  <c:v>1017.12580762709</c:v>
                </c:pt>
                <c:pt idx="819">
                  <c:v>1017.12580762709</c:v>
                </c:pt>
                <c:pt idx="820">
                  <c:v>1017.12580762709</c:v>
                </c:pt>
                <c:pt idx="821">
                  <c:v>1017.12580762709</c:v>
                </c:pt>
                <c:pt idx="822">
                  <c:v>1017.12580762709</c:v>
                </c:pt>
                <c:pt idx="823">
                  <c:v>1017.12580762709</c:v>
                </c:pt>
                <c:pt idx="824">
                  <c:v>1017.12580762709</c:v>
                </c:pt>
                <c:pt idx="825">
                  <c:v>1017.12580762709</c:v>
                </c:pt>
                <c:pt idx="826">
                  <c:v>1017.12580762709</c:v>
                </c:pt>
                <c:pt idx="827">
                  <c:v>1017.12580762709</c:v>
                </c:pt>
                <c:pt idx="828">
                  <c:v>1017.12580762709</c:v>
                </c:pt>
                <c:pt idx="829">
                  <c:v>1017.12580762709</c:v>
                </c:pt>
                <c:pt idx="830">
                  <c:v>1017.12580762709</c:v>
                </c:pt>
                <c:pt idx="831">
                  <c:v>1017.12580762709</c:v>
                </c:pt>
                <c:pt idx="832">
                  <c:v>1017.12580762709</c:v>
                </c:pt>
                <c:pt idx="833">
                  <c:v>1017.12580762709</c:v>
                </c:pt>
                <c:pt idx="834">
                  <c:v>1017.12580762709</c:v>
                </c:pt>
                <c:pt idx="835">
                  <c:v>1017.12580762709</c:v>
                </c:pt>
                <c:pt idx="836">
                  <c:v>1017.12580762709</c:v>
                </c:pt>
                <c:pt idx="837">
                  <c:v>1017.12580762709</c:v>
                </c:pt>
                <c:pt idx="838">
                  <c:v>1017.12580762709</c:v>
                </c:pt>
                <c:pt idx="839">
                  <c:v>1017.12580762709</c:v>
                </c:pt>
                <c:pt idx="840">
                  <c:v>1017.12580762709</c:v>
                </c:pt>
                <c:pt idx="841">
                  <c:v>1017.12580762709</c:v>
                </c:pt>
                <c:pt idx="842">
                  <c:v>1017.12580762709</c:v>
                </c:pt>
                <c:pt idx="843">
                  <c:v>1017.12580762709</c:v>
                </c:pt>
                <c:pt idx="844">
                  <c:v>1017.12580762709</c:v>
                </c:pt>
                <c:pt idx="845">
                  <c:v>1017.12580762709</c:v>
                </c:pt>
                <c:pt idx="846">
                  <c:v>1017.12580762709</c:v>
                </c:pt>
                <c:pt idx="847">
                  <c:v>1017.12580762709</c:v>
                </c:pt>
                <c:pt idx="848">
                  <c:v>1017.12580762709</c:v>
                </c:pt>
                <c:pt idx="849">
                  <c:v>1017.12580762709</c:v>
                </c:pt>
                <c:pt idx="850">
                  <c:v>1017.12580762709</c:v>
                </c:pt>
                <c:pt idx="851">
                  <c:v>1017.12580762709</c:v>
                </c:pt>
                <c:pt idx="852">
                  <c:v>1017.12580762709</c:v>
                </c:pt>
                <c:pt idx="853">
                  <c:v>1017.12580762709</c:v>
                </c:pt>
                <c:pt idx="854">
                  <c:v>1017.12580762709</c:v>
                </c:pt>
                <c:pt idx="855">
                  <c:v>1017.12580762709</c:v>
                </c:pt>
                <c:pt idx="856">
                  <c:v>1017.12580762709</c:v>
                </c:pt>
                <c:pt idx="857">
                  <c:v>1017.12580762709</c:v>
                </c:pt>
                <c:pt idx="858">
                  <c:v>1017.12580762709</c:v>
                </c:pt>
                <c:pt idx="859">
                  <c:v>1017.12580762709</c:v>
                </c:pt>
                <c:pt idx="860">
                  <c:v>1017.12580762709</c:v>
                </c:pt>
                <c:pt idx="861">
                  <c:v>1017.12580762709</c:v>
                </c:pt>
                <c:pt idx="862">
                  <c:v>1017.12580762709</c:v>
                </c:pt>
                <c:pt idx="863">
                  <c:v>1017.12580762709</c:v>
                </c:pt>
                <c:pt idx="864">
                  <c:v>1017.12580762709</c:v>
                </c:pt>
                <c:pt idx="865">
                  <c:v>1017.12580762709</c:v>
                </c:pt>
                <c:pt idx="866">
                  <c:v>1017.12580762709</c:v>
                </c:pt>
                <c:pt idx="867">
                  <c:v>1017.12580762709</c:v>
                </c:pt>
                <c:pt idx="868">
                  <c:v>1017.12580762709</c:v>
                </c:pt>
                <c:pt idx="869">
                  <c:v>1017.12580762709</c:v>
                </c:pt>
                <c:pt idx="870">
                  <c:v>1017.12580762709</c:v>
                </c:pt>
                <c:pt idx="871">
                  <c:v>1017.12580762709</c:v>
                </c:pt>
                <c:pt idx="872">
                  <c:v>1017.12580762709</c:v>
                </c:pt>
                <c:pt idx="873">
                  <c:v>1017.12580762709</c:v>
                </c:pt>
                <c:pt idx="874">
                  <c:v>1017.12580762709</c:v>
                </c:pt>
                <c:pt idx="875">
                  <c:v>1017.12580762709</c:v>
                </c:pt>
                <c:pt idx="876">
                  <c:v>1017.12580762709</c:v>
                </c:pt>
                <c:pt idx="877">
                  <c:v>1017.12580762709</c:v>
                </c:pt>
                <c:pt idx="878">
                  <c:v>1017.12580762709</c:v>
                </c:pt>
                <c:pt idx="879">
                  <c:v>1017.12580762709</c:v>
                </c:pt>
                <c:pt idx="880">
                  <c:v>1017.12580762709</c:v>
                </c:pt>
                <c:pt idx="881">
                  <c:v>1017.12580762709</c:v>
                </c:pt>
                <c:pt idx="882">
                  <c:v>1017.12580762709</c:v>
                </c:pt>
                <c:pt idx="883">
                  <c:v>1017.12580762709</c:v>
                </c:pt>
                <c:pt idx="884">
                  <c:v>1017.12580762709</c:v>
                </c:pt>
                <c:pt idx="885">
                  <c:v>1017.12580762709</c:v>
                </c:pt>
                <c:pt idx="886">
                  <c:v>1017.12580762709</c:v>
                </c:pt>
                <c:pt idx="887">
                  <c:v>1017.12580762709</c:v>
                </c:pt>
                <c:pt idx="888">
                  <c:v>1017.12580762709</c:v>
                </c:pt>
                <c:pt idx="889">
                  <c:v>1017.12580762709</c:v>
                </c:pt>
                <c:pt idx="890">
                  <c:v>1017.12580762709</c:v>
                </c:pt>
                <c:pt idx="891">
                  <c:v>1017.12580762709</c:v>
                </c:pt>
                <c:pt idx="892">
                  <c:v>1017.12580762709</c:v>
                </c:pt>
                <c:pt idx="893">
                  <c:v>1017.12580762709</c:v>
                </c:pt>
                <c:pt idx="894">
                  <c:v>1017.12580762709</c:v>
                </c:pt>
                <c:pt idx="895">
                  <c:v>1017.12580762709</c:v>
                </c:pt>
                <c:pt idx="896">
                  <c:v>1017.12580762709</c:v>
                </c:pt>
                <c:pt idx="897">
                  <c:v>1017.12580762709</c:v>
                </c:pt>
                <c:pt idx="898">
                  <c:v>1017.12580762709</c:v>
                </c:pt>
                <c:pt idx="899">
                  <c:v>1017.12580762709</c:v>
                </c:pt>
                <c:pt idx="900">
                  <c:v>1017.12580762709</c:v>
                </c:pt>
                <c:pt idx="901">
                  <c:v>1017.12580762709</c:v>
                </c:pt>
                <c:pt idx="902">
                  <c:v>1017.12580762709</c:v>
                </c:pt>
                <c:pt idx="903">
                  <c:v>1017.12580762709</c:v>
                </c:pt>
                <c:pt idx="904">
                  <c:v>1017.12580762709</c:v>
                </c:pt>
                <c:pt idx="905">
                  <c:v>1017.12580762709</c:v>
                </c:pt>
                <c:pt idx="906">
                  <c:v>1017.12580762709</c:v>
                </c:pt>
                <c:pt idx="907">
                  <c:v>1017.12580762709</c:v>
                </c:pt>
                <c:pt idx="908">
                  <c:v>1017.12580762709</c:v>
                </c:pt>
                <c:pt idx="909">
                  <c:v>1017.12580762709</c:v>
                </c:pt>
                <c:pt idx="910">
                  <c:v>1017.12580762709</c:v>
                </c:pt>
                <c:pt idx="911">
                  <c:v>1017.12580762709</c:v>
                </c:pt>
                <c:pt idx="912">
                  <c:v>1017.12580762709</c:v>
                </c:pt>
                <c:pt idx="913">
                  <c:v>1017.12580762709</c:v>
                </c:pt>
                <c:pt idx="914">
                  <c:v>1017.12580762709</c:v>
                </c:pt>
                <c:pt idx="915">
                  <c:v>1017.12580762709</c:v>
                </c:pt>
                <c:pt idx="916">
                  <c:v>1017.12580762709</c:v>
                </c:pt>
                <c:pt idx="917">
                  <c:v>1017.12580762709</c:v>
                </c:pt>
                <c:pt idx="918">
                  <c:v>1017.12580762709</c:v>
                </c:pt>
                <c:pt idx="919">
                  <c:v>1017.12580762709</c:v>
                </c:pt>
                <c:pt idx="920">
                  <c:v>1017.12580762709</c:v>
                </c:pt>
                <c:pt idx="921">
                  <c:v>1017.12580762709</c:v>
                </c:pt>
                <c:pt idx="922">
                  <c:v>1017.12580762709</c:v>
                </c:pt>
                <c:pt idx="923">
                  <c:v>1017.12580762709</c:v>
                </c:pt>
                <c:pt idx="924">
                  <c:v>1017.12580762709</c:v>
                </c:pt>
                <c:pt idx="925">
                  <c:v>1017.12580762709</c:v>
                </c:pt>
                <c:pt idx="926">
                  <c:v>1017.12580762709</c:v>
                </c:pt>
                <c:pt idx="927">
                  <c:v>1017.12580762709</c:v>
                </c:pt>
                <c:pt idx="928">
                  <c:v>1017.12580762709</c:v>
                </c:pt>
                <c:pt idx="929">
                  <c:v>1017.12580762709</c:v>
                </c:pt>
                <c:pt idx="930">
                  <c:v>1017.12580762709</c:v>
                </c:pt>
                <c:pt idx="931">
                  <c:v>1017.12580762709</c:v>
                </c:pt>
                <c:pt idx="932">
                  <c:v>1017.12580762709</c:v>
                </c:pt>
                <c:pt idx="933">
                  <c:v>1017.12580762709</c:v>
                </c:pt>
                <c:pt idx="934">
                  <c:v>1017.12580762709</c:v>
                </c:pt>
                <c:pt idx="935">
                  <c:v>1017.12580762709</c:v>
                </c:pt>
                <c:pt idx="936">
                  <c:v>1017.12580762709</c:v>
                </c:pt>
                <c:pt idx="937">
                  <c:v>1017.12580762709</c:v>
                </c:pt>
                <c:pt idx="938">
                  <c:v>1017.12580762709</c:v>
                </c:pt>
                <c:pt idx="939">
                  <c:v>1017.12580762709</c:v>
                </c:pt>
                <c:pt idx="940">
                  <c:v>1017.12580762709</c:v>
                </c:pt>
                <c:pt idx="941">
                  <c:v>1017.12580762709</c:v>
                </c:pt>
                <c:pt idx="942">
                  <c:v>1017.12580762709</c:v>
                </c:pt>
                <c:pt idx="943">
                  <c:v>1017.12580762709</c:v>
                </c:pt>
                <c:pt idx="944">
                  <c:v>1017.12580762709</c:v>
                </c:pt>
                <c:pt idx="945">
                  <c:v>1017.12580762709</c:v>
                </c:pt>
                <c:pt idx="946">
                  <c:v>1017.12580762709</c:v>
                </c:pt>
                <c:pt idx="947">
                  <c:v>1017.12580762709</c:v>
                </c:pt>
                <c:pt idx="948">
                  <c:v>1017.12580762709</c:v>
                </c:pt>
                <c:pt idx="949">
                  <c:v>1017.12580762709</c:v>
                </c:pt>
                <c:pt idx="950">
                  <c:v>1017.12580762709</c:v>
                </c:pt>
                <c:pt idx="951">
                  <c:v>1017.12580762709</c:v>
                </c:pt>
                <c:pt idx="952">
                  <c:v>1017.12580762709</c:v>
                </c:pt>
                <c:pt idx="953">
                  <c:v>1017.12580762709</c:v>
                </c:pt>
                <c:pt idx="954">
                  <c:v>1017.12580762709</c:v>
                </c:pt>
                <c:pt idx="955">
                  <c:v>1017.12580762709</c:v>
                </c:pt>
                <c:pt idx="956">
                  <c:v>1017.12580762709</c:v>
                </c:pt>
                <c:pt idx="957">
                  <c:v>1017.12580762709</c:v>
                </c:pt>
                <c:pt idx="958">
                  <c:v>1017.12580762709</c:v>
                </c:pt>
                <c:pt idx="959">
                  <c:v>1017.12580762709</c:v>
                </c:pt>
                <c:pt idx="960">
                  <c:v>1017.12580762709</c:v>
                </c:pt>
                <c:pt idx="961">
                  <c:v>1017.12580762709</c:v>
                </c:pt>
                <c:pt idx="962">
                  <c:v>1017.12580762709</c:v>
                </c:pt>
                <c:pt idx="963">
                  <c:v>1017.12580762709</c:v>
                </c:pt>
                <c:pt idx="964">
                  <c:v>1017.12580762709</c:v>
                </c:pt>
                <c:pt idx="965">
                  <c:v>1017.12580762709</c:v>
                </c:pt>
                <c:pt idx="966">
                  <c:v>1017.12580762709</c:v>
                </c:pt>
                <c:pt idx="967">
                  <c:v>1017.12580762709</c:v>
                </c:pt>
                <c:pt idx="968">
                  <c:v>1017.12580762709</c:v>
                </c:pt>
                <c:pt idx="969">
                  <c:v>1017.12580762709</c:v>
                </c:pt>
                <c:pt idx="970">
                  <c:v>1017.12580762709</c:v>
                </c:pt>
                <c:pt idx="971">
                  <c:v>1017.12580762709</c:v>
                </c:pt>
                <c:pt idx="972">
                  <c:v>1017.12580762709</c:v>
                </c:pt>
                <c:pt idx="973">
                  <c:v>1017.12580762709</c:v>
                </c:pt>
                <c:pt idx="974">
                  <c:v>1017.12580762709</c:v>
                </c:pt>
                <c:pt idx="975">
                  <c:v>1017.12580762709</c:v>
                </c:pt>
                <c:pt idx="976">
                  <c:v>1017.12580762709</c:v>
                </c:pt>
                <c:pt idx="977">
                  <c:v>1017.12580762709</c:v>
                </c:pt>
                <c:pt idx="978">
                  <c:v>1017.12580762709</c:v>
                </c:pt>
                <c:pt idx="979">
                  <c:v>1017.12580762709</c:v>
                </c:pt>
                <c:pt idx="980">
                  <c:v>1017.12580762709</c:v>
                </c:pt>
                <c:pt idx="981">
                  <c:v>1017.12580762709</c:v>
                </c:pt>
                <c:pt idx="982">
                  <c:v>1017.12580762709</c:v>
                </c:pt>
                <c:pt idx="983">
                  <c:v>1017.12580762709</c:v>
                </c:pt>
                <c:pt idx="984">
                  <c:v>1017.12580762709</c:v>
                </c:pt>
                <c:pt idx="985">
                  <c:v>1017.12580762709</c:v>
                </c:pt>
                <c:pt idx="986">
                  <c:v>1017.12580762709</c:v>
                </c:pt>
                <c:pt idx="987">
                  <c:v>1017.12580762709</c:v>
                </c:pt>
                <c:pt idx="988">
                  <c:v>1017.12580762709</c:v>
                </c:pt>
                <c:pt idx="989">
                  <c:v>1017.12580762709</c:v>
                </c:pt>
                <c:pt idx="990">
                  <c:v>1017.12580762709</c:v>
                </c:pt>
                <c:pt idx="991">
                  <c:v>1017.12580762709</c:v>
                </c:pt>
                <c:pt idx="992">
                  <c:v>1017.12580762709</c:v>
                </c:pt>
                <c:pt idx="993">
                  <c:v>1017.12580762709</c:v>
                </c:pt>
                <c:pt idx="994">
                  <c:v>1017.12580762709</c:v>
                </c:pt>
                <c:pt idx="995">
                  <c:v>1017.12580762709</c:v>
                </c:pt>
                <c:pt idx="996">
                  <c:v>1017.12580762709</c:v>
                </c:pt>
                <c:pt idx="997">
                  <c:v>1017.12580762709</c:v>
                </c:pt>
                <c:pt idx="998">
                  <c:v>1017.12580762709</c:v>
                </c:pt>
                <c:pt idx="999">
                  <c:v>1017.12580762709</c:v>
                </c:pt>
                <c:pt idx="1000">
                  <c:v>1017.12580762709</c:v>
                </c:pt>
              </c:numCache>
            </c:numRef>
          </c:yVal>
          <c:smooth val="0"/>
        </c:ser>
        <c:ser>
          <c:idx val="1"/>
          <c:order val="1"/>
          <c:tx>
            <c:strRef>
              <c:f>Courbes!$B$143</c:f>
              <c:strCache>
                <c:ptCount val="1"/>
                <c:pt idx="0">
                  <c:v>Altitude</c:v>
                </c:pt>
              </c:strCache>
            </c:strRef>
          </c:tx>
          <c:spPr>
            <a:solidFill>
              <a:srgbClr val="000080"/>
            </a:solidFill>
            <a:ln w="12600">
              <a:solidFill>
                <a:srgbClr val="00008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34.8000000000002</c:v>
                </c:pt>
                <c:pt idx="709">
                  <c:v>34.9000000000002</c:v>
                </c:pt>
                <c:pt idx="710">
                  <c:v>35.0000000000002</c:v>
                </c:pt>
                <c:pt idx="711">
                  <c:v>35.1000000000002</c:v>
                </c:pt>
                <c:pt idx="712">
                  <c:v>35.2000000000002</c:v>
                </c:pt>
                <c:pt idx="713">
                  <c:v>35.3000000000002</c:v>
                </c:pt>
                <c:pt idx="714">
                  <c:v>35.4000000000002</c:v>
                </c:pt>
                <c:pt idx="715">
                  <c:v>35.5000000000002</c:v>
                </c:pt>
                <c:pt idx="716">
                  <c:v>35.6000000000002</c:v>
                </c:pt>
                <c:pt idx="717">
                  <c:v>35.7000000000002</c:v>
                </c:pt>
                <c:pt idx="718">
                  <c:v>35.7001000000002</c:v>
                </c:pt>
                <c:pt idx="719">
                  <c:v>35.7002000000002</c:v>
                </c:pt>
                <c:pt idx="720">
                  <c:v>35.7003000000002</c:v>
                </c:pt>
                <c:pt idx="721">
                  <c:v>35.7004000000002</c:v>
                </c:pt>
                <c:pt idx="722">
                  <c:v>35.7005000000002</c:v>
                </c:pt>
                <c:pt idx="723">
                  <c:v>35.7006000000002</c:v>
                </c:pt>
                <c:pt idx="724">
                  <c:v>35.7007000000002</c:v>
                </c:pt>
                <c:pt idx="725">
                  <c:v>35.7008000000002</c:v>
                </c:pt>
                <c:pt idx="726">
                  <c:v>35.7009000000002</c:v>
                </c:pt>
                <c:pt idx="727">
                  <c:v>35.7010000000002</c:v>
                </c:pt>
                <c:pt idx="728">
                  <c:v>35.7011000000002</c:v>
                </c:pt>
                <c:pt idx="729">
                  <c:v>35.7012000000002</c:v>
                </c:pt>
                <c:pt idx="730">
                  <c:v>35.7013000000002</c:v>
                </c:pt>
                <c:pt idx="731">
                  <c:v>35.7014000000002</c:v>
                </c:pt>
                <c:pt idx="732">
                  <c:v>35.7015000000002</c:v>
                </c:pt>
                <c:pt idx="733">
                  <c:v>35.7016000000003</c:v>
                </c:pt>
                <c:pt idx="734">
                  <c:v>35.7017000000003</c:v>
                </c:pt>
                <c:pt idx="735">
                  <c:v>35.7018000000003</c:v>
                </c:pt>
                <c:pt idx="736">
                  <c:v>35.7019000000003</c:v>
                </c:pt>
                <c:pt idx="737">
                  <c:v>35.7020000000003</c:v>
                </c:pt>
                <c:pt idx="738">
                  <c:v>35.7021000000003</c:v>
                </c:pt>
                <c:pt idx="739">
                  <c:v>35.7022000000003</c:v>
                </c:pt>
                <c:pt idx="740">
                  <c:v>35.7023000000003</c:v>
                </c:pt>
                <c:pt idx="741">
                  <c:v>35.7024000000003</c:v>
                </c:pt>
                <c:pt idx="742">
                  <c:v>35.7025000000003</c:v>
                </c:pt>
                <c:pt idx="743">
                  <c:v>35.7026000000003</c:v>
                </c:pt>
                <c:pt idx="744">
                  <c:v>35.7027000000003</c:v>
                </c:pt>
                <c:pt idx="745">
                  <c:v>35.7028000000003</c:v>
                </c:pt>
                <c:pt idx="746">
                  <c:v>35.7029000000003</c:v>
                </c:pt>
                <c:pt idx="747">
                  <c:v>35.7030000000003</c:v>
                </c:pt>
                <c:pt idx="748">
                  <c:v>35.7031000000003</c:v>
                </c:pt>
                <c:pt idx="749">
                  <c:v>35.7032000000003</c:v>
                </c:pt>
                <c:pt idx="750">
                  <c:v>35.7033000000003</c:v>
                </c:pt>
                <c:pt idx="751">
                  <c:v>35.7034000000003</c:v>
                </c:pt>
                <c:pt idx="752">
                  <c:v>35.7035000000003</c:v>
                </c:pt>
                <c:pt idx="753">
                  <c:v>35.7036000000003</c:v>
                </c:pt>
                <c:pt idx="754">
                  <c:v>35.7037000000003</c:v>
                </c:pt>
                <c:pt idx="755">
                  <c:v>35.7038000000003</c:v>
                </c:pt>
                <c:pt idx="756">
                  <c:v>35.7039000000003</c:v>
                </c:pt>
                <c:pt idx="757">
                  <c:v>35.7040000000003</c:v>
                </c:pt>
                <c:pt idx="758">
                  <c:v>35.7041000000003</c:v>
                </c:pt>
                <c:pt idx="759">
                  <c:v>35.7042000000003</c:v>
                </c:pt>
                <c:pt idx="760">
                  <c:v>35.7043000000003</c:v>
                </c:pt>
                <c:pt idx="761">
                  <c:v>35.7044000000003</c:v>
                </c:pt>
                <c:pt idx="762">
                  <c:v>35.7045000000003</c:v>
                </c:pt>
                <c:pt idx="763">
                  <c:v>35.7046000000004</c:v>
                </c:pt>
                <c:pt idx="764">
                  <c:v>35.7047000000004</c:v>
                </c:pt>
                <c:pt idx="765">
                  <c:v>35.7048000000004</c:v>
                </c:pt>
                <c:pt idx="766">
                  <c:v>35.7049000000004</c:v>
                </c:pt>
                <c:pt idx="767">
                  <c:v>35.7050000000004</c:v>
                </c:pt>
                <c:pt idx="768">
                  <c:v>35.7051000000004</c:v>
                </c:pt>
                <c:pt idx="769">
                  <c:v>35.7052000000004</c:v>
                </c:pt>
                <c:pt idx="770">
                  <c:v>35.7053000000004</c:v>
                </c:pt>
                <c:pt idx="771">
                  <c:v>35.7054000000004</c:v>
                </c:pt>
                <c:pt idx="772">
                  <c:v>35.7055000000004</c:v>
                </c:pt>
                <c:pt idx="773">
                  <c:v>35.7056000000004</c:v>
                </c:pt>
                <c:pt idx="774">
                  <c:v>35.7057000000004</c:v>
                </c:pt>
                <c:pt idx="775">
                  <c:v>35.7058000000004</c:v>
                </c:pt>
                <c:pt idx="776">
                  <c:v>35.7059000000004</c:v>
                </c:pt>
                <c:pt idx="777">
                  <c:v>35.7060000000004</c:v>
                </c:pt>
                <c:pt idx="778">
                  <c:v>35.7061000000004</c:v>
                </c:pt>
                <c:pt idx="779">
                  <c:v>35.7062000000004</c:v>
                </c:pt>
                <c:pt idx="780">
                  <c:v>35.7063000000004</c:v>
                </c:pt>
                <c:pt idx="781">
                  <c:v>35.7064000000004</c:v>
                </c:pt>
                <c:pt idx="782">
                  <c:v>35.7065000000004</c:v>
                </c:pt>
                <c:pt idx="783">
                  <c:v>35.7066000000004</c:v>
                </c:pt>
                <c:pt idx="784">
                  <c:v>35.7067000000004</c:v>
                </c:pt>
                <c:pt idx="785">
                  <c:v>35.7068000000004</c:v>
                </c:pt>
                <c:pt idx="786">
                  <c:v>35.7069000000004</c:v>
                </c:pt>
                <c:pt idx="787">
                  <c:v>35.7070000000004</c:v>
                </c:pt>
                <c:pt idx="788">
                  <c:v>35.7071000000004</c:v>
                </c:pt>
                <c:pt idx="789">
                  <c:v>35.7072000000004</c:v>
                </c:pt>
                <c:pt idx="790">
                  <c:v>35.7073000000004</c:v>
                </c:pt>
                <c:pt idx="791">
                  <c:v>35.7074000000004</c:v>
                </c:pt>
                <c:pt idx="792">
                  <c:v>35.7075000000004</c:v>
                </c:pt>
                <c:pt idx="793">
                  <c:v>35.7076000000005</c:v>
                </c:pt>
                <c:pt idx="794">
                  <c:v>35.7077000000005</c:v>
                </c:pt>
                <c:pt idx="795">
                  <c:v>35.7078000000005</c:v>
                </c:pt>
                <c:pt idx="796">
                  <c:v>35.7079000000005</c:v>
                </c:pt>
                <c:pt idx="797">
                  <c:v>35.7080000000005</c:v>
                </c:pt>
                <c:pt idx="798">
                  <c:v>35.7081000000005</c:v>
                </c:pt>
                <c:pt idx="799">
                  <c:v>35.7082000000005</c:v>
                </c:pt>
                <c:pt idx="800">
                  <c:v>35.7083000000005</c:v>
                </c:pt>
                <c:pt idx="801">
                  <c:v>35.7084000000005</c:v>
                </c:pt>
                <c:pt idx="802">
                  <c:v>35.7085000000005</c:v>
                </c:pt>
                <c:pt idx="803">
                  <c:v>35.7086000000005</c:v>
                </c:pt>
                <c:pt idx="804">
                  <c:v>35.7087000000005</c:v>
                </c:pt>
                <c:pt idx="805">
                  <c:v>35.7088000000005</c:v>
                </c:pt>
                <c:pt idx="806">
                  <c:v>35.7089000000005</c:v>
                </c:pt>
                <c:pt idx="807">
                  <c:v>35.7090000000005</c:v>
                </c:pt>
                <c:pt idx="808">
                  <c:v>35.7091000000005</c:v>
                </c:pt>
                <c:pt idx="809">
                  <c:v>35.7092000000005</c:v>
                </c:pt>
                <c:pt idx="810">
                  <c:v>35.7093000000005</c:v>
                </c:pt>
                <c:pt idx="811">
                  <c:v>35.7094000000005</c:v>
                </c:pt>
                <c:pt idx="812">
                  <c:v>35.7095000000005</c:v>
                </c:pt>
                <c:pt idx="813">
                  <c:v>35.7096000000005</c:v>
                </c:pt>
                <c:pt idx="814">
                  <c:v>35.7097000000005</c:v>
                </c:pt>
                <c:pt idx="815">
                  <c:v>35.7098000000005</c:v>
                </c:pt>
                <c:pt idx="816">
                  <c:v>35.7099000000005</c:v>
                </c:pt>
                <c:pt idx="817">
                  <c:v>35.7100000000005</c:v>
                </c:pt>
                <c:pt idx="818">
                  <c:v>35.7101000000005</c:v>
                </c:pt>
                <c:pt idx="819">
                  <c:v>35.7102000000005</c:v>
                </c:pt>
                <c:pt idx="820">
                  <c:v>35.7103000000005</c:v>
                </c:pt>
                <c:pt idx="821">
                  <c:v>35.7104000000005</c:v>
                </c:pt>
                <c:pt idx="822">
                  <c:v>35.7105000000005</c:v>
                </c:pt>
                <c:pt idx="823">
                  <c:v>35.7106000000006</c:v>
                </c:pt>
                <c:pt idx="824">
                  <c:v>35.7107000000006</c:v>
                </c:pt>
                <c:pt idx="825">
                  <c:v>35.7108000000006</c:v>
                </c:pt>
                <c:pt idx="826">
                  <c:v>35.7109000000006</c:v>
                </c:pt>
                <c:pt idx="827">
                  <c:v>35.7110000000006</c:v>
                </c:pt>
                <c:pt idx="828">
                  <c:v>35.7111000000006</c:v>
                </c:pt>
                <c:pt idx="829">
                  <c:v>35.7112000000006</c:v>
                </c:pt>
                <c:pt idx="830">
                  <c:v>35.7113000000006</c:v>
                </c:pt>
                <c:pt idx="831">
                  <c:v>35.7114000000006</c:v>
                </c:pt>
                <c:pt idx="832">
                  <c:v>35.7115000000006</c:v>
                </c:pt>
                <c:pt idx="833">
                  <c:v>35.7116000000006</c:v>
                </c:pt>
                <c:pt idx="834">
                  <c:v>35.7117000000006</c:v>
                </c:pt>
                <c:pt idx="835">
                  <c:v>35.7118000000006</c:v>
                </c:pt>
                <c:pt idx="836">
                  <c:v>35.7119000000006</c:v>
                </c:pt>
                <c:pt idx="837">
                  <c:v>35.7120000000006</c:v>
                </c:pt>
                <c:pt idx="838">
                  <c:v>35.7121000000006</c:v>
                </c:pt>
                <c:pt idx="839">
                  <c:v>35.7122000000006</c:v>
                </c:pt>
                <c:pt idx="840">
                  <c:v>35.7123000000006</c:v>
                </c:pt>
                <c:pt idx="841">
                  <c:v>35.7124000000006</c:v>
                </c:pt>
                <c:pt idx="842">
                  <c:v>35.7125000000006</c:v>
                </c:pt>
                <c:pt idx="843">
                  <c:v>35.7126000000006</c:v>
                </c:pt>
                <c:pt idx="844">
                  <c:v>35.7127000000006</c:v>
                </c:pt>
                <c:pt idx="845">
                  <c:v>35.7128000000006</c:v>
                </c:pt>
                <c:pt idx="846">
                  <c:v>35.7129000000006</c:v>
                </c:pt>
                <c:pt idx="847">
                  <c:v>35.7130000000006</c:v>
                </c:pt>
                <c:pt idx="848">
                  <c:v>35.7131000000006</c:v>
                </c:pt>
                <c:pt idx="849">
                  <c:v>35.7132000000006</c:v>
                </c:pt>
                <c:pt idx="850">
                  <c:v>35.7133000000006</c:v>
                </c:pt>
                <c:pt idx="851">
                  <c:v>35.7134000000006</c:v>
                </c:pt>
                <c:pt idx="852">
                  <c:v>35.7135000000006</c:v>
                </c:pt>
                <c:pt idx="853">
                  <c:v>35.7136000000006</c:v>
                </c:pt>
                <c:pt idx="854">
                  <c:v>35.7137000000007</c:v>
                </c:pt>
                <c:pt idx="855">
                  <c:v>35.7138000000007</c:v>
                </c:pt>
                <c:pt idx="856">
                  <c:v>35.7139000000007</c:v>
                </c:pt>
                <c:pt idx="857">
                  <c:v>35.7140000000007</c:v>
                </c:pt>
                <c:pt idx="858">
                  <c:v>35.7141000000007</c:v>
                </c:pt>
                <c:pt idx="859">
                  <c:v>35.7142000000007</c:v>
                </c:pt>
                <c:pt idx="860">
                  <c:v>35.7143000000007</c:v>
                </c:pt>
                <c:pt idx="861">
                  <c:v>35.7144000000007</c:v>
                </c:pt>
                <c:pt idx="862">
                  <c:v>35.7145000000007</c:v>
                </c:pt>
                <c:pt idx="863">
                  <c:v>35.7146000000007</c:v>
                </c:pt>
                <c:pt idx="864">
                  <c:v>35.7147000000007</c:v>
                </c:pt>
                <c:pt idx="865">
                  <c:v>35.7148000000007</c:v>
                </c:pt>
                <c:pt idx="866">
                  <c:v>35.7149000000007</c:v>
                </c:pt>
                <c:pt idx="867">
                  <c:v>35.7150000000007</c:v>
                </c:pt>
                <c:pt idx="868">
                  <c:v>35.7151000000007</c:v>
                </c:pt>
                <c:pt idx="869">
                  <c:v>35.7152000000007</c:v>
                </c:pt>
                <c:pt idx="870">
                  <c:v>35.7153000000007</c:v>
                </c:pt>
                <c:pt idx="871">
                  <c:v>35.7154000000007</c:v>
                </c:pt>
                <c:pt idx="872">
                  <c:v>35.7155000000007</c:v>
                </c:pt>
                <c:pt idx="873">
                  <c:v>35.7156000000007</c:v>
                </c:pt>
                <c:pt idx="874">
                  <c:v>35.7157000000007</c:v>
                </c:pt>
                <c:pt idx="875">
                  <c:v>35.7158000000007</c:v>
                </c:pt>
                <c:pt idx="876">
                  <c:v>35.7159000000007</c:v>
                </c:pt>
                <c:pt idx="877">
                  <c:v>35.7160000000007</c:v>
                </c:pt>
                <c:pt idx="878">
                  <c:v>35.7161000000007</c:v>
                </c:pt>
                <c:pt idx="879">
                  <c:v>35.7162000000007</c:v>
                </c:pt>
                <c:pt idx="880">
                  <c:v>35.7163000000007</c:v>
                </c:pt>
                <c:pt idx="881">
                  <c:v>35.7164000000007</c:v>
                </c:pt>
                <c:pt idx="882">
                  <c:v>35.7165000000007</c:v>
                </c:pt>
                <c:pt idx="883">
                  <c:v>35.7166000000007</c:v>
                </c:pt>
                <c:pt idx="884">
                  <c:v>35.7167000000008</c:v>
                </c:pt>
                <c:pt idx="885">
                  <c:v>35.7168000000008</c:v>
                </c:pt>
                <c:pt idx="886">
                  <c:v>35.7169000000008</c:v>
                </c:pt>
                <c:pt idx="887">
                  <c:v>35.7170000000008</c:v>
                </c:pt>
                <c:pt idx="888">
                  <c:v>35.7171000000008</c:v>
                </c:pt>
                <c:pt idx="889">
                  <c:v>35.7172000000008</c:v>
                </c:pt>
                <c:pt idx="890">
                  <c:v>35.7173000000008</c:v>
                </c:pt>
                <c:pt idx="891">
                  <c:v>35.7174000000008</c:v>
                </c:pt>
                <c:pt idx="892">
                  <c:v>35.7175000000008</c:v>
                </c:pt>
                <c:pt idx="893">
                  <c:v>35.7176000000008</c:v>
                </c:pt>
                <c:pt idx="894">
                  <c:v>35.7177000000008</c:v>
                </c:pt>
                <c:pt idx="895">
                  <c:v>35.7178000000008</c:v>
                </c:pt>
                <c:pt idx="896">
                  <c:v>35.7179000000008</c:v>
                </c:pt>
                <c:pt idx="897">
                  <c:v>35.7180000000008</c:v>
                </c:pt>
                <c:pt idx="898">
                  <c:v>35.7181000000008</c:v>
                </c:pt>
                <c:pt idx="899">
                  <c:v>35.7182000000008</c:v>
                </c:pt>
                <c:pt idx="900">
                  <c:v>35.7183000000008</c:v>
                </c:pt>
                <c:pt idx="901">
                  <c:v>35.7184000000008</c:v>
                </c:pt>
                <c:pt idx="902">
                  <c:v>35.7185000000008</c:v>
                </c:pt>
                <c:pt idx="903">
                  <c:v>35.7186000000008</c:v>
                </c:pt>
                <c:pt idx="904">
                  <c:v>35.7187000000008</c:v>
                </c:pt>
                <c:pt idx="905">
                  <c:v>35.7188000000008</c:v>
                </c:pt>
                <c:pt idx="906">
                  <c:v>35.7189000000008</c:v>
                </c:pt>
                <c:pt idx="907">
                  <c:v>35.7190000000008</c:v>
                </c:pt>
                <c:pt idx="908">
                  <c:v>35.7191000000008</c:v>
                </c:pt>
                <c:pt idx="909">
                  <c:v>35.7192000000008</c:v>
                </c:pt>
                <c:pt idx="910">
                  <c:v>35.7193000000008</c:v>
                </c:pt>
                <c:pt idx="911">
                  <c:v>35.7194000000008</c:v>
                </c:pt>
                <c:pt idx="912">
                  <c:v>35.7195000000008</c:v>
                </c:pt>
                <c:pt idx="913">
                  <c:v>35.7196000000008</c:v>
                </c:pt>
                <c:pt idx="914">
                  <c:v>35.7197000000009</c:v>
                </c:pt>
                <c:pt idx="915">
                  <c:v>35.7198000000009</c:v>
                </c:pt>
                <c:pt idx="916">
                  <c:v>35.7199000000009</c:v>
                </c:pt>
                <c:pt idx="917">
                  <c:v>35.7200000000009</c:v>
                </c:pt>
                <c:pt idx="918">
                  <c:v>35.7201000000009</c:v>
                </c:pt>
                <c:pt idx="919">
                  <c:v>35.7202000000009</c:v>
                </c:pt>
                <c:pt idx="920">
                  <c:v>35.7203000000009</c:v>
                </c:pt>
                <c:pt idx="921">
                  <c:v>35.7204000000009</c:v>
                </c:pt>
                <c:pt idx="922">
                  <c:v>35.7205000000009</c:v>
                </c:pt>
                <c:pt idx="923">
                  <c:v>35.7206000000009</c:v>
                </c:pt>
                <c:pt idx="924">
                  <c:v>35.7207000000009</c:v>
                </c:pt>
                <c:pt idx="925">
                  <c:v>35.7208000000009</c:v>
                </c:pt>
                <c:pt idx="926">
                  <c:v>35.7209000000009</c:v>
                </c:pt>
                <c:pt idx="927">
                  <c:v>35.7210000000009</c:v>
                </c:pt>
                <c:pt idx="928">
                  <c:v>35.7211000000009</c:v>
                </c:pt>
                <c:pt idx="929">
                  <c:v>35.7212000000009</c:v>
                </c:pt>
                <c:pt idx="930">
                  <c:v>35.7213000000009</c:v>
                </c:pt>
                <c:pt idx="931">
                  <c:v>35.7214000000009</c:v>
                </c:pt>
                <c:pt idx="932">
                  <c:v>35.7215000000009</c:v>
                </c:pt>
                <c:pt idx="933">
                  <c:v>35.7216000000009</c:v>
                </c:pt>
                <c:pt idx="934">
                  <c:v>35.7217000000009</c:v>
                </c:pt>
                <c:pt idx="935">
                  <c:v>35.7218000000009</c:v>
                </c:pt>
                <c:pt idx="936">
                  <c:v>35.7219000000009</c:v>
                </c:pt>
                <c:pt idx="937">
                  <c:v>35.7220000000009</c:v>
                </c:pt>
                <c:pt idx="938">
                  <c:v>35.7221000000009</c:v>
                </c:pt>
                <c:pt idx="939">
                  <c:v>35.7222000000009</c:v>
                </c:pt>
                <c:pt idx="940">
                  <c:v>35.7223000000009</c:v>
                </c:pt>
                <c:pt idx="941">
                  <c:v>35.7224000000009</c:v>
                </c:pt>
                <c:pt idx="942">
                  <c:v>35.7225000000009</c:v>
                </c:pt>
                <c:pt idx="943">
                  <c:v>35.7226000000009</c:v>
                </c:pt>
                <c:pt idx="944">
                  <c:v>35.722700000001</c:v>
                </c:pt>
                <c:pt idx="945">
                  <c:v>35.722800000001</c:v>
                </c:pt>
                <c:pt idx="946">
                  <c:v>35.722900000001</c:v>
                </c:pt>
                <c:pt idx="947">
                  <c:v>35.723000000001</c:v>
                </c:pt>
                <c:pt idx="948">
                  <c:v>35.723100000001</c:v>
                </c:pt>
                <c:pt idx="949">
                  <c:v>35.723200000001</c:v>
                </c:pt>
                <c:pt idx="950">
                  <c:v>35.723300000001</c:v>
                </c:pt>
                <c:pt idx="951">
                  <c:v>35.723400000001</c:v>
                </c:pt>
                <c:pt idx="952">
                  <c:v>35.723500000001</c:v>
                </c:pt>
                <c:pt idx="953">
                  <c:v>35.723600000001</c:v>
                </c:pt>
                <c:pt idx="954">
                  <c:v>35.723700000001</c:v>
                </c:pt>
                <c:pt idx="955">
                  <c:v>35.723800000001</c:v>
                </c:pt>
                <c:pt idx="956">
                  <c:v>35.723900000001</c:v>
                </c:pt>
                <c:pt idx="957">
                  <c:v>35.724000000001</c:v>
                </c:pt>
                <c:pt idx="958">
                  <c:v>35.724100000001</c:v>
                </c:pt>
                <c:pt idx="959">
                  <c:v>35.724200000001</c:v>
                </c:pt>
                <c:pt idx="960">
                  <c:v>35.724300000001</c:v>
                </c:pt>
                <c:pt idx="961">
                  <c:v>35.724400000001</c:v>
                </c:pt>
                <c:pt idx="962">
                  <c:v>35.724500000001</c:v>
                </c:pt>
                <c:pt idx="963">
                  <c:v>35.724600000001</c:v>
                </c:pt>
                <c:pt idx="964">
                  <c:v>35.724700000001</c:v>
                </c:pt>
                <c:pt idx="965">
                  <c:v>35.724800000001</c:v>
                </c:pt>
                <c:pt idx="966">
                  <c:v>35.724900000001</c:v>
                </c:pt>
                <c:pt idx="967">
                  <c:v>35.725000000001</c:v>
                </c:pt>
                <c:pt idx="968">
                  <c:v>35.725100000001</c:v>
                </c:pt>
                <c:pt idx="969">
                  <c:v>35.725200000001</c:v>
                </c:pt>
                <c:pt idx="970">
                  <c:v>35.725300000001</c:v>
                </c:pt>
                <c:pt idx="971">
                  <c:v>35.725400000001</c:v>
                </c:pt>
                <c:pt idx="972">
                  <c:v>35.725500000001</c:v>
                </c:pt>
                <c:pt idx="973">
                  <c:v>35.725600000001</c:v>
                </c:pt>
                <c:pt idx="974">
                  <c:v>35.7257000000011</c:v>
                </c:pt>
                <c:pt idx="975">
                  <c:v>35.7258000000011</c:v>
                </c:pt>
                <c:pt idx="976">
                  <c:v>35.7259000000011</c:v>
                </c:pt>
                <c:pt idx="977">
                  <c:v>35.7260000000011</c:v>
                </c:pt>
                <c:pt idx="978">
                  <c:v>35.7261000000011</c:v>
                </c:pt>
                <c:pt idx="979">
                  <c:v>35.7262000000011</c:v>
                </c:pt>
                <c:pt idx="980">
                  <c:v>35.7263000000011</c:v>
                </c:pt>
                <c:pt idx="981">
                  <c:v>35.7264000000011</c:v>
                </c:pt>
                <c:pt idx="982">
                  <c:v>35.7265000000011</c:v>
                </c:pt>
                <c:pt idx="983">
                  <c:v>35.7266000000011</c:v>
                </c:pt>
                <c:pt idx="984">
                  <c:v>35.7267000000011</c:v>
                </c:pt>
                <c:pt idx="985">
                  <c:v>35.7268000000011</c:v>
                </c:pt>
                <c:pt idx="986">
                  <c:v>35.7269000000011</c:v>
                </c:pt>
                <c:pt idx="987">
                  <c:v>35.7270000000011</c:v>
                </c:pt>
                <c:pt idx="988">
                  <c:v>35.7271000000011</c:v>
                </c:pt>
                <c:pt idx="989">
                  <c:v>35.7272000000011</c:v>
                </c:pt>
                <c:pt idx="990">
                  <c:v>35.7273000000011</c:v>
                </c:pt>
                <c:pt idx="991">
                  <c:v>35.7274000000011</c:v>
                </c:pt>
                <c:pt idx="992">
                  <c:v>35.7275000000011</c:v>
                </c:pt>
                <c:pt idx="993">
                  <c:v>35.7276000000011</c:v>
                </c:pt>
                <c:pt idx="994">
                  <c:v>35.7277000000011</c:v>
                </c:pt>
                <c:pt idx="995">
                  <c:v>35.7278000000011</c:v>
                </c:pt>
                <c:pt idx="996">
                  <c:v>35.7279000000011</c:v>
                </c:pt>
                <c:pt idx="997">
                  <c:v>35.7280000000011</c:v>
                </c:pt>
                <c:pt idx="998">
                  <c:v>35.7281000000011</c:v>
                </c:pt>
                <c:pt idx="999">
                  <c:v>35.7282000000011</c:v>
                </c:pt>
                <c:pt idx="1000">
                  <c:v>35.7283000000011</c:v>
                </c:pt>
              </c:numCache>
            </c:numRef>
          </c:xVal>
          <c:yVal>
            <c:numRef>
              <c:f>Calculs!$K$4:$K$1004</c:f>
              <c:numCache>
                <c:formatCode>General</c:formatCode>
                <c:ptCount val="1001"/>
                <c:pt idx="0">
                  <c:v>0</c:v>
                </c:pt>
                <c:pt idx="1">
                  <c:v>0</c:v>
                </c:pt>
                <c:pt idx="2">
                  <c:v>0.000886599299514683</c:v>
                </c:pt>
                <c:pt idx="3">
                  <c:v>0.00445512822990102</c:v>
                </c:pt>
                <c:pt idx="4">
                  <c:v>0.0125237609457696</c:v>
                </c:pt>
                <c:pt idx="5">
                  <c:v>0.0269123436636311</c:v>
                </c:pt>
                <c:pt idx="6">
                  <c:v>0.0489825233463651</c:v>
                </c:pt>
                <c:pt idx="7">
                  <c:v>0.0791768355144557</c:v>
                </c:pt>
                <c:pt idx="8">
                  <c:v>0.117477831691603</c:v>
                </c:pt>
                <c:pt idx="9">
                  <c:v>0.163867999950866</c:v>
                </c:pt>
                <c:pt idx="10">
                  <c:v>0.218329765130187</c:v>
                </c:pt>
                <c:pt idx="11">
                  <c:v>0.28084548904954</c:v>
                </c:pt>
                <c:pt idx="12">
                  <c:v>0.351397470729712</c:v>
                </c:pt>
                <c:pt idx="13">
                  <c:v>0.429967946612676</c:v>
                </c:pt>
                <c:pt idx="14">
                  <c:v>0.516539090783578</c:v>
                </c:pt>
                <c:pt idx="15">
                  <c:v>0.61109301519429</c:v>
                </c:pt>
                <c:pt idx="16">
                  <c:v>0.713611769888542</c:v>
                </c:pt>
                <c:pt idx="17">
                  <c:v>0.824077343228604</c:v>
                </c:pt>
                <c:pt idx="18">
                  <c:v>0.942471662123513</c:v>
                </c:pt>
                <c:pt idx="19">
                  <c:v>1.06877659225883</c:v>
                </c:pt>
                <c:pt idx="20">
                  <c:v>1.20297393832791</c:v>
                </c:pt>
                <c:pt idx="21">
                  <c:v>1.34504544426469</c:v>
                </c:pt>
                <c:pt idx="22">
                  <c:v>1.4949727934779</c:v>
                </c:pt>
                <c:pt idx="23">
                  <c:v>1.65273760908688</c:v>
                </c:pt>
                <c:pt idx="24">
                  <c:v>1.81832145415871</c:v>
                </c:pt>
                <c:pt idx="25">
                  <c:v>1.99170583194687</c:v>
                </c:pt>
                <c:pt idx="26">
                  <c:v>2.17287218613136</c:v>
                </c:pt>
                <c:pt idx="27">
                  <c:v>2.36180190106013</c:v>
                </c:pt>
                <c:pt idx="28">
                  <c:v>2.55847630199202</c:v>
                </c:pt>
                <c:pt idx="29">
                  <c:v>2.76287665534105</c:v>
                </c:pt>
                <c:pt idx="30">
                  <c:v>2.97498416892209</c:v>
                </c:pt>
                <c:pt idx="31">
                  <c:v>3.19477999219785</c:v>
                </c:pt>
                <c:pt idx="32">
                  <c:v>3.42224521652733</c:v>
                </c:pt>
                <c:pt idx="33">
                  <c:v>3.65736087541546</c:v>
                </c:pt>
                <c:pt idx="34">
                  <c:v>3.90010794476418</c:v>
                </c:pt>
                <c:pt idx="35">
                  <c:v>4.15046734312471</c:v>
                </c:pt>
                <c:pt idx="36">
                  <c:v>4.40840513511947</c:v>
                </c:pt>
                <c:pt idx="37">
                  <c:v>4.67388685351736</c:v>
                </c:pt>
                <c:pt idx="38">
                  <c:v>4.94689230160397</c:v>
                </c:pt>
                <c:pt idx="39">
                  <c:v>5.22740124334607</c:v>
                </c:pt>
                <c:pt idx="40">
                  <c:v>5.51539340956389</c:v>
                </c:pt>
                <c:pt idx="41">
                  <c:v>5.8108484971669</c:v>
                </c:pt>
                <c:pt idx="42">
                  <c:v>6.11374616846535</c:v>
                </c:pt>
                <c:pt idx="43">
                  <c:v>6.42406605055037</c:v>
                </c:pt>
                <c:pt idx="44">
                  <c:v>6.7417877347362</c:v>
                </c:pt>
                <c:pt idx="45">
                  <c:v>7.06689077605901</c:v>
                </c:pt>
                <c:pt idx="46">
                  <c:v>7.39935469282721</c:v>
                </c:pt>
                <c:pt idx="47">
                  <c:v>7.73915896621884</c:v>
                </c:pt>
                <c:pt idx="48">
                  <c:v>8.08628303992209</c:v>
                </c:pt>
                <c:pt idx="49">
                  <c:v>8.44070631981545</c:v>
                </c:pt>
                <c:pt idx="50">
                  <c:v>8.80240817368416</c:v>
                </c:pt>
                <c:pt idx="51">
                  <c:v>9.17137034682917</c:v>
                </c:pt>
                <c:pt idx="52">
                  <c:v>9.54757938061544</c:v>
                </c:pt>
                <c:pt idx="53">
                  <c:v>9.93102420059173</c:v>
                </c:pt>
                <c:pt idx="54">
                  <c:v>10.321693701672</c:v>
                </c:pt>
                <c:pt idx="55">
                  <c:v>10.7195767478822</c:v>
                </c:pt>
                <c:pt idx="56">
                  <c:v>11.1246621721265</c:v>
                </c:pt>
                <c:pt idx="57">
                  <c:v>11.5369387759725</c:v>
                </c:pt>
                <c:pt idx="58">
                  <c:v>11.9563953294543</c:v>
                </c:pt>
                <c:pt idx="59">
                  <c:v>12.3830205708915</c:v>
                </c:pt>
                <c:pt idx="60">
                  <c:v>12.816803206723</c:v>
                </c:pt>
                <c:pt idx="61">
                  <c:v>13.2577319113566</c:v>
                </c:pt>
                <c:pt idx="62">
                  <c:v>13.7057953270311</c:v>
                </c:pt>
                <c:pt idx="63">
                  <c:v>14.1609820636909</c:v>
                </c:pt>
                <c:pt idx="64">
                  <c:v>14.623280698874</c:v>
                </c:pt>
                <c:pt idx="65">
                  <c:v>15.0926797776097</c:v>
                </c:pt>
                <c:pt idx="66">
                  <c:v>15.569167812328</c:v>
                </c:pt>
                <c:pt idx="67">
                  <c:v>16.0527332827793</c:v>
                </c:pt>
                <c:pt idx="68">
                  <c:v>16.5433646359626</c:v>
                </c:pt>
                <c:pt idx="69">
                  <c:v>17.0410502860639</c:v>
                </c:pt>
                <c:pt idx="70">
                  <c:v>17.545778614403</c:v>
                </c:pt>
                <c:pt idx="71">
                  <c:v>18.0575379693877</c:v>
                </c:pt>
                <c:pt idx="72">
                  <c:v>18.576316666477</c:v>
                </c:pt>
                <c:pt idx="73">
                  <c:v>19.1021029881506</c:v>
                </c:pt>
                <c:pt idx="74">
                  <c:v>19.6348851838865</c:v>
                </c:pt>
                <c:pt idx="75">
                  <c:v>20.1746514701443</c:v>
                </c:pt>
                <c:pt idx="76">
                  <c:v>20.7213900303556</c:v>
                </c:pt>
                <c:pt idx="77">
                  <c:v>21.2750890149206</c:v>
                </c:pt>
                <c:pt idx="78">
                  <c:v>21.8357365412097</c:v>
                </c:pt>
                <c:pt idx="79">
                  <c:v>22.4033206935719</c:v>
                </c:pt>
                <c:pt idx="80">
                  <c:v>22.9778295233478</c:v>
                </c:pt>
                <c:pt idx="81">
                  <c:v>23.5592510488876</c:v>
                </c:pt>
                <c:pt idx="82">
                  <c:v>24.1475732555747</c:v>
                </c:pt>
                <c:pt idx="83">
                  <c:v>24.7427840958536</c:v>
                </c:pt>
                <c:pt idx="84">
                  <c:v>25.3448714892622</c:v>
                </c:pt>
                <c:pt idx="85">
                  <c:v>25.9538233224689</c:v>
                </c:pt>
                <c:pt idx="86">
                  <c:v>26.5696274493133</c:v>
                </c:pt>
                <c:pt idx="87">
                  <c:v>27.1922716908518</c:v>
                </c:pt>
                <c:pt idx="88">
                  <c:v>27.821743835406</c:v>
                </c:pt>
                <c:pt idx="89">
                  <c:v>28.4580316386156</c:v>
                </c:pt>
                <c:pt idx="90">
                  <c:v>29.1011228234948</c:v>
                </c:pt>
                <c:pt idx="91">
                  <c:v>29.7510050804919</c:v>
                </c:pt>
                <c:pt idx="92">
                  <c:v>30.4076660675523</c:v>
                </c:pt>
                <c:pt idx="93">
                  <c:v>31.0710934101852</c:v>
                </c:pt>
                <c:pt idx="94">
                  <c:v>31.7412747015326</c:v>
                </c:pt>
                <c:pt idx="95">
                  <c:v>32.418197502442</c:v>
                </c:pt>
                <c:pt idx="96">
                  <c:v>33.1018493415417</c:v>
                </c:pt>
                <c:pt idx="97">
                  <c:v>33.7922177153192</c:v>
                </c:pt>
                <c:pt idx="98">
                  <c:v>34.4892900882017</c:v>
                </c:pt>
                <c:pt idx="99">
                  <c:v>35.19305389264</c:v>
                </c:pt>
                <c:pt idx="100">
                  <c:v>35.9034965291947</c:v>
                </c:pt>
                <c:pt idx="101">
                  <c:v>36.6206042580729</c:v>
                </c:pt>
                <c:pt idx="102">
                  <c:v>37.3443610895686</c:v>
                </c:pt>
                <c:pt idx="103">
                  <c:v>38.0747498912897</c:v>
                </c:pt>
                <c:pt idx="104">
                  <c:v>38.8117534965204</c:v>
                </c:pt>
                <c:pt idx="105">
                  <c:v>39.5553547043826</c:v>
                </c:pt>
                <c:pt idx="106">
                  <c:v>40.3055362799993</c:v>
                </c:pt>
                <c:pt idx="107">
                  <c:v>41.0622809546605</c:v>
                </c:pt>
                <c:pt idx="108">
                  <c:v>41.825571425991</c:v>
                </c:pt>
                <c:pt idx="109">
                  <c:v>42.5953903581207</c:v>
                </c:pt>
                <c:pt idx="110">
                  <c:v>43.3717203818559</c:v>
                </c:pt>
                <c:pt idx="111">
                  <c:v>44.1545440948537</c:v>
                </c:pt>
                <c:pt idx="112">
                  <c:v>44.9438440617979</c:v>
                </c:pt>
                <c:pt idx="113">
                  <c:v>45.7396028145756</c:v>
                </c:pt>
                <c:pt idx="114">
                  <c:v>46.5418028524577</c:v>
                </c:pt>
                <c:pt idx="115">
                  <c:v>47.3504266422788</c:v>
                </c:pt>
                <c:pt idx="116">
                  <c:v>48.1654566186204</c:v>
                </c:pt>
                <c:pt idx="117">
                  <c:v>48.9868751839951</c:v>
                </c:pt>
                <c:pt idx="118">
                  <c:v>49.8146647090317</c:v>
                </c:pt>
                <c:pt idx="119">
                  <c:v>50.6488075326633</c:v>
                </c:pt>
                <c:pt idx="120">
                  <c:v>51.4892859623152</c:v>
                </c:pt>
                <c:pt idx="121">
                  <c:v>52.3360822740953</c:v>
                </c:pt>
                <c:pt idx="122">
                  <c:v>53.1891787129853</c:v>
                </c:pt>
                <c:pt idx="123">
                  <c:v>54.0485574930335</c:v>
                </c:pt>
                <c:pt idx="124">
                  <c:v>54.9142007975487</c:v>
                </c:pt>
                <c:pt idx="125">
                  <c:v>55.7860907792954</c:v>
                </c:pt>
                <c:pt idx="126">
                  <c:v>56.6642095606902</c:v>
                </c:pt>
                <c:pt idx="127">
                  <c:v>57.5485392339992</c:v>
                </c:pt>
                <c:pt idx="128">
                  <c:v>58.4390618615367</c:v>
                </c:pt>
                <c:pt idx="129">
                  <c:v>59.3357594758647</c:v>
                </c:pt>
                <c:pt idx="130">
                  <c:v>60.2386140799942</c:v>
                </c:pt>
                <c:pt idx="131">
                  <c:v>61.1476076475863</c:v>
                </c:pt>
                <c:pt idx="132">
                  <c:v>62.0627221231552</c:v>
                </c:pt>
                <c:pt idx="133">
                  <c:v>62.9839394222718</c:v>
                </c:pt>
                <c:pt idx="134">
                  <c:v>63.9112414317686</c:v>
                </c:pt>
                <c:pt idx="135">
                  <c:v>64.8446100099444</c:v>
                </c:pt>
                <c:pt idx="136">
                  <c:v>65.7840269867716</c:v>
                </c:pt>
                <c:pt idx="137">
                  <c:v>66.7294741641023</c:v>
                </c:pt>
                <c:pt idx="138">
                  <c:v>67.6809333158771</c:v>
                </c:pt>
                <c:pt idx="139">
                  <c:v>68.6383861883332</c:v>
                </c:pt>
                <c:pt idx="140">
                  <c:v>69.601814500214</c:v>
                </c:pt>
                <c:pt idx="141">
                  <c:v>70.5711999429793</c:v>
                </c:pt>
                <c:pt idx="142">
                  <c:v>71.5465241810161</c:v>
                </c:pt>
                <c:pt idx="143">
                  <c:v>72.5277688518498</c:v>
                </c:pt>
                <c:pt idx="144">
                  <c:v>73.5149155663568</c:v>
                </c:pt>
                <c:pt idx="145">
                  <c:v>74.5079459089767</c:v>
                </c:pt>
                <c:pt idx="146">
                  <c:v>75.506841437926</c:v>
                </c:pt>
                <c:pt idx="147">
                  <c:v>76.5115836854117</c:v>
                </c:pt>
                <c:pt idx="148">
                  <c:v>77.5221541578458</c:v>
                </c:pt>
                <c:pt idx="149">
                  <c:v>78.5385343360602</c:v>
                </c:pt>
                <c:pt idx="150">
                  <c:v>79.5607056755223</c:v>
                </c:pt>
                <c:pt idx="151">
                  <c:v>80.5886499822593</c:v>
                </c:pt>
                <c:pt idx="152">
                  <c:v>81.6223497890387</c:v>
                </c:pt>
                <c:pt idx="153">
                  <c:v>82.6617879801364</c:v>
                </c:pt>
                <c:pt idx="154">
                  <c:v>83.7069474158421</c:v>
                </c:pt>
                <c:pt idx="155">
                  <c:v>84.7578109326538</c:v>
                </c:pt>
                <c:pt idx="156">
                  <c:v>85.8143613434748</c:v>
                </c:pt>
                <c:pt idx="157">
                  <c:v>86.876581437809</c:v>
                </c:pt>
                <c:pt idx="158">
                  <c:v>87.9444539819586</c:v>
                </c:pt>
                <c:pt idx="159">
                  <c:v>89.0179617192205</c:v>
                </c:pt>
                <c:pt idx="160">
                  <c:v>90.0970873700843</c:v>
                </c:pt>
                <c:pt idx="161">
                  <c:v>91.1818136324295</c:v>
                </c:pt>
                <c:pt idx="162">
                  <c:v>92.2721231817242</c:v>
                </c:pt>
                <c:pt idx="163">
                  <c:v>93.3679986712229</c:v>
                </c:pt>
                <c:pt idx="164">
                  <c:v>94.4694227321655</c:v>
                </c:pt>
                <c:pt idx="165">
                  <c:v>95.5763779739763</c:v>
                </c:pt>
                <c:pt idx="166">
                  <c:v>96.6888469844628</c:v>
                </c:pt>
                <c:pt idx="167">
                  <c:v>97.8068123300154</c:v>
                </c:pt>
                <c:pt idx="168">
                  <c:v>98.9302565558071</c:v>
                </c:pt>
                <c:pt idx="169">
                  <c:v>100.059162185993</c:v>
                </c:pt>
                <c:pt idx="170">
                  <c:v>101.19351172391</c:v>
                </c:pt>
                <c:pt idx="171">
                  <c:v>102.333287652279</c:v>
                </c:pt>
                <c:pt idx="172">
                  <c:v>103.478472433402</c:v>
                </c:pt>
                <c:pt idx="173">
                  <c:v>104.629048509364</c:v>
                </c:pt>
                <c:pt idx="174">
                  <c:v>105.784998302236</c:v>
                </c:pt>
                <c:pt idx="175">
                  <c:v>106.946304214273</c:v>
                </c:pt>
                <c:pt idx="176">
                  <c:v>108.112948628113</c:v>
                </c:pt>
                <c:pt idx="177">
                  <c:v>109.284913906984</c:v>
                </c:pt>
                <c:pt idx="178">
                  <c:v>110.4621823949</c:v>
                </c:pt>
                <c:pt idx="179">
                  <c:v>111.644736416862</c:v>
                </c:pt>
                <c:pt idx="180">
                  <c:v>112.832558279062</c:v>
                </c:pt>
                <c:pt idx="181">
                  <c:v>114.025630269084</c:v>
                </c:pt>
                <c:pt idx="182">
                  <c:v>115.223934656101</c:v>
                </c:pt>
                <c:pt idx="183">
                  <c:v>116.427453691083</c:v>
                </c:pt>
                <c:pt idx="184">
                  <c:v>117.636169606991</c:v>
                </c:pt>
                <c:pt idx="185">
                  <c:v>118.850064618984</c:v>
                </c:pt>
                <c:pt idx="186">
                  <c:v>120.069120924616</c:v>
                </c:pt>
                <c:pt idx="187">
                  <c:v>121.29332070404</c:v>
                </c:pt>
                <c:pt idx="188">
                  <c:v>122.522646120209</c:v>
                </c:pt>
                <c:pt idx="189">
                  <c:v>123.757079319074</c:v>
                </c:pt>
                <c:pt idx="190">
                  <c:v>124.996602429788</c:v>
                </c:pt>
                <c:pt idx="191">
                  <c:v>126.241197564907</c:v>
                </c:pt>
                <c:pt idx="192">
                  <c:v>127.490846820588</c:v>
                </c:pt>
                <c:pt idx="193">
                  <c:v>128.745532276794</c:v>
                </c:pt>
                <c:pt idx="194">
                  <c:v>130.00523599749</c:v>
                </c:pt>
                <c:pt idx="195">
                  <c:v>131.269940030847</c:v>
                </c:pt>
                <c:pt idx="196">
                  <c:v>132.53962640944</c:v>
                </c:pt>
                <c:pt idx="197">
                  <c:v>133.814277150449</c:v>
                </c:pt>
                <c:pt idx="198">
                  <c:v>135.093874255861</c:v>
                </c:pt>
                <c:pt idx="199">
                  <c:v>136.378399712667</c:v>
                </c:pt>
                <c:pt idx="200">
                  <c:v>137.667835493061</c:v>
                </c:pt>
                <c:pt idx="201">
                  <c:v>138.962163554646</c:v>
                </c:pt>
                <c:pt idx="202">
                  <c:v>140.261365840624</c:v>
                </c:pt>
                <c:pt idx="203">
                  <c:v>141.565424280003</c:v>
                </c:pt>
                <c:pt idx="204">
                  <c:v>142.87432078779</c:v>
                </c:pt>
                <c:pt idx="205">
                  <c:v>144.188037265196</c:v>
                </c:pt>
                <c:pt idx="206">
                  <c:v>145.506555599828</c:v>
                </c:pt>
                <c:pt idx="207">
                  <c:v>146.829857665891</c:v>
                </c:pt>
                <c:pt idx="208">
                  <c:v>148.157925324385</c:v>
                </c:pt>
                <c:pt idx="209">
                  <c:v>149.490740423305</c:v>
                </c:pt>
                <c:pt idx="210">
                  <c:v>150.828284797831</c:v>
                </c:pt>
                <c:pt idx="211">
                  <c:v>152.170540270537</c:v>
                </c:pt>
                <c:pt idx="212">
                  <c:v>153.517488651576</c:v>
                </c:pt>
                <c:pt idx="213">
                  <c:v>154.869111738885</c:v>
                </c:pt>
                <c:pt idx="214">
                  <c:v>156.225391318377</c:v>
                </c:pt>
                <c:pt idx="215">
                  <c:v>157.586309164138</c:v>
                </c:pt>
                <c:pt idx="216">
                  <c:v>158.951847038622</c:v>
                </c:pt>
                <c:pt idx="217">
                  <c:v>160.32198669285</c:v>
                </c:pt>
                <c:pt idx="218">
                  <c:v>161.696709866598</c:v>
                </c:pt>
                <c:pt idx="219">
                  <c:v>163.075998288599</c:v>
                </c:pt>
                <c:pt idx="220">
                  <c:v>164.459833676732</c:v>
                </c:pt>
                <c:pt idx="221">
                  <c:v>165.848197738218</c:v>
                </c:pt>
                <c:pt idx="222">
                  <c:v>167.241072169814</c:v>
                </c:pt>
                <c:pt idx="223">
                  <c:v>168.638438658005</c:v>
                </c:pt>
                <c:pt idx="224">
                  <c:v>170.040278879197</c:v>
                </c:pt>
                <c:pt idx="225">
                  <c:v>171.446574499911</c:v>
                </c:pt>
                <c:pt idx="226">
                  <c:v>172.857307176971</c:v>
                </c:pt>
                <c:pt idx="227">
                  <c:v>174.272458557701</c:v>
                </c:pt>
                <c:pt idx="228">
                  <c:v>175.692010280111</c:v>
                </c:pt>
                <c:pt idx="229">
                  <c:v>177.115943973092</c:v>
                </c:pt>
                <c:pt idx="230">
                  <c:v>178.544241256601</c:v>
                </c:pt>
                <c:pt idx="231">
                  <c:v>179.976883741859</c:v>
                </c:pt>
                <c:pt idx="232">
                  <c:v>181.41385303153</c:v>
                </c:pt>
                <c:pt idx="233">
                  <c:v>182.85513071992</c:v>
                </c:pt>
                <c:pt idx="234">
                  <c:v>184.300698393158</c:v>
                </c:pt>
                <c:pt idx="235">
                  <c:v>185.750537629389</c:v>
                </c:pt>
                <c:pt idx="236">
                  <c:v>187.204629998958</c:v>
                </c:pt>
                <c:pt idx="237">
                  <c:v>188.662957064599</c:v>
                </c:pt>
                <c:pt idx="238">
                  <c:v>190.125500381621</c:v>
                </c:pt>
                <c:pt idx="239">
                  <c:v>191.592241498094</c:v>
                </c:pt>
                <c:pt idx="240">
                  <c:v>193.063161955036</c:v>
                </c:pt>
                <c:pt idx="241">
                  <c:v>194.538243286595</c:v>
                </c:pt>
                <c:pt idx="242">
                  <c:v>196.017467020237</c:v>
                </c:pt>
                <c:pt idx="243">
                  <c:v>197.500814676927</c:v>
                </c:pt>
                <c:pt idx="244">
                  <c:v>198.988267771316</c:v>
                </c:pt>
                <c:pt idx="245">
                  <c:v>200.479807811919</c:v>
                </c:pt>
                <c:pt idx="246">
                  <c:v>201.975416301304</c:v>
                </c:pt>
                <c:pt idx="247">
                  <c:v>203.475074736266</c:v>
                </c:pt>
                <c:pt idx="248">
                  <c:v>204.978764608017</c:v>
                </c:pt>
                <c:pt idx="249">
                  <c:v>206.486467402359</c:v>
                </c:pt>
                <c:pt idx="250">
                  <c:v>207.998164599869</c:v>
                </c:pt>
                <c:pt idx="251">
                  <c:v>209.513836066762</c:v>
                </c:pt>
                <c:pt idx="252">
                  <c:v>211.033458445619</c:v>
                </c:pt>
                <c:pt idx="253">
                  <c:v>212.557006765485</c:v>
                </c:pt>
                <c:pt idx="254">
                  <c:v>214.084456052128</c:v>
                </c:pt>
                <c:pt idx="255">
                  <c:v>215.615781328299</c:v>
                </c:pt>
                <c:pt idx="256">
                  <c:v>217.150957613994</c:v>
                </c:pt>
                <c:pt idx="257">
                  <c:v>218.68995992671</c:v>
                </c:pt>
                <c:pt idx="258">
                  <c:v>220.232763281703</c:v>
                </c:pt>
                <c:pt idx="259">
                  <c:v>221.779342692243</c:v>
                </c:pt>
                <c:pt idx="260">
                  <c:v>223.32967316987</c:v>
                </c:pt>
                <c:pt idx="261">
                  <c:v>224.883729724647</c:v>
                </c:pt>
                <c:pt idx="262">
                  <c:v>226.441487365412</c:v>
                </c:pt>
                <c:pt idx="263">
                  <c:v>228.002921100029</c:v>
                </c:pt>
                <c:pt idx="264">
                  <c:v>229.568005935641</c:v>
                </c:pt>
                <c:pt idx="265">
                  <c:v>231.136716878913</c:v>
                </c:pt>
                <c:pt idx="266">
                  <c:v>232.709028936287</c:v>
                </c:pt>
                <c:pt idx="267">
                  <c:v>234.284917114222</c:v>
                </c:pt>
                <c:pt idx="268">
                  <c:v>235.864356419442</c:v>
                </c:pt>
                <c:pt idx="269">
                  <c:v>237.447321859181</c:v>
                </c:pt>
                <c:pt idx="270">
                  <c:v>239.033788441425</c:v>
                </c:pt>
                <c:pt idx="271">
                  <c:v>240.623731175152</c:v>
                </c:pt>
                <c:pt idx="272">
                  <c:v>242.217125070574</c:v>
                </c:pt>
                <c:pt idx="273">
                  <c:v>243.813945139375</c:v>
                </c:pt>
                <c:pt idx="274">
                  <c:v>245.414166394952</c:v>
                </c:pt>
                <c:pt idx="275">
                  <c:v>247.017763852646</c:v>
                </c:pt>
                <c:pt idx="276">
                  <c:v>248.624712529983</c:v>
                </c:pt>
                <c:pt idx="277">
                  <c:v>250.234987446904</c:v>
                </c:pt>
                <c:pt idx="278">
                  <c:v>251.848563626</c:v>
                </c:pt>
                <c:pt idx="279">
                  <c:v>253.465416092741</c:v>
                </c:pt>
                <c:pt idx="280">
                  <c:v>255.085519875712</c:v>
                </c:pt>
                <c:pt idx="281">
                  <c:v>256.708850006834</c:v>
                </c:pt>
                <c:pt idx="282">
                  <c:v>258.335381521598</c:v>
                </c:pt>
                <c:pt idx="283">
                  <c:v>259.965089459288</c:v>
                </c:pt>
                <c:pt idx="284">
                  <c:v>261.597948863208</c:v>
                </c:pt>
                <c:pt idx="285">
                  <c:v>263.233934780904</c:v>
                </c:pt>
                <c:pt idx="286">
                  <c:v>264.873022264387</c:v>
                </c:pt>
                <c:pt idx="287">
                  <c:v>266.515186370356</c:v>
                </c:pt>
                <c:pt idx="288">
                  <c:v>268.160402160416</c:v>
                </c:pt>
                <c:pt idx="289">
                  <c:v>269.808644701295</c:v>
                </c:pt>
                <c:pt idx="290">
                  <c:v>271.459889065065</c:v>
                </c:pt>
                <c:pt idx="291">
                  <c:v>273.114110329355</c:v>
                </c:pt>
                <c:pt idx="292">
                  <c:v>274.771283577567</c:v>
                </c:pt>
                <c:pt idx="293">
                  <c:v>276.431383899089</c:v>
                </c:pt>
                <c:pt idx="294">
                  <c:v>278.094386389504</c:v>
                </c:pt>
                <c:pt idx="295">
                  <c:v>279.760266150806</c:v>
                </c:pt>
                <c:pt idx="296">
                  <c:v>281.428998291605</c:v>
                </c:pt>
                <c:pt idx="297">
                  <c:v>283.100557927335</c:v>
                </c:pt>
                <c:pt idx="298">
                  <c:v>284.774902571347</c:v>
                </c:pt>
                <c:pt idx="299">
                  <c:v>286.451954530458</c:v>
                </c:pt>
                <c:pt idx="300">
                  <c:v>288.13161853087</c:v>
                </c:pt>
                <c:pt idx="301">
                  <c:v>289.813799340406</c:v>
                </c:pt>
                <c:pt idx="302">
                  <c:v>291.498401770284</c:v>
                </c:pt>
                <c:pt idx="303">
                  <c:v>293.185330676862</c:v>
                </c:pt>
                <c:pt idx="304">
                  <c:v>294.874490963368</c:v>
                </c:pt>
                <c:pt idx="305">
                  <c:v>296.565787581617</c:v>
                </c:pt>
                <c:pt idx="306">
                  <c:v>298.259125533696</c:v>
                </c:pt>
                <c:pt idx="307">
                  <c:v>299.954409873646</c:v>
                </c:pt>
                <c:pt idx="308">
                  <c:v>301.651545709113</c:v>
                </c:pt>
                <c:pt idx="309">
                  <c:v>303.350438202983</c:v>
                </c:pt>
                <c:pt idx="310">
                  <c:v>305.050992575007</c:v>
                </c:pt>
                <c:pt idx="311">
                  <c:v>306.75311410339</c:v>
                </c:pt>
                <c:pt idx="312">
                  <c:v>308.456708126379</c:v>
                </c:pt>
                <c:pt idx="313">
                  <c:v>310.161680043819</c:v>
                </c:pt>
                <c:pt idx="314">
                  <c:v>311.867935318694</c:v>
                </c:pt>
                <c:pt idx="315">
                  <c:v>313.575379478655</c:v>
                </c:pt>
                <c:pt idx="316">
                  <c:v>315.283918117518</c:v>
                </c:pt>
                <c:pt idx="317">
                  <c:v>316.99345689675</c:v>
                </c:pt>
                <c:pt idx="318">
                  <c:v>318.703901546938</c:v>
                </c:pt>
                <c:pt idx="319">
                  <c:v>320.415157869228</c:v>
                </c:pt>
                <c:pt idx="320">
                  <c:v>322.127131736761</c:v>
                </c:pt>
                <c:pt idx="321">
                  <c:v>323.839736089868</c:v>
                </c:pt>
                <c:pt idx="322">
                  <c:v>325.552897926152</c:v>
                </c:pt>
                <c:pt idx="323">
                  <c:v>327.266551296349</c:v>
                </c:pt>
                <c:pt idx="324">
                  <c:v>328.980630304944</c:v>
                </c:pt>
                <c:pt idx="325">
                  <c:v>330.695069110826</c:v>
                </c:pt>
                <c:pt idx="326">
                  <c:v>332.409801927942</c:v>
                </c:pt>
                <c:pt idx="327">
                  <c:v>334.124763025925</c:v>
                </c:pt>
                <c:pt idx="328">
                  <c:v>335.839886730737</c:v>
                </c:pt>
                <c:pt idx="329">
                  <c:v>337.555107425276</c:v>
                </c:pt>
                <c:pt idx="330">
                  <c:v>339.270359549995</c:v>
                </c:pt>
                <c:pt idx="331">
                  <c:v>340.985577603502</c:v>
                </c:pt>
                <c:pt idx="332">
                  <c:v>342.700696143148</c:v>
                </c:pt>
                <c:pt idx="333">
                  <c:v>344.415649785616</c:v>
                </c:pt>
                <c:pt idx="334">
                  <c:v>346.130373207487</c:v>
                </c:pt>
                <c:pt idx="335">
                  <c:v>347.844801145811</c:v>
                </c:pt>
                <c:pt idx="336">
                  <c:v>349.55886839866</c:v>
                </c:pt>
                <c:pt idx="337">
                  <c:v>351.272509825671</c:v>
                </c:pt>
                <c:pt idx="338">
                  <c:v>352.985660348588</c:v>
                </c:pt>
                <c:pt idx="339">
                  <c:v>354.698254951783</c:v>
                </c:pt>
                <c:pt idx="340">
                  <c:v>356.410228682782</c:v>
                </c:pt>
                <c:pt idx="341">
                  <c:v>358.121516652768</c:v>
                </c:pt>
                <c:pt idx="342">
                  <c:v>359.832054037085</c:v>
                </c:pt>
                <c:pt idx="343">
                  <c:v>361.541776075727</c:v>
                </c:pt>
                <c:pt idx="344">
                  <c:v>363.250618073825</c:v>
                </c:pt>
                <c:pt idx="345">
                  <c:v>364.958515402112</c:v>
                </c:pt>
                <c:pt idx="346">
                  <c:v>366.665403497398</c:v>
                </c:pt>
                <c:pt idx="347">
                  <c:v>368.371217863017</c:v>
                </c:pt>
                <c:pt idx="348">
                  <c:v>370.075894822603</c:v>
                </c:pt>
                <c:pt idx="349">
                  <c:v>371.779372273042</c:v>
                </c:pt>
                <c:pt idx="350">
                  <c:v>373.481588929917</c:v>
                </c:pt>
                <c:pt idx="351">
                  <c:v>375.182483573755</c:v>
                </c:pt>
                <c:pt idx="352">
                  <c:v>376.881995050387</c:v>
                </c:pt>
                <c:pt idx="353">
                  <c:v>378.580062271306</c:v>
                </c:pt>
                <c:pt idx="354">
                  <c:v>380.276624214016</c:v>
                </c:pt>
                <c:pt idx="355">
                  <c:v>381.971619922372</c:v>
                </c:pt>
                <c:pt idx="356">
                  <c:v>383.664988506916</c:v>
                </c:pt>
                <c:pt idx="357">
                  <c:v>385.3566691452</c:v>
                </c:pt>
                <c:pt idx="358">
                  <c:v>387.046601082107</c:v>
                </c:pt>
                <c:pt idx="359">
                  <c:v>388.734723630157</c:v>
                </c:pt>
                <c:pt idx="360">
                  <c:v>390.420991830062</c:v>
                </c:pt>
                <c:pt idx="361">
                  <c:v>392.105392092282</c:v>
                </c:pt>
                <c:pt idx="362">
                  <c:v>393.787926500163</c:v>
                </c:pt>
                <c:pt idx="363">
                  <c:v>395.468597131911</c:v>
                </c:pt>
                <c:pt idx="364">
                  <c:v>397.147406060611</c:v>
                </c:pt>
                <c:pt idx="365">
                  <c:v>398.824355354241</c:v>
                </c:pt>
                <c:pt idx="366">
                  <c:v>400.499447075689</c:v>
                </c:pt>
                <c:pt idx="367">
                  <c:v>402.17268328277</c:v>
                </c:pt>
                <c:pt idx="368">
                  <c:v>403.84406602824</c:v>
                </c:pt>
                <c:pt idx="369">
                  <c:v>405.513597359812</c:v>
                </c:pt>
                <c:pt idx="370">
                  <c:v>407.181279320173</c:v>
                </c:pt>
                <c:pt idx="371">
                  <c:v>408.847113947</c:v>
                </c:pt>
                <c:pt idx="372">
                  <c:v>410.511103272972</c:v>
                </c:pt>
                <c:pt idx="373">
                  <c:v>412.173249325792</c:v>
                </c:pt>
                <c:pt idx="374">
                  <c:v>413.833554128195</c:v>
                </c:pt>
                <c:pt idx="375">
                  <c:v>415.492019697971</c:v>
                </c:pt>
                <c:pt idx="376">
                  <c:v>417.148648047974</c:v>
                </c:pt>
                <c:pt idx="377">
                  <c:v>418.803441186141</c:v>
                </c:pt>
                <c:pt idx="378">
                  <c:v>420.456401115506</c:v>
                </c:pt>
                <c:pt idx="379">
                  <c:v>422.107529834216</c:v>
                </c:pt>
                <c:pt idx="380">
                  <c:v>423.756829335546</c:v>
                </c:pt>
                <c:pt idx="381">
                  <c:v>425.404301607912</c:v>
                </c:pt>
                <c:pt idx="382">
                  <c:v>427.04994863489</c:v>
                </c:pt>
                <c:pt idx="383">
                  <c:v>428.693772395227</c:v>
                </c:pt>
                <c:pt idx="384">
                  <c:v>430.335774862858</c:v>
                </c:pt>
                <c:pt idx="385">
                  <c:v>431.975958006923</c:v>
                </c:pt>
                <c:pt idx="386">
                  <c:v>433.614323791775</c:v>
                </c:pt>
                <c:pt idx="387">
                  <c:v>435.250874177002</c:v>
                </c:pt>
                <c:pt idx="388">
                  <c:v>436.885611117438</c:v>
                </c:pt>
                <c:pt idx="389">
                  <c:v>438.51853656318</c:v>
                </c:pt>
                <c:pt idx="390">
                  <c:v>440.149652459597</c:v>
                </c:pt>
                <c:pt idx="391">
                  <c:v>441.778960747352</c:v>
                </c:pt>
                <c:pt idx="392">
                  <c:v>443.406463362412</c:v>
                </c:pt>
                <c:pt idx="393">
                  <c:v>445.032162236063</c:v>
                </c:pt>
                <c:pt idx="394">
                  <c:v>446.656059294923</c:v>
                </c:pt>
                <c:pt idx="395">
                  <c:v>448.278156460961</c:v>
                </c:pt>
                <c:pt idx="396">
                  <c:v>449.898455651507</c:v>
                </c:pt>
                <c:pt idx="397">
                  <c:v>451.516958779265</c:v>
                </c:pt>
                <c:pt idx="398">
                  <c:v>453.133667752332</c:v>
                </c:pt>
                <c:pt idx="399">
                  <c:v>454.748584474209</c:v>
                </c:pt>
                <c:pt idx="400">
                  <c:v>456.361710843814</c:v>
                </c:pt>
                <c:pt idx="401">
                  <c:v>472.394651925885</c:v>
                </c:pt>
                <c:pt idx="402">
                  <c:v>488.249779599886</c:v>
                </c:pt>
                <c:pt idx="403">
                  <c:v>503.928947125683</c:v>
                </c:pt>
                <c:pt idx="404">
                  <c:v>519.433963826796</c:v>
                </c:pt>
                <c:pt idx="405">
                  <c:v>534.766596395646</c:v>
                </c:pt>
                <c:pt idx="406">
                  <c:v>549.928570149135</c:v>
                </c:pt>
                <c:pt idx="407">
                  <c:v>564.921570236802</c:v>
                </c:pt>
                <c:pt idx="408">
                  <c:v>579.747242803692</c:v>
                </c:pt>
                <c:pt idx="409">
                  <c:v>594.407196109961</c:v>
                </c:pt>
                <c:pt idx="410">
                  <c:v>608.903001609113</c:v>
                </c:pt>
                <c:pt idx="411">
                  <c:v>623.236194986719</c:v>
                </c:pt>
                <c:pt idx="412">
                  <c:v>637.408277161302</c:v>
                </c:pt>
                <c:pt idx="413">
                  <c:v>651.420715249054</c:v>
                </c:pt>
                <c:pt idx="414">
                  <c:v>665.27494349392</c:v>
                </c:pt>
                <c:pt idx="415">
                  <c:v>678.972364164529</c:v>
                </c:pt>
                <c:pt idx="416">
                  <c:v>692.514348419381</c:v>
                </c:pt>
                <c:pt idx="417">
                  <c:v>705.902237141607</c:v>
                </c:pt>
                <c:pt idx="418">
                  <c:v>719.13734174458</c:v>
                </c:pt>
                <c:pt idx="419">
                  <c:v>732.220944949586</c:v>
                </c:pt>
                <c:pt idx="420">
                  <c:v>745.154301536688</c:v>
                </c:pt>
                <c:pt idx="421">
                  <c:v>757.938639069888</c:v>
                </c:pt>
                <c:pt idx="422">
                  <c:v>770.575158597618</c:v>
                </c:pt>
                <c:pt idx="423">
                  <c:v>783.065035329567</c:v>
                </c:pt>
                <c:pt idx="424">
                  <c:v>795.409419290757</c:v>
                </c:pt>
                <c:pt idx="425">
                  <c:v>807.609435953807</c:v>
                </c:pt>
                <c:pt idx="426">
                  <c:v>819.666186850216</c:v>
                </c:pt>
                <c:pt idx="427">
                  <c:v>831.580750161487</c:v>
                </c:pt>
                <c:pt idx="428">
                  <c:v>843.354181290892</c:v>
                </c:pt>
                <c:pt idx="429">
                  <c:v>854.987513416598</c:v>
                </c:pt>
                <c:pt idx="430">
                  <c:v>866.481758026892</c:v>
                </c:pt>
                <c:pt idx="431">
                  <c:v>877.837905438159</c:v>
                </c:pt>
                <c:pt idx="432">
                  <c:v>889.056925296292</c:v>
                </c:pt>
                <c:pt idx="433">
                  <c:v>900.139767062129</c:v>
                </c:pt>
                <c:pt idx="434">
                  <c:v>911.08736048153</c:v>
                </c:pt>
                <c:pt idx="435">
                  <c:v>921.900616040654</c:v>
                </c:pt>
                <c:pt idx="436">
                  <c:v>932.580425406976</c:v>
                </c:pt>
                <c:pt idx="437">
                  <c:v>943.127661856576</c:v>
                </c:pt>
                <c:pt idx="438">
                  <c:v>953.543180688191</c:v>
                </c:pt>
                <c:pt idx="439">
                  <c:v>963.827819624497</c:v>
                </c:pt>
                <c:pt idx="440">
                  <c:v>973.982399201103</c:v>
                </c:pt>
                <c:pt idx="441">
                  <c:v>984.007723143668</c:v>
                </c:pt>
                <c:pt idx="442">
                  <c:v>993.904578733576</c:v>
                </c:pt>
                <c:pt idx="443">
                  <c:v>1003.67373716257</c:v>
                </c:pt>
                <c:pt idx="444">
                  <c:v>1013.3159538767</c:v>
                </c:pt>
                <c:pt idx="445">
                  <c:v>1022.83196891007</c:v>
                </c:pt>
                <c:pt idx="446">
                  <c:v>1032.22250720851</c:v>
                </c:pt>
                <c:pt idx="447">
                  <c:v>1041.48827894377</c:v>
                </c:pt>
                <c:pt idx="448">
                  <c:v>1050.62997981842</c:v>
                </c:pt>
                <c:pt idx="449">
                  <c:v>1059.64829136178</c:v>
                </c:pt>
                <c:pt idx="450">
                  <c:v>1068.54388121718</c:v>
                </c:pt>
                <c:pt idx="451">
                  <c:v>1077.31740342096</c:v>
                </c:pt>
                <c:pt idx="452">
                  <c:v>1085.96949867323</c:v>
                </c:pt>
                <c:pt idx="453">
                  <c:v>1094.50079460097</c:v>
                </c:pt>
                <c:pt idx="454">
                  <c:v>1102.91190601349</c:v>
                </c:pt>
                <c:pt idx="455">
                  <c:v>1111.2034351506</c:v>
                </c:pt>
                <c:pt idx="456">
                  <c:v>1119.37597192372</c:v>
                </c:pt>
                <c:pt idx="457">
                  <c:v>1127.43009415016</c:v>
                </c:pt>
                <c:pt idx="458">
                  <c:v>1135.36636778077</c:v>
                </c:pt>
                <c:pt idx="459">
                  <c:v>1143.18534712119</c:v>
                </c:pt>
                <c:pt idx="460">
                  <c:v>1150.88757504695</c:v>
                </c:pt>
                <c:pt idx="461">
                  <c:v>1158.47358321248</c:v>
                </c:pt>
                <c:pt idx="462">
                  <c:v>1165.94389225442</c:v>
                </c:pt>
                <c:pt idx="463">
                  <c:v>1173.29901198928</c:v>
                </c:pt>
                <c:pt idx="464">
                  <c:v>1180.53944160563</c:v>
                </c:pt>
                <c:pt idx="465">
                  <c:v>1187.66566985108</c:v>
                </c:pt>
                <c:pt idx="466">
                  <c:v>1194.67817521414</c:v>
                </c:pt>
                <c:pt idx="467">
                  <c:v>1201.57742610115</c:v>
                </c:pt>
                <c:pt idx="468">
                  <c:v>1208.36388100848</c:v>
                </c:pt>
                <c:pt idx="469">
                  <c:v>1215.03798869005</c:v>
                </c:pt>
                <c:pt idx="470">
                  <c:v>1221.60018832045</c:v>
                </c:pt>
                <c:pt idx="471">
                  <c:v>1228.05090965369</c:v>
                </c:pt>
                <c:pt idx="472">
                  <c:v>1234.39057317785</c:v>
                </c:pt>
                <c:pt idx="473">
                  <c:v>1240.61959026558</c:v>
                </c:pt>
                <c:pt idx="474">
                  <c:v>1246.73836332082</c:v>
                </c:pt>
                <c:pt idx="475">
                  <c:v>1252.74728592165</c:v>
                </c:pt>
                <c:pt idx="476">
                  <c:v>1258.64674295962</c:v>
                </c:pt>
                <c:pt idx="477">
                  <c:v>1264.43711077547</c:v>
                </c:pt>
                <c:pt idx="478">
                  <c:v>1270.11875729153</c:v>
                </c:pt>
                <c:pt idx="479">
                  <c:v>1275.69204214088</c:v>
                </c:pt>
                <c:pt idx="480">
                  <c:v>1281.15731679333</c:v>
                </c:pt>
                <c:pt idx="481">
                  <c:v>1286.51492467846</c:v>
                </c:pt>
                <c:pt idx="482">
                  <c:v>1291.76520130575</c:v>
                </c:pt>
                <c:pt idx="483">
                  <c:v>1296.90847438199</c:v>
                </c:pt>
                <c:pt idx="484">
                  <c:v>1301.94506392602</c:v>
                </c:pt>
                <c:pt idx="485">
                  <c:v>1306.87528238102</c:v>
                </c:pt>
                <c:pt idx="486">
                  <c:v>1311.69943472441</c:v>
                </c:pt>
                <c:pt idx="487">
                  <c:v>1316.4178185755</c:v>
                </c:pt>
                <c:pt idx="488">
                  <c:v>1321.03072430105</c:v>
                </c:pt>
                <c:pt idx="489">
                  <c:v>1325.53843511886</c:v>
                </c:pt>
                <c:pt idx="490">
                  <c:v>1329.9412271995</c:v>
                </c:pt>
                <c:pt idx="491">
                  <c:v>1334.23936976642</c:v>
                </c:pt>
                <c:pt idx="492">
                  <c:v>1338.43312519442</c:v>
                </c:pt>
                <c:pt idx="493">
                  <c:v>1342.52274910688</c:v>
                </c:pt>
                <c:pt idx="494">
                  <c:v>1346.50849047162</c:v>
                </c:pt>
                <c:pt idx="495">
                  <c:v>1350.39059169583</c:v>
                </c:pt>
                <c:pt idx="496">
                  <c:v>1354.16928872009</c:v>
                </c:pt>
                <c:pt idx="497">
                  <c:v>1357.84481111169</c:v>
                </c:pt>
                <c:pt idx="498">
                  <c:v>1361.41738215752</c:v>
                </c:pt>
                <c:pt idx="499">
                  <c:v>1364.88721895664</c:v>
                </c:pt>
                <c:pt idx="500">
                  <c:v>1368.25453251286</c:v>
                </c:pt>
                <c:pt idx="501">
                  <c:v>1371.51952782747</c:v>
                </c:pt>
                <c:pt idx="502">
                  <c:v>1374.68240399244</c:v>
                </c:pt>
                <c:pt idx="503">
                  <c:v>1377.74335428434</c:v>
                </c:pt>
                <c:pt idx="504">
                  <c:v>1380.70256625926</c:v>
                </c:pt>
                <c:pt idx="505">
                  <c:v>1383.56022184903</c:v>
                </c:pt>
                <c:pt idx="506">
                  <c:v>1386.31649745907</c:v>
                </c:pt>
                <c:pt idx="507">
                  <c:v>1388.97156406826</c:v>
                </c:pt>
                <c:pt idx="508">
                  <c:v>1391.52558733108</c:v>
                </c:pt>
                <c:pt idx="509">
                  <c:v>1393.97872768251</c:v>
                </c:pt>
                <c:pt idx="510">
                  <c:v>1396.33114044608</c:v>
                </c:pt>
                <c:pt idx="511">
                  <c:v>1398.5829759454</c:v>
                </c:pt>
                <c:pt idx="512">
                  <c:v>1400.73437961973</c:v>
                </c:pt>
                <c:pt idx="513">
                  <c:v>1402.78549214398</c:v>
                </c:pt>
                <c:pt idx="514">
                  <c:v>1404.73644955357</c:v>
                </c:pt>
                <c:pt idx="515">
                  <c:v>1406.58738337473</c:v>
                </c:pt>
                <c:pt idx="516">
                  <c:v>1408.33842076058</c:v>
                </c:pt>
                <c:pt idx="517">
                  <c:v>1409.9896846336</c:v>
                </c:pt>
                <c:pt idx="518">
                  <c:v>1411.54129383475</c:v>
                </c:pt>
                <c:pt idx="519">
                  <c:v>1412.99336327994</c:v>
                </c:pt>
                <c:pt idx="520">
                  <c:v>1414.34600412394</c:v>
                </c:pt>
                <c:pt idx="521">
                  <c:v>1415.59932393238</c:v>
                </c:pt>
                <c:pt idx="522">
                  <c:v>1416.75342686184</c:v>
                </c:pt>
                <c:pt idx="523">
                  <c:v>1417.80841384848</c:v>
                </c:pt>
                <c:pt idx="524">
                  <c:v>1418.76438280518</c:v>
                </c:pt>
                <c:pt idx="525">
                  <c:v>1419.62142882732</c:v>
                </c:pt>
                <c:pt idx="526">
                  <c:v>1420.37964440698</c:v>
                </c:pt>
                <c:pt idx="527">
                  <c:v>1421.03911965539</c:v>
                </c:pt>
                <c:pt idx="528">
                  <c:v>1421.59994253332</c:v>
                </c:pt>
                <c:pt idx="529">
                  <c:v>1422.06219908876</c:v>
                </c:pt>
                <c:pt idx="530">
                  <c:v>1422.42597370133</c:v>
                </c:pt>
                <c:pt idx="531">
                  <c:v>1422.69134933247</c:v>
                </c:pt>
                <c:pt idx="532">
                  <c:v>1422.85840778069</c:v>
                </c:pt>
                <c:pt idx="533">
                  <c:v>1422.92722994048</c:v>
                </c:pt>
                <c:pt idx="534">
                  <c:v>1422.89789606395</c:v>
                </c:pt>
                <c:pt idx="535">
                  <c:v>1422.7704860238</c:v>
                </c:pt>
                <c:pt idx="536">
                  <c:v>1422.54507957631</c:v>
                </c:pt>
                <c:pt idx="537">
                  <c:v>1422.22175662293</c:v>
                </c:pt>
                <c:pt idx="538">
                  <c:v>1421.80059746922</c:v>
                </c:pt>
                <c:pt idx="539">
                  <c:v>1421.28168307973</c:v>
                </c:pt>
                <c:pt idx="540">
                  <c:v>1420.66509532753</c:v>
                </c:pt>
                <c:pt idx="541">
                  <c:v>1419.9509172373</c:v>
                </c:pt>
                <c:pt idx="542">
                  <c:v>1419.13923322084</c:v>
                </c:pt>
                <c:pt idx="543">
                  <c:v>1418.2301293041</c:v>
                </c:pt>
                <c:pt idx="544">
                  <c:v>1417.22369334493</c:v>
                </c:pt>
                <c:pt idx="545">
                  <c:v>1416.12001524092</c:v>
                </c:pt>
                <c:pt idx="546">
                  <c:v>1414.91918712678</c:v>
                </c:pt>
                <c:pt idx="547">
                  <c:v>1413.62130356098</c:v>
                </c:pt>
                <c:pt idx="548">
                  <c:v>1412.22646170146</c:v>
                </c:pt>
                <c:pt idx="549">
                  <c:v>1410.73476147019</c:v>
                </c:pt>
                <c:pt idx="550">
                  <c:v>1409.14630570681</c:v>
                </c:pt>
                <c:pt idx="551">
                  <c:v>1407.46120031136</c:v>
                </c:pt>
                <c:pt idx="552">
                  <c:v>1405.67955437639</c:v>
                </c:pt>
                <c:pt idx="553">
                  <c:v>1403.80148030868</c:v>
                </c:pt>
                <c:pt idx="554">
                  <c:v>1401.82709394108</c:v>
                </c:pt>
                <c:pt idx="555">
                  <c:v>1399.75651463464</c:v>
                </c:pt>
                <c:pt idx="556">
                  <c:v>1397.58986537169</c:v>
                </c:pt>
                <c:pt idx="557">
                  <c:v>1395.32727284019</c:v>
                </c:pt>
                <c:pt idx="558">
                  <c:v>1392.96886750987</c:v>
                </c:pt>
                <c:pt idx="559">
                  <c:v>1390.51478370056</c:v>
                </c:pt>
                <c:pt idx="560">
                  <c:v>1387.96515964323</c:v>
                </c:pt>
                <c:pt idx="561">
                  <c:v>1385.32013753424</c:v>
                </c:pt>
                <c:pt idx="562">
                  <c:v>1382.57986358308</c:v>
                </c:pt>
                <c:pt idx="563">
                  <c:v>1379.74448805413</c:v>
                </c:pt>
                <c:pt idx="564">
                  <c:v>1376.81416530293</c:v>
                </c:pt>
                <c:pt idx="565">
                  <c:v>1373.78905380705</c:v>
                </c:pt>
                <c:pt idx="566">
                  <c:v>1370.66931619228</c:v>
                </c:pt>
                <c:pt idx="567">
                  <c:v>1367.45511925414</c:v>
                </c:pt>
                <c:pt idx="568">
                  <c:v>1364.14663397535</c:v>
                </c:pt>
                <c:pt idx="569">
                  <c:v>1360.74403553918</c:v>
                </c:pt>
                <c:pt idx="570">
                  <c:v>1357.24750333935</c:v>
                </c:pt>
                <c:pt idx="571">
                  <c:v>1353.65722098641</c:v>
                </c:pt>
                <c:pt idx="572">
                  <c:v>1349.97337631098</c:v>
                </c:pt>
                <c:pt idx="573">
                  <c:v>1346.19616136412</c:v>
                </c:pt>
                <c:pt idx="574">
                  <c:v>1342.32577241485</c:v>
                </c:pt>
                <c:pt idx="575">
                  <c:v>1338.36240994515</c:v>
                </c:pt>
                <c:pt idx="576">
                  <c:v>1334.3062786426</c:v>
                </c:pt>
                <c:pt idx="577">
                  <c:v>1330.15758739073</c:v>
                </c:pt>
                <c:pt idx="578">
                  <c:v>1325.9165492573</c:v>
                </c:pt>
                <c:pt idx="579">
                  <c:v>1321.5833814806</c:v>
                </c:pt>
                <c:pt idx="580">
                  <c:v>1317.15830545391</c:v>
                </c:pt>
                <c:pt idx="581">
                  <c:v>1312.64154670825</c:v>
                </c:pt>
                <c:pt idx="582">
                  <c:v>1308.03333489347</c:v>
                </c:pt>
                <c:pt idx="583">
                  <c:v>1303.33390375778</c:v>
                </c:pt>
                <c:pt idx="584">
                  <c:v>1298.54349112594</c:v>
                </c:pt>
                <c:pt idx="585">
                  <c:v>1293.66233887595</c:v>
                </c:pt>
                <c:pt idx="586">
                  <c:v>1288.69069291451</c:v>
                </c:pt>
                <c:pt idx="587">
                  <c:v>1283.62880315127</c:v>
                </c:pt>
                <c:pt idx="588">
                  <c:v>1278.47692347192</c:v>
                </c:pt>
                <c:pt idx="589">
                  <c:v>1273.23531171008</c:v>
                </c:pt>
                <c:pt idx="590">
                  <c:v>1267.90422961832</c:v>
                </c:pt>
                <c:pt idx="591">
                  <c:v>1262.48394283802</c:v>
                </c:pt>
                <c:pt idx="592">
                  <c:v>1256.97472086839</c:v>
                </c:pt>
                <c:pt idx="593">
                  <c:v>1251.37683703449</c:v>
                </c:pt>
                <c:pt idx="594">
                  <c:v>1245.69056845454</c:v>
                </c:pt>
                <c:pt idx="595">
                  <c:v>1239.91619600623</c:v>
                </c:pt>
                <c:pt idx="596">
                  <c:v>1234.05400429237</c:v>
                </c:pt>
                <c:pt idx="597">
                  <c:v>1228.10428160575</c:v>
                </c:pt>
                <c:pt idx="598">
                  <c:v>1222.06731989327</c:v>
                </c:pt>
                <c:pt idx="599">
                  <c:v>1215.94341471941</c:v>
                </c:pt>
                <c:pt idx="600">
                  <c:v>1209.73286522902</c:v>
                </c:pt>
                <c:pt idx="601">
                  <c:v>1203.43597410951</c:v>
                </c:pt>
                <c:pt idx="602">
                  <c:v>1197.05304755239</c:v>
                </c:pt>
                <c:pt idx="603">
                  <c:v>1190.58439521429</c:v>
                </c:pt>
                <c:pt idx="604">
                  <c:v>1184.03033017737</c:v>
                </c:pt>
                <c:pt idx="605">
                  <c:v>1177.39116890926</c:v>
                </c:pt>
                <c:pt idx="606">
                  <c:v>1170.66723122242</c:v>
                </c:pt>
                <c:pt idx="607">
                  <c:v>1163.85884023308</c:v>
                </c:pt>
                <c:pt idx="608">
                  <c:v>1156.96632231971</c:v>
                </c:pt>
                <c:pt idx="609">
                  <c:v>1149.99000708095</c:v>
                </c:pt>
                <c:pt idx="610">
                  <c:v>1142.93022729326</c:v>
                </c:pt>
                <c:pt idx="611">
                  <c:v>1135.78731886803</c:v>
                </c:pt>
                <c:pt idx="612">
                  <c:v>1128.56162080841</c:v>
                </c:pt>
                <c:pt idx="613">
                  <c:v>1121.25347516565</c:v>
                </c:pt>
                <c:pt idx="614">
                  <c:v>1113.86322699519</c:v>
                </c:pt>
                <c:pt idx="615">
                  <c:v>1106.39122431236</c:v>
                </c:pt>
                <c:pt idx="616">
                  <c:v>1098.83781804776</c:v>
                </c:pt>
                <c:pt idx="617">
                  <c:v>1091.20336200232</c:v>
                </c:pt>
                <c:pt idx="618">
                  <c:v>1083.48821280211</c:v>
                </c:pt>
                <c:pt idx="619">
                  <c:v>1075.69272985287</c:v>
                </c:pt>
                <c:pt idx="620">
                  <c:v>1067.81727529418</c:v>
                </c:pt>
                <c:pt idx="621">
                  <c:v>1059.86221395353</c:v>
                </c:pt>
                <c:pt idx="622">
                  <c:v>1051.82791330009</c:v>
                </c:pt>
                <c:pt idx="623">
                  <c:v>1043.71474339818</c:v>
                </c:pt>
                <c:pt idx="624">
                  <c:v>1035.52307686072</c:v>
                </c:pt>
                <c:pt idx="625">
                  <c:v>1027.2532888023</c:v>
                </c:pt>
                <c:pt idx="626">
                  <c:v>1018.90575679219</c:v>
                </c:pt>
                <c:pt idx="627">
                  <c:v>1010.48086080715</c:v>
                </c:pt>
                <c:pt idx="628">
                  <c:v>1001.97898318406</c:v>
                </c:pt>
                <c:pt idx="629">
                  <c:v>993.400508572492</c:v>
                </c:pt>
                <c:pt idx="630">
                  <c:v>984.745823887052</c:v>
                </c:pt>
                <c:pt idx="631">
                  <c:v>976.015318259686</c:v>
                </c:pt>
                <c:pt idx="632">
                  <c:v>967.209382991849</c:v>
                </c:pt>
                <c:pt idx="633">
                  <c:v>958.328411506599</c:v>
                </c:pt>
                <c:pt idx="634">
                  <c:v>949.372799300606</c:v>
                </c:pt>
                <c:pt idx="635">
                  <c:v>940.342943896101</c:v>
                </c:pt>
                <c:pt idx="636">
                  <c:v>931.239244792768</c:v>
                </c:pt>
                <c:pt idx="637">
                  <c:v>922.062103419599</c:v>
                </c:pt>
                <c:pt idx="638">
                  <c:v>912.81192308671</c:v>
                </c:pt>
                <c:pt idx="639">
                  <c:v>903.489108937149</c:v>
                </c:pt>
                <c:pt idx="640">
                  <c:v>894.094067898689</c:v>
                </c:pt>
                <c:pt idx="641">
                  <c:v>884.627208635624</c:v>
                </c:pt>
                <c:pt idx="642">
                  <c:v>875.088941500587</c:v>
                </c:pt>
                <c:pt idx="643">
                  <c:v>865.47967848638</c:v>
                </c:pt>
                <c:pt idx="644">
                  <c:v>855.799833177855</c:v>
                </c:pt>
                <c:pt idx="645">
                  <c:v>846.049820703828</c:v>
                </c:pt>
                <c:pt idx="646">
                  <c:v>836.230057689058</c:v>
                </c:pt>
                <c:pt idx="647">
                  <c:v>826.34096220629</c:v>
                </c:pt>
                <c:pt idx="648">
                  <c:v>816.382953728376</c:v>
                </c:pt>
                <c:pt idx="649">
                  <c:v>806.356453080481</c:v>
                </c:pt>
                <c:pt idx="650">
                  <c:v>796.261882392392</c:v>
                </c:pt>
                <c:pt idx="651">
                  <c:v>786.099665050926</c:v>
                </c:pt>
                <c:pt idx="652">
                  <c:v>775.870225652461</c:v>
                </c:pt>
                <c:pt idx="653">
                  <c:v>765.573989955588</c:v>
                </c:pt>
                <c:pt idx="654">
                  <c:v>755.211384833907</c:v>
                </c:pt>
                <c:pt idx="655">
                  <c:v>744.782838228955</c:v>
                </c:pt>
                <c:pt idx="656">
                  <c:v>734.2887791033</c:v>
                </c:pt>
                <c:pt idx="657">
                  <c:v>723.72963739379</c:v>
                </c:pt>
                <c:pt idx="658">
                  <c:v>713.105843964977</c:v>
                </c:pt>
                <c:pt idx="659">
                  <c:v>702.417830562724</c:v>
                </c:pt>
                <c:pt idx="660">
                  <c:v>691.666029767994</c:v>
                </c:pt>
                <c:pt idx="661">
                  <c:v>680.850874950841</c:v>
                </c:pt>
                <c:pt idx="662">
                  <c:v>669.972800224609</c:v>
                </c:pt>
                <c:pt idx="663">
                  <c:v>659.032240400341</c:v>
                </c:pt>
                <c:pt idx="664">
                  <c:v>648.029630941412</c:v>
                </c:pt>
                <c:pt idx="665">
                  <c:v>636.965407918389</c:v>
                </c:pt>
                <c:pt idx="666">
                  <c:v>625.840007964133</c:v>
                </c:pt>
                <c:pt idx="667">
                  <c:v>614.653868229145</c:v>
                </c:pt>
                <c:pt idx="668">
                  <c:v>603.407426337162</c:v>
                </c:pt>
                <c:pt idx="669">
                  <c:v>592.101120341018</c:v>
                </c:pt>
                <c:pt idx="670">
                  <c:v>580.735388678766</c:v>
                </c:pt>
                <c:pt idx="671">
                  <c:v>569.310670130079</c:v>
                </c:pt>
                <c:pt idx="672">
                  <c:v>557.827403772935</c:v>
                </c:pt>
                <c:pt idx="673">
                  <c:v>546.286028940577</c:v>
                </c:pt>
                <c:pt idx="674">
                  <c:v>534.686985178787</c:v>
                </c:pt>
                <c:pt idx="675">
                  <c:v>523.030712203443</c:v>
                </c:pt>
                <c:pt idx="676">
                  <c:v>511.317649858392</c:v>
                </c:pt>
                <c:pt idx="677">
                  <c:v>499.54823807364</c:v>
                </c:pt>
                <c:pt idx="678">
                  <c:v>487.722916823851</c:v>
                </c:pt>
                <c:pt idx="679">
                  <c:v>475.842126087181</c:v>
                </c:pt>
                <c:pt idx="680">
                  <c:v>463.906305804436</c:v>
                </c:pt>
                <c:pt idx="681">
                  <c:v>451.915895838574</c:v>
                </c:pt>
                <c:pt idx="682">
                  <c:v>439.871335934541</c:v>
                </c:pt>
                <c:pt idx="683">
                  <c:v>427.773065679462</c:v>
                </c:pt>
                <c:pt idx="684">
                  <c:v>415.621524463177</c:v>
                </c:pt>
                <c:pt idx="685">
                  <c:v>403.417151439141</c:v>
                </c:pt>
                <c:pt idx="686">
                  <c:v>391.160385485683</c:v>
                </c:pt>
                <c:pt idx="687">
                  <c:v>378.85166516763</c:v>
                </c:pt>
                <c:pt idx="688">
                  <c:v>366.491428698306</c:v>
                </c:pt>
                <c:pt idx="689">
                  <c:v>354.080113901908</c:v>
                </c:pt>
                <c:pt idx="690">
                  <c:v>341.618158176255</c:v>
                </c:pt>
                <c:pt idx="691">
                  <c:v>329.105998455927</c:v>
                </c:pt>
                <c:pt idx="692">
                  <c:v>316.544071175794</c:v>
                </c:pt>
                <c:pt idx="693">
                  <c:v>303.932812234928</c:v>
                </c:pt>
                <c:pt idx="694">
                  <c:v>291.272656960917</c:v>
                </c:pt>
                <c:pt idx="695">
                  <c:v>278.564040074579</c:v>
                </c:pt>
                <c:pt idx="696">
                  <c:v>265.807395655074</c:v>
                </c:pt>
                <c:pt idx="697">
                  <c:v>253.003157105422</c:v>
                </c:pt>
                <c:pt idx="698">
                  <c:v>240.151757118433</c:v>
                </c:pt>
                <c:pt idx="699">
                  <c:v>227.253627643042</c:v>
                </c:pt>
                <c:pt idx="700">
                  <c:v>214.309199851066</c:v>
                </c:pt>
                <c:pt idx="701">
                  <c:v>201.31890410437</c:v>
                </c:pt>
                <c:pt idx="702">
                  <c:v>188.28316992246</c:v>
                </c:pt>
                <c:pt idx="703">
                  <c:v>175.202425950486</c:v>
                </c:pt>
                <c:pt idx="704">
                  <c:v>162.077099927684</c:v>
                </c:pt>
                <c:pt idx="705">
                  <c:v>148.907618656229</c:v>
                </c:pt>
                <c:pt idx="706">
                  <c:v>135.694407970526</c:v>
                </c:pt>
                <c:pt idx="707">
                  <c:v>122.437892706922</c:v>
                </c:pt>
                <c:pt idx="708">
                  <c:v>109.138496673859</c:v>
                </c:pt>
                <c:pt idx="709">
                  <c:v>95.7966426224482</c:v>
                </c:pt>
                <c:pt idx="710">
                  <c:v>82.4127522174877</c:v>
                </c:pt>
                <c:pt idx="711">
                  <c:v>68.9872460089085</c:v>
                </c:pt>
                <c:pt idx="712">
                  <c:v>55.5205434036603</c:v>
                </c:pt>
                <c:pt idx="713">
                  <c:v>42.013062638033</c:v>
                </c:pt>
                <c:pt idx="714">
                  <c:v>28.4652207504168</c:v>
                </c:pt>
                <c:pt idx="715">
                  <c:v>14.8774335545002</c:v>
                </c:pt>
                <c:pt idx="716">
                  <c:v>1.25011561290793</c:v>
                </c:pt>
                <c:pt idx="717">
                  <c:v>-12.4163197887221</c:v>
                </c:pt>
                <c:pt idx="718">
                  <c:v>-12.4300056989435</c:v>
                </c:pt>
                <c:pt idx="719">
                  <c:v>-12.4436916476644</c:v>
                </c:pt>
                <c:pt idx="720">
                  <c:v>-12.4573776348846</c:v>
                </c:pt>
                <c:pt idx="721">
                  <c:v>-12.4710636606036</c:v>
                </c:pt>
                <c:pt idx="722">
                  <c:v>-12.484749724821</c:v>
                </c:pt>
                <c:pt idx="723">
                  <c:v>-12.4984358275363</c:v>
                </c:pt>
                <c:pt idx="724">
                  <c:v>-12.5121219687492</c:v>
                </c:pt>
                <c:pt idx="725">
                  <c:v>-12.5258081484593</c:v>
                </c:pt>
                <c:pt idx="726">
                  <c:v>-12.5394943666661</c:v>
                </c:pt>
                <c:pt idx="727">
                  <c:v>-12.5531806233692</c:v>
                </c:pt>
                <c:pt idx="728">
                  <c:v>-12.5668669185683</c:v>
                </c:pt>
                <c:pt idx="729">
                  <c:v>-12.5805532522629</c:v>
                </c:pt>
                <c:pt idx="730">
                  <c:v>-12.5942396244526</c:v>
                </c:pt>
                <c:pt idx="731">
                  <c:v>-12.607926035137</c:v>
                </c:pt>
                <c:pt idx="732">
                  <c:v>-12.6216124843157</c:v>
                </c:pt>
                <c:pt idx="733">
                  <c:v>-12.6352989719883</c:v>
                </c:pt>
                <c:pt idx="734">
                  <c:v>-12.6489854981543</c:v>
                </c:pt>
                <c:pt idx="735">
                  <c:v>-12.6626720628135</c:v>
                </c:pt>
                <c:pt idx="736">
                  <c:v>-12.6763586659653</c:v>
                </c:pt>
                <c:pt idx="737">
                  <c:v>-12.6900453076093</c:v>
                </c:pt>
                <c:pt idx="738">
                  <c:v>-12.7037319877452</c:v>
                </c:pt>
                <c:pt idx="739">
                  <c:v>-12.7174187063725</c:v>
                </c:pt>
                <c:pt idx="740">
                  <c:v>-12.7311054634908</c:v>
                </c:pt>
                <c:pt idx="741">
                  <c:v>-12.7447922590998</c:v>
                </c:pt>
                <c:pt idx="742">
                  <c:v>-12.7584790931989</c:v>
                </c:pt>
                <c:pt idx="743">
                  <c:v>-12.7721659657879</c:v>
                </c:pt>
                <c:pt idx="744">
                  <c:v>-12.7858528768662</c:v>
                </c:pt>
                <c:pt idx="745">
                  <c:v>-12.7995398264336</c:v>
                </c:pt>
                <c:pt idx="746">
                  <c:v>-12.8132268144895</c:v>
                </c:pt>
                <c:pt idx="747">
                  <c:v>-12.8269138410335</c:v>
                </c:pt>
                <c:pt idx="748">
                  <c:v>-12.8406009060653</c:v>
                </c:pt>
                <c:pt idx="749">
                  <c:v>-12.8542880095845</c:v>
                </c:pt>
                <c:pt idx="750">
                  <c:v>-12.8679751515905</c:v>
                </c:pt>
                <c:pt idx="751">
                  <c:v>-12.8816623320831</c:v>
                </c:pt>
                <c:pt idx="752">
                  <c:v>-12.8953495510619</c:v>
                </c:pt>
                <c:pt idx="753">
                  <c:v>-12.9090368085263</c:v>
                </c:pt>
                <c:pt idx="754">
                  <c:v>-12.922724104476</c:v>
                </c:pt>
                <c:pt idx="755">
                  <c:v>-12.9364114389107</c:v>
                </c:pt>
                <c:pt idx="756">
                  <c:v>-12.9500988118298</c:v>
                </c:pt>
                <c:pt idx="757">
                  <c:v>-12.9637862232329</c:v>
                </c:pt>
                <c:pt idx="758">
                  <c:v>-12.9774736731198</c:v>
                </c:pt>
                <c:pt idx="759">
                  <c:v>-12.9911611614899</c:v>
                </c:pt>
                <c:pt idx="760">
                  <c:v>-13.0048486883428</c:v>
                </c:pt>
                <c:pt idx="761">
                  <c:v>-13.0185362536782</c:v>
                </c:pt>
                <c:pt idx="762">
                  <c:v>-13.0322238574956</c:v>
                </c:pt>
                <c:pt idx="763">
                  <c:v>-13.0459114997946</c:v>
                </c:pt>
                <c:pt idx="764">
                  <c:v>-13.0595991805749</c:v>
                </c:pt>
                <c:pt idx="765">
                  <c:v>-13.0732868998359</c:v>
                </c:pt>
                <c:pt idx="766">
                  <c:v>-13.0869746575773</c:v>
                </c:pt>
                <c:pt idx="767">
                  <c:v>-13.1006624537988</c:v>
                </c:pt>
                <c:pt idx="768">
                  <c:v>-13.1143502884998</c:v>
                </c:pt>
                <c:pt idx="769">
                  <c:v>-13.1280381616799</c:v>
                </c:pt>
                <c:pt idx="770">
                  <c:v>-13.1417260733388</c:v>
                </c:pt>
                <c:pt idx="771">
                  <c:v>-13.1554140234761</c:v>
                </c:pt>
                <c:pt idx="772">
                  <c:v>-13.1691020120913</c:v>
                </c:pt>
                <c:pt idx="773">
                  <c:v>-13.1827900391841</c:v>
                </c:pt>
                <c:pt idx="774">
                  <c:v>-13.1964781047539</c:v>
                </c:pt>
                <c:pt idx="775">
                  <c:v>-13.2101662088005</c:v>
                </c:pt>
                <c:pt idx="776">
                  <c:v>-13.2238543513234</c:v>
                </c:pt>
                <c:pt idx="777">
                  <c:v>-13.2375425323222</c:v>
                </c:pt>
                <c:pt idx="778">
                  <c:v>-13.2512307517964</c:v>
                </c:pt>
                <c:pt idx="779">
                  <c:v>-13.2649190097458</c:v>
                </c:pt>
                <c:pt idx="780">
                  <c:v>-13.2786073061698</c:v>
                </c:pt>
                <c:pt idx="781">
                  <c:v>-13.2922956410681</c:v>
                </c:pt>
                <c:pt idx="782">
                  <c:v>-13.3059840144402</c:v>
                </c:pt>
                <c:pt idx="783">
                  <c:v>-13.3196724262858</c:v>
                </c:pt>
                <c:pt idx="784">
                  <c:v>-13.3333608766044</c:v>
                </c:pt>
                <c:pt idx="785">
                  <c:v>-13.3470493653956</c:v>
                </c:pt>
                <c:pt idx="786">
                  <c:v>-13.3607378926591</c:v>
                </c:pt>
                <c:pt idx="787">
                  <c:v>-13.3744264583943</c:v>
                </c:pt>
                <c:pt idx="788">
                  <c:v>-13.388115062601</c:v>
                </c:pt>
                <c:pt idx="789">
                  <c:v>-13.4018037052786</c:v>
                </c:pt>
                <c:pt idx="790">
                  <c:v>-13.4154923864268</c:v>
                </c:pt>
                <c:pt idx="791">
                  <c:v>-13.4291811060452</c:v>
                </c:pt>
                <c:pt idx="792">
                  <c:v>-13.4428698641334</c:v>
                </c:pt>
                <c:pt idx="793">
                  <c:v>-13.4565586606909</c:v>
                </c:pt>
                <c:pt idx="794">
                  <c:v>-13.4702474957174</c:v>
                </c:pt>
                <c:pt idx="795">
                  <c:v>-13.4839363692124</c:v>
                </c:pt>
                <c:pt idx="796">
                  <c:v>-13.4976252811755</c:v>
                </c:pt>
                <c:pt idx="797">
                  <c:v>-13.5113142316064</c:v>
                </c:pt>
                <c:pt idx="798">
                  <c:v>-13.5250032205046</c:v>
                </c:pt>
                <c:pt idx="799">
                  <c:v>-13.5386922478696</c:v>
                </c:pt>
                <c:pt idx="800">
                  <c:v>-13.5523813137012</c:v>
                </c:pt>
                <c:pt idx="801">
                  <c:v>-13.5660704179989</c:v>
                </c:pt>
                <c:pt idx="802">
                  <c:v>-13.5797595607622</c:v>
                </c:pt>
                <c:pt idx="803">
                  <c:v>-13.5934487419908</c:v>
                </c:pt>
                <c:pt idx="804">
                  <c:v>-13.6071379616842</c:v>
                </c:pt>
                <c:pt idx="805">
                  <c:v>-13.6208272198421</c:v>
                </c:pt>
                <c:pt idx="806">
                  <c:v>-13.6345165164641</c:v>
                </c:pt>
                <c:pt idx="807">
                  <c:v>-13.6482058515496</c:v>
                </c:pt>
                <c:pt idx="808">
                  <c:v>-13.6618952250984</c:v>
                </c:pt>
                <c:pt idx="809">
                  <c:v>-13.6755846371101</c:v>
                </c:pt>
                <c:pt idx="810">
                  <c:v>-13.6892740875841</c:v>
                </c:pt>
                <c:pt idx="811">
                  <c:v>-13.7029635765201</c:v>
                </c:pt>
                <c:pt idx="812">
                  <c:v>-13.7166531039177</c:v>
                </c:pt>
                <c:pt idx="813">
                  <c:v>-13.7303426697765</c:v>
                </c:pt>
                <c:pt idx="814">
                  <c:v>-13.7440322740961</c:v>
                </c:pt>
                <c:pt idx="815">
                  <c:v>-13.757721916876</c:v>
                </c:pt>
                <c:pt idx="816">
                  <c:v>-13.7714115981159</c:v>
                </c:pt>
                <c:pt idx="817">
                  <c:v>-13.7851013178153</c:v>
                </c:pt>
                <c:pt idx="818">
                  <c:v>-13.7987910759738</c:v>
                </c:pt>
                <c:pt idx="819">
                  <c:v>-13.8124808725911</c:v>
                </c:pt>
                <c:pt idx="820">
                  <c:v>-13.8261707076667</c:v>
                </c:pt>
                <c:pt idx="821">
                  <c:v>-13.8398605812002</c:v>
                </c:pt>
                <c:pt idx="822">
                  <c:v>-13.8535504931912</c:v>
                </c:pt>
                <c:pt idx="823">
                  <c:v>-13.8672404436393</c:v>
                </c:pt>
                <c:pt idx="824">
                  <c:v>-13.8809304325441</c:v>
                </c:pt>
                <c:pt idx="825">
                  <c:v>-13.8946204599052</c:v>
                </c:pt>
                <c:pt idx="826">
                  <c:v>-13.9083105257221</c:v>
                </c:pt>
                <c:pt idx="827">
                  <c:v>-13.9220006299945</c:v>
                </c:pt>
                <c:pt idx="828">
                  <c:v>-13.9356907727219</c:v>
                </c:pt>
                <c:pt idx="829">
                  <c:v>-13.949380953904</c:v>
                </c:pt>
                <c:pt idx="830">
                  <c:v>-13.9630711735403</c:v>
                </c:pt>
                <c:pt idx="831">
                  <c:v>-13.9767614316305</c:v>
                </c:pt>
                <c:pt idx="832">
                  <c:v>-13.990451728174</c:v>
                </c:pt>
                <c:pt idx="833">
                  <c:v>-14.0041420631705</c:v>
                </c:pt>
                <c:pt idx="834">
                  <c:v>-14.0178324366197</c:v>
                </c:pt>
                <c:pt idx="835">
                  <c:v>-14.031522848521</c:v>
                </c:pt>
                <c:pt idx="836">
                  <c:v>-14.0452132988741</c:v>
                </c:pt>
                <c:pt idx="837">
                  <c:v>-14.0589037876786</c:v>
                </c:pt>
                <c:pt idx="838">
                  <c:v>-14.0725943149341</c:v>
                </c:pt>
                <c:pt idx="839">
                  <c:v>-14.08628488064</c:v>
                </c:pt>
                <c:pt idx="840">
                  <c:v>-14.0999754847962</c:v>
                </c:pt>
                <c:pt idx="841">
                  <c:v>-14.1136661274021</c:v>
                </c:pt>
                <c:pt idx="842">
                  <c:v>-14.1273568084573</c:v>
                </c:pt>
                <c:pt idx="843">
                  <c:v>-14.1410475279614</c:v>
                </c:pt>
                <c:pt idx="844">
                  <c:v>-14.154738285914</c:v>
                </c:pt>
                <c:pt idx="845">
                  <c:v>-14.1684290823147</c:v>
                </c:pt>
                <c:pt idx="846">
                  <c:v>-14.1821199171631</c:v>
                </c:pt>
                <c:pt idx="847">
                  <c:v>-14.1958107904588</c:v>
                </c:pt>
                <c:pt idx="848">
                  <c:v>-14.2095017022014</c:v>
                </c:pt>
                <c:pt idx="849">
                  <c:v>-14.2231926523905</c:v>
                </c:pt>
                <c:pt idx="850">
                  <c:v>-14.2368836410255</c:v>
                </c:pt>
                <c:pt idx="851">
                  <c:v>-14.2505746681063</c:v>
                </c:pt>
                <c:pt idx="852">
                  <c:v>-14.2642657336323</c:v>
                </c:pt>
                <c:pt idx="853">
                  <c:v>-14.2779568376031</c:v>
                </c:pt>
                <c:pt idx="854">
                  <c:v>-14.2916479800183</c:v>
                </c:pt>
                <c:pt idx="855">
                  <c:v>-14.3053391608776</c:v>
                </c:pt>
                <c:pt idx="856">
                  <c:v>-14.3190303801804</c:v>
                </c:pt>
                <c:pt idx="857">
                  <c:v>-14.3327216379265</c:v>
                </c:pt>
                <c:pt idx="858">
                  <c:v>-14.3464129341153</c:v>
                </c:pt>
                <c:pt idx="859">
                  <c:v>-14.3601042687465</c:v>
                </c:pt>
                <c:pt idx="860">
                  <c:v>-14.3737956418197</c:v>
                </c:pt>
                <c:pt idx="861">
                  <c:v>-14.3874870533344</c:v>
                </c:pt>
                <c:pt idx="862">
                  <c:v>-14.4011785032903</c:v>
                </c:pt>
                <c:pt idx="863">
                  <c:v>-14.414869991687</c:v>
                </c:pt>
                <c:pt idx="864">
                  <c:v>-14.428561518524</c:v>
                </c:pt>
                <c:pt idx="865">
                  <c:v>-14.4422530838009</c:v>
                </c:pt>
                <c:pt idx="866">
                  <c:v>-14.4559446875173</c:v>
                </c:pt>
                <c:pt idx="867">
                  <c:v>-14.4696363296728</c:v>
                </c:pt>
                <c:pt idx="868">
                  <c:v>-14.483328010267</c:v>
                </c:pt>
                <c:pt idx="869">
                  <c:v>-14.4970197292995</c:v>
                </c:pt>
                <c:pt idx="870">
                  <c:v>-14.5107114867699</c:v>
                </c:pt>
                <c:pt idx="871">
                  <c:v>-14.5244032826778</c:v>
                </c:pt>
                <c:pt idx="872">
                  <c:v>-14.5380951170228</c:v>
                </c:pt>
                <c:pt idx="873">
                  <c:v>-14.5517869898044</c:v>
                </c:pt>
                <c:pt idx="874">
                  <c:v>-14.5654789010222</c:v>
                </c:pt>
                <c:pt idx="875">
                  <c:v>-14.5791708506759</c:v>
                </c:pt>
                <c:pt idx="876">
                  <c:v>-14.592862838765</c:v>
                </c:pt>
                <c:pt idx="877">
                  <c:v>-14.6065548652891</c:v>
                </c:pt>
                <c:pt idx="878">
                  <c:v>-14.6202469302479</c:v>
                </c:pt>
                <c:pt idx="879">
                  <c:v>-14.6339390336408</c:v>
                </c:pt>
                <c:pt idx="880">
                  <c:v>-14.6476311754676</c:v>
                </c:pt>
                <c:pt idx="881">
                  <c:v>-14.6613233557277</c:v>
                </c:pt>
                <c:pt idx="882">
                  <c:v>-14.6750155744208</c:v>
                </c:pt>
                <c:pt idx="883">
                  <c:v>-14.6887078315465</c:v>
                </c:pt>
                <c:pt idx="884">
                  <c:v>-14.7024001271043</c:v>
                </c:pt>
                <c:pt idx="885">
                  <c:v>-14.7160924610939</c:v>
                </c:pt>
                <c:pt idx="886">
                  <c:v>-14.7297848335149</c:v>
                </c:pt>
                <c:pt idx="887">
                  <c:v>-14.7434772443668</c:v>
                </c:pt>
                <c:pt idx="888">
                  <c:v>-14.7571696936492</c:v>
                </c:pt>
                <c:pt idx="889">
                  <c:v>-14.7708621813617</c:v>
                </c:pt>
                <c:pt idx="890">
                  <c:v>-14.7845547075039</c:v>
                </c:pt>
                <c:pt idx="891">
                  <c:v>-14.7982472720754</c:v>
                </c:pt>
                <c:pt idx="892">
                  <c:v>-14.8119398750759</c:v>
                </c:pt>
                <c:pt idx="893">
                  <c:v>-14.8256325165048</c:v>
                </c:pt>
                <c:pt idx="894">
                  <c:v>-14.8393251963617</c:v>
                </c:pt>
                <c:pt idx="895">
                  <c:v>-14.8530179146464</c:v>
                </c:pt>
                <c:pt idx="896">
                  <c:v>-14.8667106713583</c:v>
                </c:pt>
                <c:pt idx="897">
                  <c:v>-14.880403466497</c:v>
                </c:pt>
                <c:pt idx="898">
                  <c:v>-14.8940963000622</c:v>
                </c:pt>
                <c:pt idx="899">
                  <c:v>-14.9077891720535</c:v>
                </c:pt>
                <c:pt idx="900">
                  <c:v>-14.9214820824703</c:v>
                </c:pt>
                <c:pt idx="901">
                  <c:v>-14.9351750313124</c:v>
                </c:pt>
                <c:pt idx="902">
                  <c:v>-14.9488680185792</c:v>
                </c:pt>
                <c:pt idx="903">
                  <c:v>-14.9625610442705</c:v>
                </c:pt>
                <c:pt idx="904">
                  <c:v>-14.9762541083857</c:v>
                </c:pt>
                <c:pt idx="905">
                  <c:v>-14.9899472109246</c:v>
                </c:pt>
                <c:pt idx="906">
                  <c:v>-15.0036403518866</c:v>
                </c:pt>
                <c:pt idx="907">
                  <c:v>-15.0173335312713</c:v>
                </c:pt>
                <c:pt idx="908">
                  <c:v>-15.0310267490784</c:v>
                </c:pt>
                <c:pt idx="909">
                  <c:v>-15.0447200053075</c:v>
                </c:pt>
                <c:pt idx="910">
                  <c:v>-15.0584132999581</c:v>
                </c:pt>
                <c:pt idx="911">
                  <c:v>-15.0721066330298</c:v>
                </c:pt>
                <c:pt idx="912">
                  <c:v>-15.0858000045222</c:v>
                </c:pt>
                <c:pt idx="913">
                  <c:v>-15.099493414435</c:v>
                </c:pt>
                <c:pt idx="914">
                  <c:v>-15.1131868627676</c:v>
                </c:pt>
                <c:pt idx="915">
                  <c:v>-15.1268803495198</c:v>
                </c:pt>
                <c:pt idx="916">
                  <c:v>-15.140573874691</c:v>
                </c:pt>
                <c:pt idx="917">
                  <c:v>-15.1542674382809</c:v>
                </c:pt>
                <c:pt idx="918">
                  <c:v>-15.1679610402891</c:v>
                </c:pt>
                <c:pt idx="919">
                  <c:v>-15.1816546807151</c:v>
                </c:pt>
                <c:pt idx="920">
                  <c:v>-15.1953483595586</c:v>
                </c:pt>
                <c:pt idx="921">
                  <c:v>-15.2090420768191</c:v>
                </c:pt>
                <c:pt idx="922">
                  <c:v>-15.2227358324963</c:v>
                </c:pt>
                <c:pt idx="923">
                  <c:v>-15.2364296265897</c:v>
                </c:pt>
                <c:pt idx="924">
                  <c:v>-15.2501234590989</c:v>
                </c:pt>
                <c:pt idx="925">
                  <c:v>-15.2638173300235</c:v>
                </c:pt>
                <c:pt idx="926">
                  <c:v>-15.2775112393631</c:v>
                </c:pt>
                <c:pt idx="927">
                  <c:v>-15.2912051871172</c:v>
                </c:pt>
                <c:pt idx="928">
                  <c:v>-15.3048991732856</c:v>
                </c:pt>
                <c:pt idx="929">
                  <c:v>-15.3185931978678</c:v>
                </c:pt>
                <c:pt idx="930">
                  <c:v>-15.3322872608633</c:v>
                </c:pt>
                <c:pt idx="931">
                  <c:v>-15.3459813622717</c:v>
                </c:pt>
                <c:pt idx="932">
                  <c:v>-15.3596755020927</c:v>
                </c:pt>
                <c:pt idx="933">
                  <c:v>-15.3733696803259</c:v>
                </c:pt>
                <c:pt idx="934">
                  <c:v>-15.3870638969708</c:v>
                </c:pt>
                <c:pt idx="935">
                  <c:v>-15.400758152027</c:v>
                </c:pt>
                <c:pt idx="936">
                  <c:v>-15.4144524454941</c:v>
                </c:pt>
                <c:pt idx="937">
                  <c:v>-15.4281467773717</c:v>
                </c:pt>
                <c:pt idx="938">
                  <c:v>-15.4418411476594</c:v>
                </c:pt>
                <c:pt idx="939">
                  <c:v>-15.4555355563568</c:v>
                </c:pt>
                <c:pt idx="940">
                  <c:v>-15.4692300034634</c:v>
                </c:pt>
                <c:pt idx="941">
                  <c:v>-15.482924488979</c:v>
                </c:pt>
                <c:pt idx="942">
                  <c:v>-15.496619012903</c:v>
                </c:pt>
                <c:pt idx="943">
                  <c:v>-15.510313575235</c:v>
                </c:pt>
                <c:pt idx="944">
                  <c:v>-15.5240081759747</c:v>
                </c:pt>
                <c:pt idx="945">
                  <c:v>-15.5377028151217</c:v>
                </c:pt>
                <c:pt idx="946">
                  <c:v>-15.5513974926754</c:v>
                </c:pt>
                <c:pt idx="947">
                  <c:v>-15.5650922086356</c:v>
                </c:pt>
                <c:pt idx="948">
                  <c:v>-15.5787869630018</c:v>
                </c:pt>
                <c:pt idx="949">
                  <c:v>-15.5924817557736</c:v>
                </c:pt>
                <c:pt idx="950">
                  <c:v>-15.6061765869505</c:v>
                </c:pt>
                <c:pt idx="951">
                  <c:v>-15.6198714565323</c:v>
                </c:pt>
                <c:pt idx="952">
                  <c:v>-15.6335663645184</c:v>
                </c:pt>
                <c:pt idx="953">
                  <c:v>-15.6472613109085</c:v>
                </c:pt>
                <c:pt idx="954">
                  <c:v>-15.6609562957022</c:v>
                </c:pt>
                <c:pt idx="955">
                  <c:v>-15.674651318899</c:v>
                </c:pt>
                <c:pt idx="956">
                  <c:v>-15.6883463804985</c:v>
                </c:pt>
                <c:pt idx="957">
                  <c:v>-15.7020414805004</c:v>
                </c:pt>
                <c:pt idx="958">
                  <c:v>-15.7157366189042</c:v>
                </c:pt>
                <c:pt idx="959">
                  <c:v>-15.7294317957095</c:v>
                </c:pt>
                <c:pt idx="960">
                  <c:v>-15.743127010916</c:v>
                </c:pt>
                <c:pt idx="961">
                  <c:v>-15.7568222645231</c:v>
                </c:pt>
                <c:pt idx="962">
                  <c:v>-15.7705175565305</c:v>
                </c:pt>
                <c:pt idx="963">
                  <c:v>-15.7842128869378</c:v>
                </c:pt>
                <c:pt idx="964">
                  <c:v>-15.7979082557445</c:v>
                </c:pt>
                <c:pt idx="965">
                  <c:v>-15.8116036629504</c:v>
                </c:pt>
                <c:pt idx="966">
                  <c:v>-15.8252991085548</c:v>
                </c:pt>
                <c:pt idx="967">
                  <c:v>-15.8389945925576</c:v>
                </c:pt>
                <c:pt idx="968">
                  <c:v>-15.8526901149581</c:v>
                </c:pt>
                <c:pt idx="969">
                  <c:v>-15.8663856757561</c:v>
                </c:pt>
                <c:pt idx="970">
                  <c:v>-15.8800812749511</c:v>
                </c:pt>
                <c:pt idx="971">
                  <c:v>-15.8937769125428</c:v>
                </c:pt>
                <c:pt idx="972">
                  <c:v>-15.9074725885306</c:v>
                </c:pt>
                <c:pt idx="973">
                  <c:v>-15.9211683029142</c:v>
                </c:pt>
                <c:pt idx="974">
                  <c:v>-15.9348640556932</c:v>
                </c:pt>
                <c:pt idx="975">
                  <c:v>-15.9485598468672</c:v>
                </c:pt>
                <c:pt idx="976">
                  <c:v>-15.9622556764358</c:v>
                </c:pt>
                <c:pt idx="977">
                  <c:v>-15.9759515443985</c:v>
                </c:pt>
                <c:pt idx="978">
                  <c:v>-15.989647450755</c:v>
                </c:pt>
                <c:pt idx="979">
                  <c:v>-16.0033433955048</c:v>
                </c:pt>
                <c:pt idx="980">
                  <c:v>-16.0170393786475</c:v>
                </c:pt>
                <c:pt idx="981">
                  <c:v>-16.0307354001828</c:v>
                </c:pt>
                <c:pt idx="982">
                  <c:v>-16.0444314601102</c:v>
                </c:pt>
                <c:pt idx="983">
                  <c:v>-16.0581275584293</c:v>
                </c:pt>
                <c:pt idx="984">
                  <c:v>-16.0718236951397</c:v>
                </c:pt>
                <c:pt idx="985">
                  <c:v>-16.085519870241</c:v>
                </c:pt>
                <c:pt idx="986">
                  <c:v>-16.0992160837328</c:v>
                </c:pt>
                <c:pt idx="987">
                  <c:v>-16.1129123356146</c:v>
                </c:pt>
                <c:pt idx="988">
                  <c:v>-16.1266086258862</c:v>
                </c:pt>
                <c:pt idx="989">
                  <c:v>-16.1403049545469</c:v>
                </c:pt>
                <c:pt idx="990">
                  <c:v>-16.1540013215966</c:v>
                </c:pt>
                <c:pt idx="991">
                  <c:v>-16.1676977270346</c:v>
                </c:pt>
                <c:pt idx="992">
                  <c:v>-16.1813941708607</c:v>
                </c:pt>
                <c:pt idx="993">
                  <c:v>-16.1950906530745</c:v>
                </c:pt>
                <c:pt idx="994">
                  <c:v>-16.2087871736754</c:v>
                </c:pt>
                <c:pt idx="995">
                  <c:v>-16.2224837326632</c:v>
                </c:pt>
                <c:pt idx="996">
                  <c:v>-16.2361803300373</c:v>
                </c:pt>
                <c:pt idx="997">
                  <c:v>-16.2498769657974</c:v>
                </c:pt>
                <c:pt idx="998">
                  <c:v>-16.2635736399432</c:v>
                </c:pt>
                <c:pt idx="999">
                  <c:v>-16.2772703524741</c:v>
                </c:pt>
                <c:pt idx="1000">
                  <c:v>-16.2909671033897</c:v>
                </c:pt>
              </c:numCache>
            </c:numRef>
          </c:yVal>
          <c:smooth val="0"/>
        </c:ser>
        <c:axId val="91818252"/>
        <c:axId val="48487623"/>
      </c:scatterChart>
      <c:valAx>
        <c:axId val="91818252"/>
        <c:scaling>
          <c:orientation val="minMax"/>
        </c:scaling>
        <c:delete val="0"/>
        <c:axPos val="b"/>
        <c:majorGridlines>
          <c:spPr>
            <a:ln w="3240">
              <a:solidFill>
                <a:srgbClr val="000000"/>
              </a:solidFill>
              <a:prstDash val="sysDash"/>
              <a:round/>
            </a:ln>
          </c:spPr>
        </c:majorGridlines>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48487623"/>
        <c:crosses val="autoZero"/>
        <c:crossBetween val="midCat"/>
      </c:valAx>
      <c:valAx>
        <c:axId val="48487623"/>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1175" spc="-1" strike="noStrike">
                    <a:solidFill>
                      <a:srgbClr val="000000"/>
                    </a:solidFill>
                    <a:latin typeface="Arial"/>
                    <a:ea typeface="Arial"/>
                  </a:defRPr>
                </a:pPr>
                <a:r>
                  <a:rPr b="1" lang="fr-FR" sz="1175" spc="-1" strike="noStrike">
                    <a:solidFill>
                      <a:srgbClr val="000000"/>
                    </a:solidFill>
                    <a:latin typeface="Arial"/>
                    <a:ea typeface="Arial"/>
                  </a:rPr>
                  <a:t>Positions [m]</a:t>
                </a:r>
              </a:p>
            </c:rich>
          </c:tx>
          <c:layout>
            <c:manualLayout>
              <c:xMode val="edge"/>
              <c:yMode val="edge"/>
              <c:x val="0.0200252570810031"/>
              <c:y val="0.300393700787402"/>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91818252"/>
        <c:crosses val="autoZero"/>
        <c:crossBetween val="midCat"/>
      </c:valAx>
      <c:spPr>
        <a:noFill/>
        <a:ln w="12600">
          <a:solidFill>
            <a:srgbClr val="808080"/>
          </a:solidFill>
          <a:round/>
        </a:ln>
      </c:spPr>
    </c:plotArea>
    <c:legend>
      <c:legendPos val="r"/>
      <c:layout>
        <c:manualLayout>
          <c:xMode val="edge"/>
          <c:yMode val="edge"/>
          <c:x val="0.828616971227653"/>
          <c:y val="0.488889238845144"/>
          <c:w val="0.136792576635468"/>
          <c:h val="0.15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200" spc="-1" strike="noStrike">
                <a:solidFill>
                  <a:srgbClr val="000000"/>
                </a:solidFill>
                <a:latin typeface="Arial"/>
                <a:ea typeface="Arial"/>
              </a:defRPr>
            </a:pPr>
            <a:r>
              <a:rPr b="0" sz="1200" spc="-1" strike="noStrike">
                <a:solidFill>
                  <a:srgbClr val="000000"/>
                </a:solidFill>
                <a:latin typeface="Arial"/>
                <a:ea typeface="Arial"/>
              </a:rPr>
              <a:t>p29-1G 56F31</a:t>
            </a:r>
          </a:p>
        </c:rich>
      </c:tx>
      <c:layout>
        <c:manualLayout>
          <c:xMode val="edge"/>
          <c:yMode val="edge"/>
          <c:x val="0.471259124087591"/>
          <c:y val="0.0391086857662574"/>
        </c:manualLayout>
      </c:layout>
      <c:overlay val="0"/>
      <c:spPr>
        <a:noFill/>
        <a:ln w="0">
          <a:noFill/>
        </a:ln>
      </c:spPr>
    </c:title>
    <c:autoTitleDeleted val="0"/>
    <c:plotArea>
      <c:layout>
        <c:manualLayout>
          <c:layoutTarget val="inner"/>
          <c:xMode val="edge"/>
          <c:yMode val="edge"/>
          <c:x val="0.0724794708029197"/>
          <c:y val="0.0554797635288768"/>
          <c:w val="0.889712591240876"/>
          <c:h val="0.823707745945127"/>
        </c:manualLayout>
      </c:layout>
      <c:scatterChart>
        <c:scatterStyle val="lineMarker"/>
        <c:varyColors val="0"/>
        <c:ser>
          <c:idx val="0"/>
          <c:order val="0"/>
          <c:tx>
            <c:strRef>
              <c:f>Propu!$A$4</c:f>
              <c:strCache>
                <c:ptCount val="1"/>
                <c:pt idx="0">
                  <c:v>Poussée (en N)</c:v>
                </c:pt>
              </c:strCache>
            </c:strRef>
          </c:tx>
          <c:spPr>
            <a:solidFill>
              <a:srgbClr val="004586"/>
            </a:solidFill>
            <a:ln w="25560">
              <a:solidFill>
                <a:srgbClr val="004586"/>
              </a:solidFill>
              <a:round/>
            </a:ln>
          </c:spPr>
          <c:marker>
            <c:symbol val="square"/>
            <c:size val="4"/>
            <c:spPr>
              <a:solidFill>
                <a:srgbClr val="004586"/>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Propu!$B$3:$X$3</c:f>
              <c:numCache>
                <c:formatCode>General</c:formatCode>
                <c:ptCount val="23"/>
                <c:pt idx="0">
                  <c:v>0</c:v>
                </c:pt>
                <c:pt idx="1">
                  <c:v>0.05</c:v>
                </c:pt>
                <c:pt idx="2">
                  <c:v>0.5</c:v>
                </c:pt>
                <c:pt idx="3">
                  <c:v>1</c:v>
                </c:pt>
                <c:pt idx="4">
                  <c:v>1.5</c:v>
                </c:pt>
                <c:pt idx="5">
                  <c:v>2</c:v>
                </c:pt>
                <c:pt idx="6">
                  <c:v>2.5</c:v>
                </c:pt>
                <c:pt idx="7">
                  <c:v>2.97</c:v>
                </c:pt>
                <c:pt idx="8">
                  <c:v>3.2</c:v>
                </c:pt>
                <c:pt idx="9">
                  <c:v>3.47</c:v>
                </c:pt>
                <c:pt idx="10">
                  <c:v>3.59</c:v>
                </c:pt>
                <c:pt idx="11">
                  <c:v>3.59</c:v>
                </c:pt>
                <c:pt idx="12">
                  <c:v>3.59</c:v>
                </c:pt>
                <c:pt idx="13">
                  <c:v>3.59</c:v>
                </c:pt>
                <c:pt idx="14">
                  <c:v>3.59</c:v>
                </c:pt>
                <c:pt idx="15">
                  <c:v>3.59</c:v>
                </c:pt>
                <c:pt idx="16">
                  <c:v>3.59</c:v>
                </c:pt>
                <c:pt idx="17">
                  <c:v>3.59</c:v>
                </c:pt>
                <c:pt idx="18">
                  <c:v>3.59</c:v>
                </c:pt>
                <c:pt idx="19">
                  <c:v>3.59</c:v>
                </c:pt>
                <c:pt idx="20">
                  <c:v>3.59</c:v>
                </c:pt>
                <c:pt idx="21">
                  <c:v>3.59</c:v>
                </c:pt>
                <c:pt idx="22">
                  <c:v>3.59</c:v>
                </c:pt>
              </c:numCache>
            </c:numRef>
          </c:xVal>
          <c:yVal>
            <c:numRef>
              <c:f>Propu!$B$4:$X$4</c:f>
              <c:numCache>
                <c:formatCode>General</c:formatCode>
                <c:ptCount val="23"/>
                <c:pt idx="0">
                  <c:v>0</c:v>
                </c:pt>
                <c:pt idx="1">
                  <c:v>893</c:v>
                </c:pt>
                <c:pt idx="2">
                  <c:v>798</c:v>
                </c:pt>
                <c:pt idx="3">
                  <c:v>739</c:v>
                </c:pt>
                <c:pt idx="4">
                  <c:v>659</c:v>
                </c:pt>
                <c:pt idx="5">
                  <c:v>586</c:v>
                </c:pt>
                <c:pt idx="6">
                  <c:v>513</c:v>
                </c:pt>
                <c:pt idx="7">
                  <c:v>417</c:v>
                </c:pt>
                <c:pt idx="8">
                  <c:v>225</c:v>
                </c:pt>
                <c:pt idx="9">
                  <c:v>67</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ser>
        <c:axId val="32815027"/>
        <c:axId val="27104553"/>
      </c:scatterChart>
      <c:valAx>
        <c:axId val="32815027"/>
        <c:scaling>
          <c:orientation val="minMax"/>
        </c:scaling>
        <c:delete val="0"/>
        <c:axPos val="b"/>
        <c:majorGridlines>
          <c:spPr>
            <a:ln w="3240">
              <a:solidFill>
                <a:srgbClr val="b3b3b3"/>
              </a:solidFill>
              <a:prstDash val="sysDash"/>
              <a:round/>
            </a:ln>
          </c:spPr>
        </c:majorGridlines>
        <c:title>
          <c:tx>
            <c:rich>
              <a:bodyPr rot="0"/>
              <a:lstStyle/>
              <a:p>
                <a:pPr>
                  <a:defRPr b="0" lang="fr-FR" sz="1000" spc="-1" strike="noStrike">
                    <a:solidFill>
                      <a:srgbClr val="000000"/>
                    </a:solidFill>
                    <a:latin typeface="Arial"/>
                    <a:ea typeface="Arial"/>
                  </a:defRPr>
                </a:pPr>
                <a:r>
                  <a:rPr b="0" lang="fr-FR" sz="1000" spc="-1" strike="noStrike">
                    <a:solidFill>
                      <a:srgbClr val="000000"/>
                    </a:solidFill>
                    <a:latin typeface="Arial"/>
                    <a:ea typeface="Arial"/>
                  </a:rPr>
                  <a:t>Temps / Time [s]</a:t>
                </a:r>
              </a:p>
            </c:rich>
          </c:tx>
          <c:layout>
            <c:manualLayout>
              <c:xMode val="edge"/>
              <c:yMode val="edge"/>
              <c:x val="0.786667427007299"/>
              <c:y val="0.688797938456874"/>
            </c:manualLayout>
          </c:layout>
          <c:overlay val="0"/>
          <c:spPr>
            <a:noFill/>
            <a:ln w="25560">
              <a:noFill/>
            </a:ln>
          </c:spPr>
        </c:title>
        <c:numFmt formatCode="General"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27104553"/>
        <c:crosses val="autoZero"/>
        <c:crossBetween val="midCat"/>
      </c:valAx>
      <c:valAx>
        <c:axId val="27104553"/>
        <c:scaling>
          <c:orientation val="minMax"/>
        </c:scaling>
        <c:delete val="0"/>
        <c:axPos val="l"/>
        <c:majorGridlines>
          <c:spPr>
            <a:ln w="3240">
              <a:solidFill>
                <a:srgbClr val="b3b3b3"/>
              </a:solidFill>
              <a:prstDash val="sysDash"/>
              <a:round/>
            </a:ln>
          </c:spPr>
        </c:majorGridlines>
        <c:title>
          <c:tx>
            <c:rich>
              <a:bodyPr rot="-5400000"/>
              <a:lstStyle/>
              <a:p>
                <a:pPr>
                  <a:defRPr b="0" lang="fr-FR" sz="1000" spc="-1" strike="noStrike">
                    <a:solidFill>
                      <a:srgbClr val="000000"/>
                    </a:solidFill>
                    <a:latin typeface="Arial"/>
                    <a:ea typeface="Arial"/>
                  </a:defRPr>
                </a:pPr>
                <a:r>
                  <a:rPr b="0" lang="fr-FR" sz="1000" spc="-1" strike="noStrike">
                    <a:solidFill>
                      <a:srgbClr val="000000"/>
                    </a:solidFill>
                    <a:latin typeface="Arial"/>
                    <a:ea typeface="Arial"/>
                  </a:rPr>
                  <a:t>Poussée / Thrust [N]</a:t>
                </a:r>
              </a:p>
            </c:rich>
          </c:tx>
          <c:layout>
            <c:manualLayout>
              <c:xMode val="edge"/>
              <c:yMode val="edge"/>
              <c:x val="0.0851961678832117"/>
              <c:y val="0.35303926026982"/>
            </c:manualLayout>
          </c:layout>
          <c:overlay val="0"/>
          <c:spPr>
            <a:noFill/>
            <a:ln w="25560">
              <a:noFill/>
            </a:ln>
          </c:spPr>
        </c:title>
        <c:numFmt formatCode="General"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32815027"/>
        <c:crosses val="autoZero"/>
        <c:crossBetween val="midCat"/>
      </c:valAx>
      <c:spPr>
        <a:noFill/>
        <a:ln w="3240">
          <a:solidFill>
            <a:srgbClr val="b3b3b3"/>
          </a:solidFill>
          <a:round/>
        </a:ln>
      </c:spPr>
    </c:plotArea>
    <c:plotVisOnly val="0"/>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chart" Target="../charts/chart1.xml"/><Relationship Id="rId4" Type="http://schemas.openxmlformats.org/officeDocument/2006/relationships/chart" Target="../charts/chart2.xml"/><Relationship Id="rId5" Type="http://schemas.openxmlformats.org/officeDocument/2006/relationships/image" Target="../media/image3.png"/><Relationship Id="rId6" Type="http://schemas.openxmlformats.org/officeDocument/2006/relationships/image" Target="../media/image4.png"/><Relationship Id="rId7" Type="http://schemas.openxmlformats.org/officeDocument/2006/relationships/image" Target="../media/image5.png"/>
</Relationships>
</file>

<file path=xl/drawings/_rels/drawing2.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image" Target="../media/image3.png"/>
</Relationships>
</file>

<file path=xl/drawings/_rels/drawing3.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
</Relationships>
</file>

<file path=xl/drawings/_rels/drawing4.xml.rels><?xml version="1.0" encoding="UTF-8"?>
<Relationships xmlns="http://schemas.openxmlformats.org/package/2006/relationships"><Relationship Id="rId1" Type="http://schemas.openxmlformats.org/officeDocument/2006/relationships/chart" Target="../charts/chart9.xml"/>
</Relationships>
</file>

<file path=xl/drawings/_rels/drawing6.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
</Relationships>
</file>

<file path=xl/drawings/_rels/drawing7.xml.rels><?xml version="1.0" encoding="UTF-8"?>
<Relationships xmlns="http://schemas.openxmlformats.org/package/2006/relationships"><Relationship Id="rId1" Type="http://schemas.openxmlformats.org/officeDocument/2006/relationships/image" Target="../media/image6.jpeg"/><Relationship Id="rId2" Type="http://schemas.openxmlformats.org/officeDocument/2006/relationships/image" Target="../media/image7.png"/><Relationship Id="rId3"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25560</xdr:colOff>
      <xdr:row>1</xdr:row>
      <xdr:rowOff>25560</xdr:rowOff>
    </xdr:from>
    <xdr:to>
      <xdr:col>12</xdr:col>
      <xdr:colOff>488520</xdr:colOff>
      <xdr:row>1</xdr:row>
      <xdr:rowOff>139680</xdr:rowOff>
    </xdr:to>
    <xdr:grpSp>
      <xdr:nvGrpSpPr>
        <xdr:cNvPr id="0" name="Groupe 1"/>
        <xdr:cNvGrpSpPr/>
      </xdr:nvGrpSpPr>
      <xdr:grpSpPr>
        <a:xfrm>
          <a:off x="7796520" y="187560"/>
          <a:ext cx="462960" cy="114120"/>
          <a:chOff x="7796520" y="187560"/>
          <a:chExt cx="462960" cy="114120"/>
        </a:xfrm>
      </xdr:grpSpPr>
      <xdr:pic>
        <xdr:nvPicPr>
          <xdr:cNvPr id="1" name="Image 1" descr=""/>
          <xdr:cNvPicPr/>
        </xdr:nvPicPr>
        <xdr:blipFill>
          <a:blip r:embed="rId1"/>
          <a:stretch/>
        </xdr:blipFill>
        <xdr:spPr>
          <a:xfrm>
            <a:off x="7796520" y="187560"/>
            <a:ext cx="181080" cy="114120"/>
          </a:xfrm>
          <a:prstGeom prst="rect">
            <a:avLst/>
          </a:prstGeom>
          <a:ln w="9525">
            <a:noFill/>
          </a:ln>
        </xdr:spPr>
      </xdr:pic>
      <xdr:pic>
        <xdr:nvPicPr>
          <xdr:cNvPr id="2" name="Image 2" descr=""/>
          <xdr:cNvPicPr/>
        </xdr:nvPicPr>
        <xdr:blipFill>
          <a:blip r:embed="rId2"/>
          <a:stretch/>
        </xdr:blipFill>
        <xdr:spPr>
          <a:xfrm>
            <a:off x="8017920" y="187560"/>
            <a:ext cx="241560" cy="114120"/>
          </a:xfrm>
          <a:prstGeom prst="rect">
            <a:avLst/>
          </a:prstGeom>
          <a:ln w="9525">
            <a:noFill/>
          </a:ln>
        </xdr:spPr>
      </xdr:pic>
    </xdr:grpSp>
    <xdr:clientData/>
  </xdr:twoCellAnchor>
  <xdr:twoCellAnchor editAs="oneCell">
    <xdr:from>
      <xdr:col>4</xdr:col>
      <xdr:colOff>279360</xdr:colOff>
      <xdr:row>1</xdr:row>
      <xdr:rowOff>0</xdr:rowOff>
    </xdr:from>
    <xdr:to>
      <xdr:col>9</xdr:col>
      <xdr:colOff>377280</xdr:colOff>
      <xdr:row>23</xdr:row>
      <xdr:rowOff>161640</xdr:rowOff>
    </xdr:to>
    <xdr:graphicFrame>
      <xdr:nvGraphicFramePr>
        <xdr:cNvPr id="3" name="Graphique 9"/>
        <xdr:cNvGraphicFramePr/>
      </xdr:nvGraphicFramePr>
      <xdr:xfrm>
        <a:off x="3386880" y="162000"/>
        <a:ext cx="3031920" cy="3723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0</xdr:colOff>
      <xdr:row>25</xdr:row>
      <xdr:rowOff>0</xdr:rowOff>
    </xdr:from>
    <xdr:to>
      <xdr:col>15</xdr:col>
      <xdr:colOff>608040</xdr:colOff>
      <xdr:row>34</xdr:row>
      <xdr:rowOff>161640</xdr:rowOff>
    </xdr:to>
    <xdr:graphicFrame>
      <xdr:nvGraphicFramePr>
        <xdr:cNvPr id="4" name="Graphique 19"/>
        <xdr:cNvGraphicFramePr/>
      </xdr:nvGraphicFramePr>
      <xdr:xfrm>
        <a:off x="6572880" y="4048200"/>
        <a:ext cx="3016440" cy="16189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983880</xdr:colOff>
      <xdr:row>4</xdr:row>
      <xdr:rowOff>151920</xdr:rowOff>
    </xdr:to>
    <xdr:pic>
      <xdr:nvPicPr>
        <xdr:cNvPr id="5" name="Picture 8" descr="logoplasci"/>
        <xdr:cNvPicPr/>
      </xdr:nvPicPr>
      <xdr:blipFill>
        <a:blip r:embed="rId5"/>
        <a:stretch/>
      </xdr:blipFill>
      <xdr:spPr>
        <a:xfrm>
          <a:off x="153720" y="162000"/>
          <a:ext cx="983880" cy="637560"/>
        </a:xfrm>
        <a:prstGeom prst="rect">
          <a:avLst/>
        </a:prstGeom>
        <a:ln w="9525">
          <a:noFill/>
        </a:ln>
      </xdr:spPr>
    </xdr:pic>
    <xdr:clientData/>
  </xdr:twoCellAnchor>
  <xdr:twoCellAnchor editAs="oneCell">
    <xdr:from>
      <xdr:col>1</xdr:col>
      <xdr:colOff>0</xdr:colOff>
      <xdr:row>37</xdr:row>
      <xdr:rowOff>0</xdr:rowOff>
    </xdr:from>
    <xdr:to>
      <xdr:col>2</xdr:col>
      <xdr:colOff>850680</xdr:colOff>
      <xdr:row>48</xdr:row>
      <xdr:rowOff>69480</xdr:rowOff>
    </xdr:to>
    <xdr:pic>
      <xdr:nvPicPr>
        <xdr:cNvPr id="6" name="Image 1" descr=""/>
        <xdr:cNvPicPr/>
      </xdr:nvPicPr>
      <xdr:blipFill>
        <a:blip r:embed="rId6"/>
        <a:stretch/>
      </xdr:blipFill>
      <xdr:spPr>
        <a:xfrm>
          <a:off x="153720" y="5991120"/>
          <a:ext cx="1997280" cy="1850760"/>
        </a:xfrm>
        <a:prstGeom prst="rect">
          <a:avLst/>
        </a:prstGeom>
        <a:ln w="9525">
          <a:noFill/>
        </a:ln>
      </xdr:spPr>
    </xdr:pic>
    <xdr:clientData/>
  </xdr:twoCellAnchor>
  <xdr:twoCellAnchor editAs="oneCell">
    <xdr:from>
      <xdr:col>18</xdr:col>
      <xdr:colOff>0</xdr:colOff>
      <xdr:row>3</xdr:row>
      <xdr:rowOff>12600</xdr:rowOff>
    </xdr:from>
    <xdr:to>
      <xdr:col>20</xdr:col>
      <xdr:colOff>564840</xdr:colOff>
      <xdr:row>9</xdr:row>
      <xdr:rowOff>12240</xdr:rowOff>
    </xdr:to>
    <xdr:pic>
      <xdr:nvPicPr>
        <xdr:cNvPr id="7" name="Image 2" descr=""/>
        <xdr:cNvPicPr/>
      </xdr:nvPicPr>
      <xdr:blipFill>
        <a:blip r:embed="rId7"/>
        <a:stretch/>
      </xdr:blipFill>
      <xdr:spPr>
        <a:xfrm>
          <a:off x="9897120" y="498240"/>
          <a:ext cx="2166480" cy="971280"/>
        </a:xfrm>
        <a:prstGeom prst="rect">
          <a:avLst/>
        </a:prstGeom>
        <a:ln w="9525">
          <a:noFill/>
        </a:ln>
      </xdr:spPr>
    </xdr:pic>
    <xdr:clientData/>
  </xdr:twoCellAnchor>
  <mc:AlternateContent xmlns:mc="http://schemas.openxmlformats.org/markup-compatibility/2006">
    <mc:Choice xmlns:a14="http://schemas.microsoft.com/office/drawing/2010/main" Requires="a14">
      <xdr:twoCellAnchor editAs="oneCell">
        <xdr:from>
          <xdr:col>3</xdr:col>
          <xdr:colOff>723600</xdr:colOff>
          <xdr:row>20</xdr:row>
          <xdr:rowOff>108000</xdr:rowOff>
        </xdr:from>
        <xdr:to>
          <xdr:col>4</xdr:col>
          <xdr:colOff>-27720</xdr:colOff>
          <xdr:row>21</xdr:row>
          <xdr:rowOff>92160</xdr:rowOff>
        </xdr:to>
        <xdr:sp>
          <xdr:nvSpPr>
            <xdr:cNvPr id="0" name="Spinner 93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9</xdr:row>
          <xdr:rowOff>142920</xdr:rowOff>
        </xdr:from>
        <xdr:to>
          <xdr:col>3</xdr:col>
          <xdr:colOff>-19800</xdr:colOff>
          <xdr:row>10</xdr:row>
          <xdr:rowOff>127080</xdr:rowOff>
        </xdr:to>
        <xdr:sp>
          <xdr:nvSpPr>
            <xdr:cNvPr id="0" name="Spinner 94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10</xdr:row>
          <xdr:rowOff>139680</xdr:rowOff>
        </xdr:from>
        <xdr:to>
          <xdr:col>3</xdr:col>
          <xdr:colOff>-19800</xdr:colOff>
          <xdr:row>11</xdr:row>
          <xdr:rowOff>123840</xdr:rowOff>
        </xdr:to>
        <xdr:sp>
          <xdr:nvSpPr>
            <xdr:cNvPr id="0" name="Spinner 94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3</xdr:col>
          <xdr:colOff>723600</xdr:colOff>
          <xdr:row>21</xdr:row>
          <xdr:rowOff>104760</xdr:rowOff>
        </xdr:from>
        <xdr:to>
          <xdr:col>4</xdr:col>
          <xdr:colOff>-27720</xdr:colOff>
          <xdr:row>22</xdr:row>
          <xdr:rowOff>89280</xdr:rowOff>
        </xdr:to>
        <xdr:sp>
          <xdr:nvSpPr>
            <xdr:cNvPr id="0" name="Spinner 94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25</xdr:row>
          <xdr:rowOff>92160</xdr:rowOff>
        </xdr:from>
        <xdr:to>
          <xdr:col>3</xdr:col>
          <xdr:colOff>-19800</xdr:colOff>
          <xdr:row>26</xdr:row>
          <xdr:rowOff>76320</xdr:rowOff>
        </xdr:to>
        <xdr:sp>
          <xdr:nvSpPr>
            <xdr:cNvPr id="0" name="Spinner 94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26</xdr:row>
          <xdr:rowOff>88920</xdr:rowOff>
        </xdr:from>
        <xdr:to>
          <xdr:col>3</xdr:col>
          <xdr:colOff>-19800</xdr:colOff>
          <xdr:row>27</xdr:row>
          <xdr:rowOff>73440</xdr:rowOff>
        </xdr:to>
        <xdr:sp>
          <xdr:nvSpPr>
            <xdr:cNvPr id="0" name="Spinner 95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27</xdr:row>
          <xdr:rowOff>86040</xdr:rowOff>
        </xdr:from>
        <xdr:to>
          <xdr:col>3</xdr:col>
          <xdr:colOff>-19800</xdr:colOff>
          <xdr:row>28</xdr:row>
          <xdr:rowOff>70200</xdr:rowOff>
        </xdr:to>
        <xdr:sp>
          <xdr:nvSpPr>
            <xdr:cNvPr id="0" name="Spinner 95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28</xdr:row>
          <xdr:rowOff>82440</xdr:rowOff>
        </xdr:from>
        <xdr:to>
          <xdr:col>3</xdr:col>
          <xdr:colOff>-19800</xdr:colOff>
          <xdr:row>29</xdr:row>
          <xdr:rowOff>66600</xdr:rowOff>
        </xdr:to>
        <xdr:sp>
          <xdr:nvSpPr>
            <xdr:cNvPr id="0" name="Spinner 95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29</xdr:row>
          <xdr:rowOff>79200</xdr:rowOff>
        </xdr:from>
        <xdr:to>
          <xdr:col>3</xdr:col>
          <xdr:colOff>-19800</xdr:colOff>
          <xdr:row>30</xdr:row>
          <xdr:rowOff>63360</xdr:rowOff>
        </xdr:to>
        <xdr:sp>
          <xdr:nvSpPr>
            <xdr:cNvPr id="0" name="Spinner 95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30</xdr:row>
          <xdr:rowOff>75960</xdr:rowOff>
        </xdr:from>
        <xdr:to>
          <xdr:col>3</xdr:col>
          <xdr:colOff>-19800</xdr:colOff>
          <xdr:row>31</xdr:row>
          <xdr:rowOff>60120</xdr:rowOff>
        </xdr:to>
        <xdr:sp>
          <xdr:nvSpPr>
            <xdr:cNvPr id="0" name="Spinner 95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3</xdr:col>
          <xdr:colOff>723600</xdr:colOff>
          <xdr:row>11</xdr:row>
          <xdr:rowOff>136440</xdr:rowOff>
        </xdr:from>
        <xdr:to>
          <xdr:col>4</xdr:col>
          <xdr:colOff>-27720</xdr:colOff>
          <xdr:row>12</xdr:row>
          <xdr:rowOff>120600</xdr:rowOff>
        </xdr:to>
        <xdr:sp>
          <xdr:nvSpPr>
            <xdr:cNvPr id="0" name="Spinner 96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19</xdr:col>
          <xdr:colOff>0</xdr:colOff>
          <xdr:row>35</xdr:row>
          <xdr:rowOff>19080</xdr:rowOff>
        </xdr:from>
        <xdr:to>
          <xdr:col>20</xdr:col>
          <xdr:colOff>-801000</xdr:colOff>
          <xdr:row>36</xdr:row>
          <xdr:rowOff>0</xdr:rowOff>
        </xdr:to>
        <xdr:sp>
          <xdr:nvSpPr>
            <xdr:cNvPr id="0" name="Spinner 126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19</xdr:col>
          <xdr:colOff>0</xdr:colOff>
          <xdr:row>35</xdr:row>
          <xdr:rowOff>19080</xdr:rowOff>
        </xdr:from>
        <xdr:to>
          <xdr:col>20</xdr:col>
          <xdr:colOff>-801000</xdr:colOff>
          <xdr:row>36</xdr:row>
          <xdr:rowOff>0</xdr:rowOff>
        </xdr:to>
        <xdr:sp>
          <xdr:nvSpPr>
            <xdr:cNvPr id="0" name="Spinner 1268" descr="" hidden="0"/>
            <xdr:cNvSpPr/>
          </xdr:nvSpPr>
          <xdr:spPr>
            <a:xfrm>
              <a:off x="0" y="0"/>
              <a:ext cx="0" cy="0"/>
            </a:xfrm>
            <a:prstGeom prst="rect">
              <a:avLst/>
            </a:prstGeom>
          </xdr:spPr>
          <xdr:txBody>
            <a:bodyPr anchor="ctr">
              <a:noAutofit/>
            </a:bodyPr>
            <a:p>
              <a:r>
                <a:t/>
              </a:r>
            </a:p>
          </xdr:txBody>
        </xdr:sp>
        <xdr:clientData/>
      </xdr:twoCellAnchor>
    </mc:Choice>
  </mc:AlternateContent>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0</xdr:colOff>
      <xdr:row>1</xdr:row>
      <xdr:rowOff>0</xdr:rowOff>
    </xdr:from>
    <xdr:to>
      <xdr:col>8</xdr:col>
      <xdr:colOff>756000</xdr:colOff>
      <xdr:row>19</xdr:row>
      <xdr:rowOff>161640</xdr:rowOff>
    </xdr:to>
    <xdr:graphicFrame>
      <xdr:nvGraphicFramePr>
        <xdr:cNvPr id="8" name="Graphique 1"/>
        <xdr:cNvGraphicFramePr/>
      </xdr:nvGraphicFramePr>
      <xdr:xfrm>
        <a:off x="3094200" y="162000"/>
        <a:ext cx="3319560" cy="3076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1</xdr:row>
      <xdr:rowOff>0</xdr:rowOff>
    </xdr:from>
    <xdr:to>
      <xdr:col>12</xdr:col>
      <xdr:colOff>756000</xdr:colOff>
      <xdr:row>19</xdr:row>
      <xdr:rowOff>161640</xdr:rowOff>
    </xdr:to>
    <xdr:graphicFrame>
      <xdr:nvGraphicFramePr>
        <xdr:cNvPr id="9" name="Graphique 2"/>
        <xdr:cNvGraphicFramePr/>
      </xdr:nvGraphicFramePr>
      <xdr:xfrm>
        <a:off x="6414120" y="162000"/>
        <a:ext cx="3024720" cy="3076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983880</xdr:colOff>
      <xdr:row>4</xdr:row>
      <xdr:rowOff>151920</xdr:rowOff>
    </xdr:to>
    <xdr:pic>
      <xdr:nvPicPr>
        <xdr:cNvPr id="10" name="Picture 8" descr="logoplasci"/>
        <xdr:cNvPicPr/>
      </xdr:nvPicPr>
      <xdr:blipFill>
        <a:blip r:embed="rId3"/>
        <a:stretch/>
      </xdr:blipFill>
      <xdr:spPr>
        <a:xfrm>
          <a:off x="153720" y="162000"/>
          <a:ext cx="983880" cy="637560"/>
        </a:xfrm>
        <a:prstGeom prst="rect">
          <a:avLst/>
        </a:prstGeom>
        <a:ln w="9525">
          <a:noFill/>
        </a:ln>
      </xdr:spPr>
    </xdr:pic>
    <xdr:clientData/>
  </xdr:twoCellAnchor>
  <xdr:twoCellAnchor editAs="twoCell">
    <xdr:from>
      <xdr:col>2</xdr:col>
      <xdr:colOff>139680</xdr:colOff>
      <xdr:row>38</xdr:row>
      <xdr:rowOff>120600</xdr:rowOff>
    </xdr:from>
    <xdr:to>
      <xdr:col>3</xdr:col>
      <xdr:colOff>690480</xdr:colOff>
      <xdr:row>45</xdr:row>
      <xdr:rowOff>161640</xdr:rowOff>
    </xdr:to>
    <xdr:grpSp>
      <xdr:nvGrpSpPr>
        <xdr:cNvPr id="11" name="Groupe 1"/>
        <xdr:cNvGrpSpPr/>
      </xdr:nvGrpSpPr>
      <xdr:grpSpPr>
        <a:xfrm>
          <a:off x="1440000" y="6254640"/>
          <a:ext cx="1351800" cy="1174680"/>
          <a:chOff x="1440000" y="6254640"/>
          <a:chExt cx="1351800" cy="1174680"/>
        </a:xfrm>
      </xdr:grpSpPr>
      <xdr:sp>
        <xdr:nvSpPr>
          <xdr:cNvPr id="12" name="Line 320"/>
          <xdr:cNvSpPr/>
        </xdr:nvSpPr>
        <xdr:spPr>
          <a:xfrm flipH="1">
            <a:off x="1545120" y="7135920"/>
            <a:ext cx="368640" cy="360"/>
          </a:xfrm>
          <a:prstGeom prst="line">
            <a:avLst/>
          </a:prstGeom>
          <a:ln w="9525">
            <a:solidFill>
              <a:srgbClr val="000000"/>
            </a:solidFill>
            <a:round/>
            <a:headEnd len="med" type="triangle" w="med"/>
            <a:tailEnd len="med" type="triangle" w="med"/>
          </a:ln>
        </xdr:spPr>
        <xdr:style>
          <a:lnRef idx="0"/>
          <a:fillRef idx="0"/>
          <a:effectRef idx="0"/>
          <a:fontRef idx="minor"/>
        </xdr:style>
      </xdr:sp>
      <xdr:sp>
        <xdr:nvSpPr>
          <xdr:cNvPr id="13" name="Rectangle 314"/>
          <xdr:cNvSpPr/>
        </xdr:nvSpPr>
        <xdr:spPr>
          <a:xfrm>
            <a:off x="1935000" y="6254640"/>
            <a:ext cx="505440" cy="1174680"/>
          </a:xfrm>
          <a:prstGeom prst="rect">
            <a:avLst/>
          </a:prstGeom>
          <a:solidFill>
            <a:srgbClr val="f2f2f2"/>
          </a:solidFill>
          <a:ln w="9525">
            <a:solidFill>
              <a:srgbClr val="000000"/>
            </a:solidFill>
            <a:miter/>
          </a:ln>
        </xdr:spPr>
        <xdr:style>
          <a:lnRef idx="0"/>
          <a:fillRef idx="0"/>
          <a:effectRef idx="0"/>
          <a:fontRef idx="minor"/>
        </xdr:style>
      </xdr:sp>
      <xdr:sp>
        <xdr:nvSpPr>
          <xdr:cNvPr id="14" name="Rectangle 315"/>
          <xdr:cNvSpPr/>
        </xdr:nvSpPr>
        <xdr:spPr>
          <a:xfrm rot="16200000">
            <a:off x="1940040" y="6233760"/>
            <a:ext cx="505800" cy="1197360"/>
          </a:xfrm>
          <a:prstGeom prst="rect">
            <a:avLst/>
          </a:prstGeom>
          <a:solidFill>
            <a:srgbClr val="f2f2f2"/>
          </a:solidFill>
          <a:ln w="9525">
            <a:solidFill>
              <a:srgbClr val="000000"/>
            </a:solidFill>
            <a:miter/>
          </a:ln>
        </xdr:spPr>
        <xdr:style>
          <a:lnRef idx="0"/>
          <a:fillRef idx="0"/>
          <a:effectRef idx="0"/>
          <a:fontRef idx="minor"/>
        </xdr:style>
      </xdr:sp>
      <xdr:sp>
        <xdr:nvSpPr>
          <xdr:cNvPr id="15" name="Line 316"/>
          <xdr:cNvSpPr/>
        </xdr:nvSpPr>
        <xdr:spPr>
          <a:xfrm>
            <a:off x="1935000" y="6587280"/>
            <a:ext cx="360" cy="479880"/>
          </a:xfrm>
          <a:prstGeom prst="line">
            <a:avLst/>
          </a:prstGeom>
          <a:ln w="9525">
            <a:solidFill>
              <a:srgbClr val="000000"/>
            </a:solidFill>
            <a:round/>
          </a:ln>
        </xdr:spPr>
        <xdr:style>
          <a:lnRef idx="0"/>
          <a:fillRef idx="0"/>
          <a:effectRef idx="0"/>
          <a:fontRef idx="minor"/>
        </xdr:style>
      </xdr:sp>
      <xdr:sp>
        <xdr:nvSpPr>
          <xdr:cNvPr id="16" name="Line 317"/>
          <xdr:cNvSpPr/>
        </xdr:nvSpPr>
        <xdr:spPr>
          <a:xfrm>
            <a:off x="2437200" y="6587280"/>
            <a:ext cx="360" cy="479880"/>
          </a:xfrm>
          <a:prstGeom prst="line">
            <a:avLst/>
          </a:prstGeom>
          <a:ln w="9525">
            <a:solidFill>
              <a:srgbClr val="000000"/>
            </a:solidFill>
            <a:round/>
          </a:ln>
        </xdr:spPr>
        <xdr:style>
          <a:lnRef idx="0"/>
          <a:fillRef idx="0"/>
          <a:effectRef idx="0"/>
          <a:fontRef idx="minor"/>
        </xdr:style>
      </xdr:sp>
      <xdr:sp>
        <xdr:nvSpPr>
          <xdr:cNvPr id="17" name="Line 319"/>
          <xdr:cNvSpPr/>
        </xdr:nvSpPr>
        <xdr:spPr>
          <a:xfrm>
            <a:off x="1440000" y="6587280"/>
            <a:ext cx="360" cy="479880"/>
          </a:xfrm>
          <a:prstGeom prst="line">
            <a:avLst/>
          </a:prstGeom>
          <a:ln w="9525">
            <a:solidFill>
              <a:srgbClr val="000000"/>
            </a:solidFill>
            <a:round/>
            <a:headEnd len="med" type="triangle" w="med"/>
            <a:tailEnd len="med" type="triangle" w="med"/>
          </a:ln>
        </xdr:spPr>
        <xdr:style>
          <a:lnRef idx="0"/>
          <a:fillRef idx="0"/>
          <a:effectRef idx="0"/>
          <a:fontRef idx="minor"/>
        </xdr:style>
      </xdr:sp>
    </xdr:grpSp>
    <xdr:clientData/>
  </xdr:twoCellAnchor>
  <xdr:twoCellAnchor editAs="twoCell">
    <xdr:from>
      <xdr:col>2</xdr:col>
      <xdr:colOff>260280</xdr:colOff>
      <xdr:row>49</xdr:row>
      <xdr:rowOff>19080</xdr:rowOff>
    </xdr:from>
    <xdr:to>
      <xdr:col>3</xdr:col>
      <xdr:colOff>514080</xdr:colOff>
      <xdr:row>54</xdr:row>
      <xdr:rowOff>120240</xdr:rowOff>
    </xdr:to>
    <xdr:sp>
      <xdr:nvSpPr>
        <xdr:cNvPr id="18" name="Oval 323"/>
        <xdr:cNvSpPr/>
      </xdr:nvSpPr>
      <xdr:spPr>
        <a:xfrm>
          <a:off x="1560600" y="7934400"/>
          <a:ext cx="1054800" cy="910800"/>
        </a:xfrm>
        <a:prstGeom prst="ellipse">
          <a:avLst/>
        </a:prstGeom>
        <a:solidFill>
          <a:srgbClr val="f2f2f2"/>
        </a:solidFill>
        <a:ln w="9525">
          <a:solidFill>
            <a:srgbClr val="000000"/>
          </a:solidFill>
          <a:round/>
        </a:ln>
      </xdr:spPr>
      <xdr:style>
        <a:lnRef idx="0"/>
        <a:fillRef idx="0"/>
        <a:effectRef idx="0"/>
        <a:fontRef idx="minor"/>
      </xdr:style>
    </xdr:sp>
    <xdr:clientData/>
  </xdr:twoCellAnchor>
  <xdr:twoCellAnchor editAs="twoCell">
    <xdr:from>
      <xdr:col>2</xdr:col>
      <xdr:colOff>698400</xdr:colOff>
      <xdr:row>51</xdr:row>
      <xdr:rowOff>57240</xdr:rowOff>
    </xdr:from>
    <xdr:to>
      <xdr:col>3</xdr:col>
      <xdr:colOff>88560</xdr:colOff>
      <xdr:row>52</xdr:row>
      <xdr:rowOff>75960</xdr:rowOff>
    </xdr:to>
    <xdr:sp>
      <xdr:nvSpPr>
        <xdr:cNvPr id="19" name="Oval 323"/>
        <xdr:cNvSpPr/>
      </xdr:nvSpPr>
      <xdr:spPr>
        <a:xfrm>
          <a:off x="1998720" y="8296200"/>
          <a:ext cx="191160" cy="1807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3</xdr:col>
      <xdr:colOff>0</xdr:colOff>
      <xdr:row>49</xdr:row>
      <xdr:rowOff>18720</xdr:rowOff>
    </xdr:from>
    <xdr:to>
      <xdr:col>3</xdr:col>
      <xdr:colOff>0</xdr:colOff>
      <xdr:row>51</xdr:row>
      <xdr:rowOff>145800</xdr:rowOff>
    </xdr:to>
    <xdr:sp>
      <xdr:nvSpPr>
        <xdr:cNvPr id="20" name="Line 324"/>
        <xdr:cNvSpPr/>
      </xdr:nvSpPr>
      <xdr:spPr>
        <a:xfrm>
          <a:off x="2101320" y="7934040"/>
          <a:ext cx="0" cy="450720"/>
        </a:xfrm>
        <a:prstGeom prst="line">
          <a:avLst/>
        </a:prstGeom>
        <a:ln w="9525">
          <a:solidFill>
            <a:srgbClr val="000000"/>
          </a:solidFill>
          <a:round/>
          <a:headEnd len="med" type="triangle" w="med"/>
          <a:tailEnd len="med" type="triangle" w="med"/>
        </a:ln>
      </xdr:spPr>
      <xdr:style>
        <a:lnRef idx="0"/>
        <a:fillRef idx="0"/>
        <a:effectRef idx="0"/>
        <a:fontRef idx="minor"/>
      </xdr:style>
    </xdr:sp>
    <xdr:clientData/>
  </xdr:twoCellAnchor>
  <xdr:twoCellAnchor editAs="twoCell">
    <xdr:from>
      <xdr:col>3</xdr:col>
      <xdr:colOff>0</xdr:colOff>
      <xdr:row>51</xdr:row>
      <xdr:rowOff>145800</xdr:rowOff>
    </xdr:from>
    <xdr:to>
      <xdr:col>3</xdr:col>
      <xdr:colOff>0</xdr:colOff>
      <xdr:row>52</xdr:row>
      <xdr:rowOff>88560</xdr:rowOff>
    </xdr:to>
    <xdr:sp>
      <xdr:nvSpPr>
        <xdr:cNvPr id="21" name="Line 324"/>
        <xdr:cNvSpPr/>
      </xdr:nvSpPr>
      <xdr:spPr>
        <a:xfrm>
          <a:off x="2101320" y="8384760"/>
          <a:ext cx="0" cy="104760"/>
        </a:xfrm>
        <a:prstGeom prst="line">
          <a:avLst/>
        </a:prstGeom>
        <a:ln w="9525">
          <a:solidFill>
            <a:srgbClr val="000000"/>
          </a:solidFill>
          <a:round/>
          <a:headEnd len="sm" type="triangle" w="sm"/>
          <a:tailEnd len="sm" type="triangle" w="sm"/>
        </a:ln>
      </xdr:spPr>
      <xdr:style>
        <a:lnRef idx="0"/>
        <a:fillRef idx="0"/>
        <a:effectRef idx="0"/>
        <a:fontRef idx="minor"/>
      </xdr:style>
    </xdr:sp>
    <xdr:clientData/>
  </xdr:twoCellAnchor>
  <mc:AlternateContent xmlns:mc="http://schemas.openxmlformats.org/markup-compatibility/2006">
    <mc:Choice xmlns:a14="http://schemas.microsoft.com/office/drawing/2010/main" Requires="a14">
      <xdr:twoCellAnchor editAs="oneCell">
        <xdr:from>
          <xdr:col>3</xdr:col>
          <xdr:colOff>520200</xdr:colOff>
          <xdr:row>9</xdr:row>
          <xdr:rowOff>3240</xdr:rowOff>
        </xdr:from>
        <xdr:to>
          <xdr:col>4</xdr:col>
          <xdr:colOff>-231120</xdr:colOff>
          <xdr:row>10</xdr:row>
          <xdr:rowOff>-12600</xdr:rowOff>
        </xdr:to>
        <xdr:sp>
          <xdr:nvSpPr>
            <xdr:cNvPr id="0" name="Spinner 106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xdr:col>
          <xdr:colOff>982800</xdr:colOff>
          <xdr:row>42</xdr:row>
          <xdr:rowOff>38160</xdr:rowOff>
        </xdr:from>
        <xdr:to>
          <xdr:col>2</xdr:col>
          <xdr:colOff>-11520</xdr:colOff>
          <xdr:row>43</xdr:row>
          <xdr:rowOff>28440</xdr:rowOff>
        </xdr:to>
        <xdr:sp>
          <xdr:nvSpPr>
            <xdr:cNvPr id="0" name="Spinner 122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xdr:col>
          <xdr:colOff>982800</xdr:colOff>
          <xdr:row>44</xdr:row>
          <xdr:rowOff>44280</xdr:rowOff>
        </xdr:from>
        <xdr:to>
          <xdr:col>2</xdr:col>
          <xdr:colOff>-11520</xdr:colOff>
          <xdr:row>45</xdr:row>
          <xdr:rowOff>34560</xdr:rowOff>
        </xdr:to>
        <xdr:sp>
          <xdr:nvSpPr>
            <xdr:cNvPr id="0" name="Spinner 123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xdr:col>
          <xdr:colOff>982800</xdr:colOff>
          <xdr:row>50</xdr:row>
          <xdr:rowOff>63360</xdr:rowOff>
        </xdr:from>
        <xdr:to>
          <xdr:col>2</xdr:col>
          <xdr:colOff>-11520</xdr:colOff>
          <xdr:row>51</xdr:row>
          <xdr:rowOff>54000</xdr:rowOff>
        </xdr:to>
        <xdr:sp>
          <xdr:nvSpPr>
            <xdr:cNvPr id="0" name="Spinner 123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xdr:col>
          <xdr:colOff>982800</xdr:colOff>
          <xdr:row>52</xdr:row>
          <xdr:rowOff>69840</xdr:rowOff>
        </xdr:from>
        <xdr:to>
          <xdr:col>2</xdr:col>
          <xdr:colOff>-11520</xdr:colOff>
          <xdr:row>53</xdr:row>
          <xdr:rowOff>60120</xdr:rowOff>
        </xdr:to>
        <xdr:sp>
          <xdr:nvSpPr>
            <xdr:cNvPr id="0" name="Spinner 2502" descr="" hidden="0"/>
            <xdr:cNvSpPr/>
          </xdr:nvSpPr>
          <xdr:spPr>
            <a:xfrm>
              <a:off x="0" y="0"/>
              <a:ext cx="0" cy="0"/>
            </a:xfrm>
            <a:prstGeom prst="rect">
              <a:avLst/>
            </a:prstGeom>
          </xdr:spPr>
          <xdr:txBody>
            <a:bodyPr anchor="ctr">
              <a:noAutofit/>
            </a:bodyPr>
            <a:p>
              <a:r>
                <a:t/>
              </a:r>
            </a:p>
          </xdr:txBody>
        </xdr:sp>
        <xdr:clientData/>
      </xdr:twoCellAnchor>
    </mc:Choice>
  </mc:AlternateContent>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165240</xdr:colOff>
      <xdr:row>1</xdr:row>
      <xdr:rowOff>0</xdr:rowOff>
    </xdr:from>
    <xdr:to>
      <xdr:col>10</xdr:col>
      <xdr:colOff>622080</xdr:colOff>
      <xdr:row>18</xdr:row>
      <xdr:rowOff>151920</xdr:rowOff>
    </xdr:to>
    <xdr:graphicFrame>
      <xdr:nvGraphicFramePr>
        <xdr:cNvPr id="22" name="Graphique 1"/>
        <xdr:cNvGraphicFramePr/>
      </xdr:nvGraphicFramePr>
      <xdr:xfrm>
        <a:off x="165240" y="152280"/>
        <a:ext cx="798156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165240</xdr:colOff>
      <xdr:row>37</xdr:row>
      <xdr:rowOff>0</xdr:rowOff>
    </xdr:from>
    <xdr:to>
      <xdr:col>10</xdr:col>
      <xdr:colOff>622080</xdr:colOff>
      <xdr:row>54</xdr:row>
      <xdr:rowOff>151920</xdr:rowOff>
    </xdr:to>
    <xdr:graphicFrame>
      <xdr:nvGraphicFramePr>
        <xdr:cNvPr id="23" name="Graphique 2"/>
        <xdr:cNvGraphicFramePr/>
      </xdr:nvGraphicFramePr>
      <xdr:xfrm>
        <a:off x="165240" y="5638680"/>
        <a:ext cx="7981560" cy="2742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165240</xdr:colOff>
      <xdr:row>19</xdr:row>
      <xdr:rowOff>0</xdr:rowOff>
    </xdr:from>
    <xdr:to>
      <xdr:col>10</xdr:col>
      <xdr:colOff>622080</xdr:colOff>
      <xdr:row>36</xdr:row>
      <xdr:rowOff>151920</xdr:rowOff>
    </xdr:to>
    <xdr:graphicFrame>
      <xdr:nvGraphicFramePr>
        <xdr:cNvPr id="24" name="Graphique 3"/>
        <xdr:cNvGraphicFramePr/>
      </xdr:nvGraphicFramePr>
      <xdr:xfrm>
        <a:off x="165240" y="2895480"/>
        <a:ext cx="7981560" cy="2742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165240</xdr:colOff>
      <xdr:row>55</xdr:row>
      <xdr:rowOff>0</xdr:rowOff>
    </xdr:from>
    <xdr:to>
      <xdr:col>10</xdr:col>
      <xdr:colOff>622080</xdr:colOff>
      <xdr:row>72</xdr:row>
      <xdr:rowOff>151920</xdr:rowOff>
    </xdr:to>
    <xdr:graphicFrame>
      <xdr:nvGraphicFramePr>
        <xdr:cNvPr id="25" name="Graphique 4"/>
        <xdr:cNvGraphicFramePr/>
      </xdr:nvGraphicFramePr>
      <xdr:xfrm>
        <a:off x="165240" y="8381880"/>
        <a:ext cx="7981560" cy="27428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12600</xdr:colOff>
      <xdr:row>4</xdr:row>
      <xdr:rowOff>44280</xdr:rowOff>
    </xdr:from>
    <xdr:to>
      <xdr:col>7</xdr:col>
      <xdr:colOff>215280</xdr:colOff>
      <xdr:row>19</xdr:row>
      <xdr:rowOff>132840</xdr:rowOff>
    </xdr:to>
    <xdr:graphicFrame>
      <xdr:nvGraphicFramePr>
        <xdr:cNvPr id="26" name="Graphique 1"/>
        <xdr:cNvGraphicFramePr/>
      </xdr:nvGraphicFramePr>
      <xdr:xfrm>
        <a:off x="12600" y="682560"/>
        <a:ext cx="6312600" cy="2374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272880</xdr:colOff>
      <xdr:row>1008</xdr:row>
      <xdr:rowOff>145800</xdr:rowOff>
    </xdr:from>
    <xdr:to>
      <xdr:col>16</xdr:col>
      <xdr:colOff>152280</xdr:colOff>
      <xdr:row>1010</xdr:row>
      <xdr:rowOff>82440</xdr:rowOff>
    </xdr:to>
    <xdr:sp>
      <xdr:nvSpPr>
        <xdr:cNvPr id="27" name="Line 60"/>
        <xdr:cNvSpPr/>
      </xdr:nvSpPr>
      <xdr:spPr>
        <a:xfrm flipH="1">
          <a:off x="5806440" y="153774360"/>
          <a:ext cx="1109160" cy="241560"/>
        </a:xfrm>
        <a:prstGeom prst="line">
          <a:avLst/>
        </a:prstGeom>
        <a:ln w="9525">
          <a:solidFill>
            <a:srgbClr val="000000"/>
          </a:solidFill>
          <a:round/>
          <a:tailEnd len="med" type="triangle" w="med"/>
        </a:ln>
      </xdr:spPr>
      <xdr:style>
        <a:lnRef idx="0"/>
        <a:fillRef idx="0"/>
        <a:effectRef idx="0"/>
        <a:fontRef idx="minor"/>
      </xdr:style>
    </xdr:sp>
    <xdr:clientData/>
  </xdr:twoCellAnchor>
  <xdr:twoCellAnchor editAs="twoCell">
    <xdr:from>
      <xdr:col>12</xdr:col>
      <xdr:colOff>279360</xdr:colOff>
      <xdr:row>1011</xdr:row>
      <xdr:rowOff>95040</xdr:rowOff>
    </xdr:from>
    <xdr:to>
      <xdr:col>17</xdr:col>
      <xdr:colOff>349200</xdr:colOff>
      <xdr:row>1013</xdr:row>
      <xdr:rowOff>139680</xdr:rowOff>
    </xdr:to>
    <xdr:sp>
      <xdr:nvSpPr>
        <xdr:cNvPr id="28" name="Line 71"/>
        <xdr:cNvSpPr/>
      </xdr:nvSpPr>
      <xdr:spPr>
        <a:xfrm flipH="1" flipV="1">
          <a:off x="5812920" y="154180800"/>
          <a:ext cx="1908000" cy="349560"/>
        </a:xfrm>
        <a:prstGeom prst="line">
          <a:avLst/>
        </a:prstGeom>
        <a:ln w="9525">
          <a:solidFill>
            <a:srgbClr val="000000"/>
          </a:solidFill>
          <a:round/>
          <a:tailEnd len="med" type="triangle" w="med"/>
        </a:ln>
      </xdr:spPr>
      <xdr:style>
        <a:lnRef idx="0"/>
        <a:fillRef idx="0"/>
        <a:effectRef idx="0"/>
        <a:fontRef idx="minor"/>
      </xdr:style>
    </xdr:sp>
    <xdr:clientData/>
  </xdr:twoCellAnchor>
  <xdr:twoCellAnchor editAs="twoCell">
    <xdr:from>
      <xdr:col>12</xdr:col>
      <xdr:colOff>279360</xdr:colOff>
      <xdr:row>1012</xdr:row>
      <xdr:rowOff>139680</xdr:rowOff>
    </xdr:from>
    <xdr:to>
      <xdr:col>17</xdr:col>
      <xdr:colOff>349200</xdr:colOff>
      <xdr:row>1015</xdr:row>
      <xdr:rowOff>25200</xdr:rowOff>
    </xdr:to>
    <xdr:sp>
      <xdr:nvSpPr>
        <xdr:cNvPr id="29" name="Line 71"/>
        <xdr:cNvSpPr/>
      </xdr:nvSpPr>
      <xdr:spPr>
        <a:xfrm flipH="1" flipV="1">
          <a:off x="5812920" y="154378080"/>
          <a:ext cx="1908000" cy="342720"/>
        </a:xfrm>
        <a:prstGeom prst="line">
          <a:avLst/>
        </a:prstGeom>
        <a:ln w="9525">
          <a:solidFill>
            <a:srgbClr val="000000"/>
          </a:solidFill>
          <a:round/>
          <a:tailEnd len="med" type="triangle" w="med"/>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1</xdr:col>
      <xdr:colOff>983880</xdr:colOff>
      <xdr:row>4</xdr:row>
      <xdr:rowOff>151920</xdr:rowOff>
    </xdr:to>
    <xdr:pic>
      <xdr:nvPicPr>
        <xdr:cNvPr id="30" name="Picture 8" descr="logoplasci"/>
        <xdr:cNvPicPr/>
      </xdr:nvPicPr>
      <xdr:blipFill>
        <a:blip r:embed="rId1"/>
        <a:stretch/>
      </xdr:blipFill>
      <xdr:spPr>
        <a:xfrm>
          <a:off x="153720" y="162000"/>
          <a:ext cx="983880" cy="637560"/>
        </a:xfrm>
        <a:prstGeom prst="rect">
          <a:avLst/>
        </a:prstGeom>
        <a:ln w="9525">
          <a:noFill/>
        </a:ln>
      </xdr:spPr>
    </xdr:pic>
    <xdr:clientData/>
  </xdr:twoCellAnchor>
  <xdr:twoCellAnchor editAs="oneCell">
    <xdr:from>
      <xdr:col>6</xdr:col>
      <xdr:colOff>450720</xdr:colOff>
      <xdr:row>0</xdr:row>
      <xdr:rowOff>120600</xdr:rowOff>
    </xdr:from>
    <xdr:to>
      <xdr:col>12</xdr:col>
      <xdr:colOff>450360</xdr:colOff>
      <xdr:row>17</xdr:row>
      <xdr:rowOff>24840</xdr:rowOff>
    </xdr:to>
    <xdr:graphicFrame>
      <xdr:nvGraphicFramePr>
        <xdr:cNvPr id="31" name="Graphique 2"/>
        <xdr:cNvGraphicFramePr/>
      </xdr:nvGraphicFramePr>
      <xdr:xfrm>
        <a:off x="4857480" y="120600"/>
        <a:ext cx="4514760" cy="26949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450720</xdr:colOff>
      <xdr:row>17</xdr:row>
      <xdr:rowOff>25560</xdr:rowOff>
    </xdr:from>
    <xdr:to>
      <xdr:col>12</xdr:col>
      <xdr:colOff>450360</xdr:colOff>
      <xdr:row>34</xdr:row>
      <xdr:rowOff>18720</xdr:rowOff>
    </xdr:to>
    <xdr:graphicFrame>
      <xdr:nvGraphicFramePr>
        <xdr:cNvPr id="32" name="Graphique 2"/>
        <xdr:cNvGraphicFramePr/>
      </xdr:nvGraphicFramePr>
      <xdr:xfrm>
        <a:off x="4857480" y="2816280"/>
        <a:ext cx="4514760" cy="25840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12600</xdr:colOff>
      <xdr:row>17</xdr:row>
      <xdr:rowOff>25560</xdr:rowOff>
    </xdr:from>
    <xdr:to>
      <xdr:col>6</xdr:col>
      <xdr:colOff>450360</xdr:colOff>
      <xdr:row>34</xdr:row>
      <xdr:rowOff>18720</xdr:rowOff>
    </xdr:to>
    <xdr:graphicFrame>
      <xdr:nvGraphicFramePr>
        <xdr:cNvPr id="33" name="Graphique 2"/>
        <xdr:cNvGraphicFramePr/>
      </xdr:nvGraphicFramePr>
      <xdr:xfrm>
        <a:off x="166320" y="2816280"/>
        <a:ext cx="4690800" cy="25840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520200</xdr:colOff>
          <xdr:row>9</xdr:row>
          <xdr:rowOff>92160</xdr:rowOff>
        </xdr:from>
        <xdr:to>
          <xdr:col>4</xdr:col>
          <xdr:colOff>-231120</xdr:colOff>
          <xdr:row>10</xdr:row>
          <xdr:rowOff>82440</xdr:rowOff>
        </xdr:to>
        <xdr:sp>
          <xdr:nvSpPr>
            <xdr:cNvPr id="0" name="Spinner 3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3</xdr:col>
          <xdr:colOff>520200</xdr:colOff>
          <xdr:row>10</xdr:row>
          <xdr:rowOff>95400</xdr:rowOff>
        </xdr:from>
        <xdr:to>
          <xdr:col>4</xdr:col>
          <xdr:colOff>-231120</xdr:colOff>
          <xdr:row>11</xdr:row>
          <xdr:rowOff>85680</xdr:rowOff>
        </xdr:to>
        <xdr:sp>
          <xdr:nvSpPr>
            <xdr:cNvPr id="0" name="Spinner 170" descr="" hidden="0"/>
            <xdr:cNvSpPr/>
          </xdr:nvSpPr>
          <xdr:spPr>
            <a:xfrm>
              <a:off x="0" y="0"/>
              <a:ext cx="0" cy="0"/>
            </a:xfrm>
            <a:prstGeom prst="rect">
              <a:avLst/>
            </a:prstGeom>
          </xdr:spPr>
          <xdr:txBody>
            <a:bodyPr anchor="ctr">
              <a:noAutofit/>
            </a:bodyPr>
            <a:p>
              <a:r>
                <a:t/>
              </a:r>
            </a:p>
          </xdr:txBody>
        </xdr:sp>
        <xdr:clientData/>
      </xdr:twoCellAnchor>
    </mc:Choice>
  </mc:AlternateContent>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69840</xdr:colOff>
      <xdr:row>33</xdr:row>
      <xdr:rowOff>25560</xdr:rowOff>
    </xdr:from>
    <xdr:to>
      <xdr:col>2</xdr:col>
      <xdr:colOff>12240</xdr:colOff>
      <xdr:row>44</xdr:row>
      <xdr:rowOff>18720</xdr:rowOff>
    </xdr:to>
    <xdr:pic>
      <xdr:nvPicPr>
        <xdr:cNvPr id="34" name="Image 1" descr=""/>
        <xdr:cNvPicPr/>
      </xdr:nvPicPr>
      <xdr:blipFill>
        <a:blip r:embed="rId1"/>
        <a:stretch/>
      </xdr:blipFill>
      <xdr:spPr>
        <a:xfrm>
          <a:off x="69840" y="5102280"/>
          <a:ext cx="1242720" cy="1669680"/>
        </a:xfrm>
        <a:prstGeom prst="rect">
          <a:avLst/>
        </a:prstGeom>
        <a:ln w="9525">
          <a:noFill/>
        </a:ln>
      </xdr:spPr>
    </xdr:pic>
    <xdr:clientData/>
  </xdr:twoCellAnchor>
  <xdr:twoCellAnchor editAs="oneCell">
    <xdr:from>
      <xdr:col>1</xdr:col>
      <xdr:colOff>1123920</xdr:colOff>
      <xdr:row>53</xdr:row>
      <xdr:rowOff>44280</xdr:rowOff>
    </xdr:from>
    <xdr:to>
      <xdr:col>10</xdr:col>
      <xdr:colOff>609120</xdr:colOff>
      <xdr:row>81</xdr:row>
      <xdr:rowOff>24840</xdr:rowOff>
    </xdr:to>
    <xdr:pic>
      <xdr:nvPicPr>
        <xdr:cNvPr id="35" name="Image 2" descr=""/>
        <xdr:cNvPicPr/>
      </xdr:nvPicPr>
      <xdr:blipFill>
        <a:blip r:embed="rId2"/>
        <a:stretch/>
      </xdr:blipFill>
      <xdr:spPr>
        <a:xfrm>
          <a:off x="1277640" y="8169120"/>
          <a:ext cx="7068240" cy="4247640"/>
        </a:xfrm>
        <a:prstGeom prst="rect">
          <a:avLst/>
        </a:prstGeom>
        <a:ln w="9525">
          <a:noFill/>
        </a:ln>
      </xdr:spPr>
    </xdr:pic>
    <xdr:clientData/>
  </xdr:twoCellAnchor>
  <xdr:twoCellAnchor editAs="oneCell">
    <xdr:from>
      <xdr:col>1</xdr:col>
      <xdr:colOff>0</xdr:colOff>
      <xdr:row>1</xdr:row>
      <xdr:rowOff>0</xdr:rowOff>
    </xdr:from>
    <xdr:to>
      <xdr:col>1</xdr:col>
      <xdr:colOff>983880</xdr:colOff>
      <xdr:row>4</xdr:row>
      <xdr:rowOff>151920</xdr:rowOff>
    </xdr:to>
    <xdr:pic>
      <xdr:nvPicPr>
        <xdr:cNvPr id="36" name="Picture 8" descr="logoplasci"/>
        <xdr:cNvPicPr/>
      </xdr:nvPicPr>
      <xdr:blipFill>
        <a:blip r:embed="rId3"/>
        <a:stretch/>
      </xdr:blipFill>
      <xdr:spPr>
        <a:xfrm>
          <a:off x="153720" y="152280"/>
          <a:ext cx="983880" cy="609120"/>
        </a:xfrm>
        <a:prstGeom prst="rect">
          <a:avLst/>
        </a:prstGeom>
        <a:ln w="9525">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69840</xdr:colOff>
      <xdr:row>80</xdr:row>
      <xdr:rowOff>12600</xdr:rowOff>
    </xdr:from>
    <xdr:to>
      <xdr:col>7</xdr:col>
      <xdr:colOff>474120</xdr:colOff>
      <xdr:row>102</xdr:row>
      <xdr:rowOff>107640</xdr:rowOff>
    </xdr:to>
    <xdr:grpSp>
      <xdr:nvGrpSpPr>
        <xdr:cNvPr id="37" name="Group 232"/>
        <xdr:cNvGrpSpPr/>
      </xdr:nvGrpSpPr>
      <xdr:grpSpPr>
        <a:xfrm>
          <a:off x="4387320" y="13166640"/>
          <a:ext cx="2281320" cy="3638160"/>
          <a:chOff x="4387320" y="13166640"/>
          <a:chExt cx="2281320" cy="3638160"/>
        </a:xfrm>
      </xdr:grpSpPr>
      <xdr:grpSp>
        <xdr:nvGrpSpPr>
          <xdr:cNvPr id="38" name="Group 233"/>
          <xdr:cNvGrpSpPr/>
        </xdr:nvGrpSpPr>
        <xdr:grpSpPr>
          <a:xfrm>
            <a:off x="5011200" y="13166640"/>
            <a:ext cx="512640" cy="2587680"/>
            <a:chOff x="5011200" y="13166640"/>
            <a:chExt cx="512640" cy="2587680"/>
          </a:xfrm>
        </xdr:grpSpPr>
        <xdr:sp>
          <xdr:nvSpPr>
            <xdr:cNvPr id="39" name="Arc 234"/>
            <xdr:cNvSpPr/>
          </xdr:nvSpPr>
          <xdr:spPr>
            <a:xfrm flipH="1">
              <a:off x="5164560" y="13166640"/>
              <a:ext cx="359280" cy="608760"/>
            </a:xfrm>
            <a:custGeom>
              <a:avLst/>
              <a:gdLst>
                <a:gd name="textAreaLeft" fmla="*/ 360 w 359280"/>
                <a:gd name="textAreaRight" fmla="*/ 360000 w 359280"/>
                <a:gd name="textAreaTop" fmla="*/ 0 h 608760"/>
                <a:gd name="textAreaBottom" fmla="*/ 609120 h 60876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40" name="Group 235"/>
            <xdr:cNvGrpSpPr/>
          </xdr:nvGrpSpPr>
          <xdr:grpSpPr>
            <a:xfrm>
              <a:off x="5011200" y="13752360"/>
              <a:ext cx="284400" cy="2001960"/>
              <a:chOff x="5011200" y="13752360"/>
              <a:chExt cx="284400" cy="2001960"/>
            </a:xfrm>
          </xdr:grpSpPr>
          <xdr:sp>
            <xdr:nvSpPr>
              <xdr:cNvPr id="41" name="Line 236"/>
              <xdr:cNvSpPr/>
            </xdr:nvSpPr>
            <xdr:spPr>
              <a:xfrm>
                <a:off x="5162400" y="13752360"/>
                <a:ext cx="360" cy="591120"/>
              </a:xfrm>
              <a:prstGeom prst="line">
                <a:avLst/>
              </a:prstGeom>
              <a:ln w="9525">
                <a:solidFill>
                  <a:srgbClr val="00b0f0"/>
                </a:solidFill>
                <a:round/>
              </a:ln>
            </xdr:spPr>
            <xdr:style>
              <a:lnRef idx="0"/>
              <a:fillRef idx="0"/>
              <a:effectRef idx="0"/>
              <a:fontRef idx="minor"/>
            </xdr:style>
          </xdr:sp>
          <xdr:sp>
            <xdr:nvSpPr>
              <xdr:cNvPr id="42" name="Line 237"/>
              <xdr:cNvSpPr/>
            </xdr:nvSpPr>
            <xdr:spPr>
              <a:xfrm flipH="1">
                <a:off x="5011200" y="14343480"/>
                <a:ext cx="151200" cy="160560"/>
              </a:xfrm>
              <a:prstGeom prst="line">
                <a:avLst/>
              </a:prstGeom>
              <a:ln w="9525">
                <a:solidFill>
                  <a:srgbClr val="00b0f0"/>
                </a:solidFill>
                <a:round/>
              </a:ln>
            </xdr:spPr>
            <xdr:style>
              <a:lnRef idx="0"/>
              <a:fillRef idx="0"/>
              <a:effectRef idx="0"/>
              <a:fontRef idx="minor"/>
            </xdr:style>
          </xdr:sp>
          <xdr:sp>
            <xdr:nvSpPr>
              <xdr:cNvPr id="43" name="Line 238"/>
              <xdr:cNvSpPr/>
            </xdr:nvSpPr>
            <xdr:spPr>
              <a:xfrm>
                <a:off x="5011200" y="14504040"/>
                <a:ext cx="360" cy="405720"/>
              </a:xfrm>
              <a:prstGeom prst="line">
                <a:avLst/>
              </a:prstGeom>
              <a:ln w="9525">
                <a:solidFill>
                  <a:srgbClr val="00b0f0"/>
                </a:solidFill>
                <a:round/>
              </a:ln>
            </xdr:spPr>
            <xdr:style>
              <a:lnRef idx="0"/>
              <a:fillRef idx="0"/>
              <a:effectRef idx="0"/>
              <a:fontRef idx="minor"/>
            </xdr:style>
          </xdr:sp>
          <xdr:sp>
            <xdr:nvSpPr>
              <xdr:cNvPr id="44" name="Line 239"/>
              <xdr:cNvSpPr/>
            </xdr:nvSpPr>
            <xdr:spPr>
              <a:xfrm>
                <a:off x="5011200" y="14909760"/>
                <a:ext cx="284040" cy="231840"/>
              </a:xfrm>
              <a:prstGeom prst="line">
                <a:avLst/>
              </a:prstGeom>
              <a:ln w="9525">
                <a:solidFill>
                  <a:srgbClr val="00b0f0"/>
                </a:solidFill>
                <a:round/>
              </a:ln>
            </xdr:spPr>
            <xdr:style>
              <a:lnRef idx="0"/>
              <a:fillRef idx="0"/>
              <a:effectRef idx="0"/>
              <a:fontRef idx="minor"/>
            </xdr:style>
          </xdr:sp>
          <xdr:sp>
            <xdr:nvSpPr>
              <xdr:cNvPr id="45" name="Line 240"/>
              <xdr:cNvSpPr/>
            </xdr:nvSpPr>
            <xdr:spPr>
              <a:xfrm>
                <a:off x="5295240" y="15141600"/>
                <a:ext cx="360" cy="612720"/>
              </a:xfrm>
              <a:prstGeom prst="line">
                <a:avLst/>
              </a:prstGeom>
              <a:ln w="9525">
                <a:solidFill>
                  <a:srgbClr val="00b0f0"/>
                </a:solidFill>
                <a:round/>
              </a:ln>
            </xdr:spPr>
            <xdr:style>
              <a:lnRef idx="0"/>
              <a:fillRef idx="0"/>
              <a:effectRef idx="0"/>
              <a:fontRef idx="minor"/>
            </xdr:style>
          </xdr:sp>
        </xdr:grpSp>
      </xdr:grpSp>
      <xdr:grpSp>
        <xdr:nvGrpSpPr>
          <xdr:cNvPr id="46" name="Group 241"/>
          <xdr:cNvGrpSpPr/>
        </xdr:nvGrpSpPr>
        <xdr:grpSpPr>
          <a:xfrm>
            <a:off x="5522400" y="13166640"/>
            <a:ext cx="513720" cy="2587680"/>
            <a:chOff x="5522400" y="13166640"/>
            <a:chExt cx="513720" cy="2587680"/>
          </a:xfrm>
        </xdr:grpSpPr>
        <xdr:sp>
          <xdr:nvSpPr>
            <xdr:cNvPr id="47" name="Arc 242"/>
            <xdr:cNvSpPr/>
          </xdr:nvSpPr>
          <xdr:spPr>
            <a:xfrm>
              <a:off x="5522400" y="13166640"/>
              <a:ext cx="359280" cy="608760"/>
            </a:xfrm>
            <a:custGeom>
              <a:avLst/>
              <a:gdLst>
                <a:gd name="textAreaLeft" fmla="*/ 0 w 359280"/>
                <a:gd name="textAreaRight" fmla="*/ 359640 w 359280"/>
                <a:gd name="textAreaTop" fmla="*/ 0 h 608760"/>
                <a:gd name="textAreaBottom" fmla="*/ 609120 h 60876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48" name="Group 243"/>
            <xdr:cNvGrpSpPr/>
          </xdr:nvGrpSpPr>
          <xdr:grpSpPr>
            <a:xfrm>
              <a:off x="5751720" y="13752360"/>
              <a:ext cx="284400" cy="2001960"/>
              <a:chOff x="5751720" y="13752360"/>
              <a:chExt cx="284400" cy="2001960"/>
            </a:xfrm>
          </xdr:grpSpPr>
          <xdr:sp>
            <xdr:nvSpPr>
              <xdr:cNvPr id="49" name="Line 244"/>
              <xdr:cNvSpPr/>
            </xdr:nvSpPr>
            <xdr:spPr>
              <a:xfrm>
                <a:off x="5884200" y="13752360"/>
                <a:ext cx="360" cy="591120"/>
              </a:xfrm>
              <a:prstGeom prst="line">
                <a:avLst/>
              </a:prstGeom>
              <a:ln w="9525">
                <a:solidFill>
                  <a:srgbClr val="00b0f0"/>
                </a:solidFill>
                <a:round/>
              </a:ln>
            </xdr:spPr>
            <xdr:style>
              <a:lnRef idx="0"/>
              <a:fillRef idx="0"/>
              <a:effectRef idx="0"/>
              <a:fontRef idx="minor"/>
            </xdr:style>
          </xdr:sp>
          <xdr:sp>
            <xdr:nvSpPr>
              <xdr:cNvPr id="50" name="Line 245"/>
              <xdr:cNvSpPr/>
            </xdr:nvSpPr>
            <xdr:spPr>
              <a:xfrm>
                <a:off x="5884200" y="14343480"/>
                <a:ext cx="151560" cy="160560"/>
              </a:xfrm>
              <a:prstGeom prst="line">
                <a:avLst/>
              </a:prstGeom>
              <a:ln w="9525">
                <a:solidFill>
                  <a:srgbClr val="00b0f0"/>
                </a:solidFill>
                <a:round/>
              </a:ln>
            </xdr:spPr>
            <xdr:style>
              <a:lnRef idx="0"/>
              <a:fillRef idx="0"/>
              <a:effectRef idx="0"/>
              <a:fontRef idx="minor"/>
            </xdr:style>
          </xdr:sp>
          <xdr:sp>
            <xdr:nvSpPr>
              <xdr:cNvPr id="51" name="Line 246"/>
              <xdr:cNvSpPr/>
            </xdr:nvSpPr>
            <xdr:spPr>
              <a:xfrm>
                <a:off x="6035760" y="14504040"/>
                <a:ext cx="360" cy="405720"/>
              </a:xfrm>
              <a:prstGeom prst="line">
                <a:avLst/>
              </a:prstGeom>
              <a:ln w="9525">
                <a:solidFill>
                  <a:srgbClr val="00b0f0"/>
                </a:solidFill>
                <a:round/>
              </a:ln>
            </xdr:spPr>
            <xdr:style>
              <a:lnRef idx="0"/>
              <a:fillRef idx="0"/>
              <a:effectRef idx="0"/>
              <a:fontRef idx="minor"/>
            </xdr:style>
          </xdr:sp>
          <xdr:sp>
            <xdr:nvSpPr>
              <xdr:cNvPr id="52" name="Line 247"/>
              <xdr:cNvSpPr/>
            </xdr:nvSpPr>
            <xdr:spPr>
              <a:xfrm flipH="1">
                <a:off x="5751720" y="14909760"/>
                <a:ext cx="284040" cy="231840"/>
              </a:xfrm>
              <a:prstGeom prst="line">
                <a:avLst/>
              </a:prstGeom>
              <a:ln w="9525">
                <a:solidFill>
                  <a:srgbClr val="00b0f0"/>
                </a:solidFill>
                <a:round/>
              </a:ln>
            </xdr:spPr>
            <xdr:style>
              <a:lnRef idx="0"/>
              <a:fillRef idx="0"/>
              <a:effectRef idx="0"/>
              <a:fontRef idx="minor"/>
            </xdr:style>
          </xdr:sp>
          <xdr:sp>
            <xdr:nvSpPr>
              <xdr:cNvPr id="53" name="Line 248"/>
              <xdr:cNvSpPr/>
            </xdr:nvSpPr>
            <xdr:spPr>
              <a:xfrm>
                <a:off x="5751720" y="15141600"/>
                <a:ext cx="360" cy="612720"/>
              </a:xfrm>
              <a:prstGeom prst="line">
                <a:avLst/>
              </a:prstGeom>
              <a:ln w="9525">
                <a:solidFill>
                  <a:srgbClr val="00b0f0"/>
                </a:solidFill>
                <a:round/>
              </a:ln>
            </xdr:spPr>
            <xdr:style>
              <a:lnRef idx="0"/>
              <a:fillRef idx="0"/>
              <a:effectRef idx="0"/>
              <a:fontRef idx="minor"/>
            </xdr:style>
          </xdr:sp>
        </xdr:grpSp>
      </xdr:grpSp>
      <xdr:sp>
        <xdr:nvSpPr>
          <xdr:cNvPr id="54" name="Line 249"/>
          <xdr:cNvSpPr/>
        </xdr:nvSpPr>
        <xdr:spPr>
          <a:xfrm>
            <a:off x="5295240" y="15649920"/>
            <a:ext cx="1800" cy="833400"/>
          </a:xfrm>
          <a:prstGeom prst="line">
            <a:avLst/>
          </a:prstGeom>
          <a:ln w="9525">
            <a:solidFill>
              <a:srgbClr val="00b0f0"/>
            </a:solidFill>
            <a:round/>
          </a:ln>
        </xdr:spPr>
        <xdr:style>
          <a:lnRef idx="0"/>
          <a:fillRef idx="0"/>
          <a:effectRef idx="0"/>
          <a:fontRef idx="minor"/>
        </xdr:style>
      </xdr:sp>
      <xdr:sp>
        <xdr:nvSpPr>
          <xdr:cNvPr id="55" name="Line 250"/>
          <xdr:cNvSpPr/>
        </xdr:nvSpPr>
        <xdr:spPr>
          <a:xfrm>
            <a:off x="5751720" y="15649920"/>
            <a:ext cx="360" cy="833400"/>
          </a:xfrm>
          <a:prstGeom prst="line">
            <a:avLst/>
          </a:prstGeom>
          <a:ln w="9525">
            <a:solidFill>
              <a:srgbClr val="00b0f0"/>
            </a:solidFill>
            <a:round/>
          </a:ln>
        </xdr:spPr>
        <xdr:style>
          <a:lnRef idx="0"/>
          <a:fillRef idx="0"/>
          <a:effectRef idx="0"/>
          <a:fontRef idx="minor"/>
        </xdr:style>
      </xdr:sp>
      <xdr:sp>
        <xdr:nvSpPr>
          <xdr:cNvPr id="56" name="Line 251"/>
          <xdr:cNvSpPr/>
        </xdr:nvSpPr>
        <xdr:spPr>
          <a:xfrm>
            <a:off x="5293080" y="16483320"/>
            <a:ext cx="456480" cy="360"/>
          </a:xfrm>
          <a:prstGeom prst="line">
            <a:avLst/>
          </a:prstGeom>
          <a:ln w="9525">
            <a:solidFill>
              <a:srgbClr val="00b0f0"/>
            </a:solidFill>
            <a:round/>
          </a:ln>
        </xdr:spPr>
        <xdr:style>
          <a:lnRef idx="0"/>
          <a:fillRef idx="0"/>
          <a:effectRef idx="0"/>
          <a:fontRef idx="minor"/>
        </xdr:style>
      </xdr:sp>
      <xdr:sp>
        <xdr:nvSpPr>
          <xdr:cNvPr id="57" name="Line 252"/>
          <xdr:cNvSpPr/>
        </xdr:nvSpPr>
        <xdr:spPr>
          <a:xfrm flipV="1">
            <a:off x="6667560" y="16188840"/>
            <a:ext cx="1080" cy="597600"/>
          </a:xfrm>
          <a:prstGeom prst="line">
            <a:avLst/>
          </a:prstGeom>
          <a:ln w="9525">
            <a:solidFill>
              <a:srgbClr val="00b0f0"/>
            </a:solidFill>
            <a:round/>
          </a:ln>
        </xdr:spPr>
        <xdr:style>
          <a:lnRef idx="0"/>
          <a:fillRef idx="0"/>
          <a:effectRef idx="0"/>
          <a:fontRef idx="minor"/>
        </xdr:style>
      </xdr:sp>
      <xdr:sp>
        <xdr:nvSpPr>
          <xdr:cNvPr id="58" name="Line 253"/>
          <xdr:cNvSpPr/>
        </xdr:nvSpPr>
        <xdr:spPr>
          <a:xfrm>
            <a:off x="5757480" y="16350840"/>
            <a:ext cx="906120" cy="449640"/>
          </a:xfrm>
          <a:prstGeom prst="line">
            <a:avLst/>
          </a:prstGeom>
          <a:ln w="9525">
            <a:solidFill>
              <a:srgbClr val="00b0f0"/>
            </a:solidFill>
            <a:round/>
          </a:ln>
        </xdr:spPr>
        <xdr:style>
          <a:lnRef idx="0"/>
          <a:fillRef idx="0"/>
          <a:effectRef idx="0"/>
          <a:fontRef idx="minor"/>
        </xdr:style>
      </xdr:sp>
      <xdr:sp>
        <xdr:nvSpPr>
          <xdr:cNvPr id="59" name="Line 254"/>
          <xdr:cNvSpPr/>
        </xdr:nvSpPr>
        <xdr:spPr>
          <a:xfrm flipH="1" flipV="1">
            <a:off x="5765400" y="15325920"/>
            <a:ext cx="902160" cy="866880"/>
          </a:xfrm>
          <a:prstGeom prst="line">
            <a:avLst/>
          </a:prstGeom>
          <a:ln w="9525">
            <a:solidFill>
              <a:srgbClr val="00b0f0"/>
            </a:solidFill>
            <a:round/>
          </a:ln>
        </xdr:spPr>
        <xdr:style>
          <a:lnRef idx="0"/>
          <a:fillRef idx="0"/>
          <a:effectRef idx="0"/>
          <a:fontRef idx="minor"/>
        </xdr:style>
      </xdr:sp>
      <xdr:sp>
        <xdr:nvSpPr>
          <xdr:cNvPr id="60" name="Line 255"/>
          <xdr:cNvSpPr/>
        </xdr:nvSpPr>
        <xdr:spPr>
          <a:xfrm flipH="1" flipV="1">
            <a:off x="4387320" y="16198560"/>
            <a:ext cx="720" cy="597600"/>
          </a:xfrm>
          <a:prstGeom prst="line">
            <a:avLst/>
          </a:prstGeom>
          <a:ln w="9525">
            <a:solidFill>
              <a:srgbClr val="00b0f0"/>
            </a:solidFill>
            <a:round/>
          </a:ln>
        </xdr:spPr>
        <xdr:style>
          <a:lnRef idx="0"/>
          <a:fillRef idx="0"/>
          <a:effectRef idx="0"/>
          <a:fontRef idx="minor"/>
        </xdr:style>
      </xdr:sp>
      <xdr:sp>
        <xdr:nvSpPr>
          <xdr:cNvPr id="61" name="Line 256"/>
          <xdr:cNvSpPr/>
        </xdr:nvSpPr>
        <xdr:spPr>
          <a:xfrm flipH="1">
            <a:off x="4387320" y="16355160"/>
            <a:ext cx="905760" cy="449640"/>
          </a:xfrm>
          <a:prstGeom prst="line">
            <a:avLst/>
          </a:prstGeom>
          <a:ln w="9525">
            <a:solidFill>
              <a:srgbClr val="00b0f0"/>
            </a:solidFill>
            <a:round/>
          </a:ln>
        </xdr:spPr>
        <xdr:style>
          <a:lnRef idx="0"/>
          <a:fillRef idx="0"/>
          <a:effectRef idx="0"/>
          <a:fontRef idx="minor"/>
        </xdr:style>
      </xdr:sp>
      <xdr:sp>
        <xdr:nvSpPr>
          <xdr:cNvPr id="62" name="Line 257"/>
          <xdr:cNvSpPr/>
        </xdr:nvSpPr>
        <xdr:spPr>
          <a:xfrm flipV="1">
            <a:off x="4395240" y="15330240"/>
            <a:ext cx="901800" cy="866880"/>
          </a:xfrm>
          <a:prstGeom prst="line">
            <a:avLst/>
          </a:prstGeom>
          <a:ln w="9525">
            <a:solidFill>
              <a:srgbClr val="00b0f0"/>
            </a:solidFill>
            <a:round/>
          </a:ln>
        </xdr:spPr>
        <xdr:style>
          <a:lnRef idx="0"/>
          <a:fillRef idx="0"/>
          <a:effectRef idx="0"/>
          <a:fontRef idx="minor"/>
        </xdr:style>
      </xdr:sp>
    </xdr:grpSp>
    <xdr:clientData/>
  </xdr:twoCellAnchor>
  <xdr:twoCellAnchor editAs="twoCell">
    <xdr:from>
      <xdr:col>6</xdr:col>
      <xdr:colOff>825480</xdr:colOff>
      <xdr:row>84</xdr:row>
      <xdr:rowOff>101520</xdr:rowOff>
    </xdr:from>
    <xdr:to>
      <xdr:col>6</xdr:col>
      <xdr:colOff>1542960</xdr:colOff>
      <xdr:row>84</xdr:row>
      <xdr:rowOff>101520</xdr:rowOff>
    </xdr:to>
    <xdr:sp>
      <xdr:nvSpPr>
        <xdr:cNvPr id="63" name="Line 268"/>
        <xdr:cNvSpPr/>
      </xdr:nvSpPr>
      <xdr:spPr>
        <a:xfrm>
          <a:off x="5142960" y="13922280"/>
          <a:ext cx="71748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152280</xdr:colOff>
      <xdr:row>80</xdr:row>
      <xdr:rowOff>0</xdr:rowOff>
    </xdr:from>
    <xdr:to>
      <xdr:col>9</xdr:col>
      <xdr:colOff>179280</xdr:colOff>
      <xdr:row>80</xdr:row>
      <xdr:rowOff>0</xdr:rowOff>
    </xdr:to>
    <xdr:sp>
      <xdr:nvSpPr>
        <xdr:cNvPr id="64" name="Line 269"/>
        <xdr:cNvSpPr/>
      </xdr:nvSpPr>
      <xdr:spPr>
        <a:xfrm>
          <a:off x="4469760" y="13154040"/>
          <a:ext cx="2852640" cy="0"/>
        </a:xfrm>
        <a:prstGeom prst="line">
          <a:avLst/>
        </a:prstGeom>
        <a:ln w="6350">
          <a:solidFill>
            <a:srgbClr val="000000"/>
          </a:solidFill>
          <a:round/>
        </a:ln>
      </xdr:spPr>
      <xdr:style>
        <a:lnRef idx="0"/>
        <a:fillRef idx="0"/>
        <a:effectRef idx="0"/>
        <a:fontRef idx="minor"/>
      </xdr:style>
    </xdr:sp>
    <xdr:clientData/>
  </xdr:twoCellAnchor>
  <xdr:twoCellAnchor editAs="twoCell">
    <xdr:from>
      <xdr:col>8</xdr:col>
      <xdr:colOff>228600</xdr:colOff>
      <xdr:row>80</xdr:row>
      <xdr:rowOff>12600</xdr:rowOff>
    </xdr:from>
    <xdr:to>
      <xdr:col>8</xdr:col>
      <xdr:colOff>228600</xdr:colOff>
      <xdr:row>93</xdr:row>
      <xdr:rowOff>82440</xdr:rowOff>
    </xdr:to>
    <xdr:sp>
      <xdr:nvSpPr>
        <xdr:cNvPr id="65" name="Line 270"/>
        <xdr:cNvSpPr/>
      </xdr:nvSpPr>
      <xdr:spPr>
        <a:xfrm>
          <a:off x="6897240" y="13166640"/>
          <a:ext cx="0" cy="216540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139680</xdr:colOff>
      <xdr:row>83</xdr:row>
      <xdr:rowOff>50760</xdr:rowOff>
    </xdr:from>
    <xdr:to>
      <xdr:col>6</xdr:col>
      <xdr:colOff>838080</xdr:colOff>
      <xdr:row>83</xdr:row>
      <xdr:rowOff>50760</xdr:rowOff>
    </xdr:to>
    <xdr:sp>
      <xdr:nvSpPr>
        <xdr:cNvPr id="66" name="Line 271"/>
        <xdr:cNvSpPr/>
      </xdr:nvSpPr>
      <xdr:spPr>
        <a:xfrm>
          <a:off x="4457160" y="13709520"/>
          <a:ext cx="69840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152280</xdr:colOff>
      <xdr:row>80</xdr:row>
      <xdr:rowOff>0</xdr:rowOff>
    </xdr:from>
    <xdr:to>
      <xdr:col>6</xdr:col>
      <xdr:colOff>152280</xdr:colOff>
      <xdr:row>83</xdr:row>
      <xdr:rowOff>50760</xdr:rowOff>
    </xdr:to>
    <xdr:sp>
      <xdr:nvSpPr>
        <xdr:cNvPr id="67" name="Line 272"/>
        <xdr:cNvSpPr/>
      </xdr:nvSpPr>
      <xdr:spPr>
        <a:xfrm>
          <a:off x="4469760" y="13154040"/>
          <a:ext cx="0" cy="55548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8</xdr:col>
      <xdr:colOff>313200</xdr:colOff>
      <xdr:row>102</xdr:row>
      <xdr:rowOff>95040</xdr:rowOff>
    </xdr:from>
    <xdr:to>
      <xdr:col>9</xdr:col>
      <xdr:colOff>77760</xdr:colOff>
      <xdr:row>102</xdr:row>
      <xdr:rowOff>95040</xdr:rowOff>
    </xdr:to>
    <xdr:sp>
      <xdr:nvSpPr>
        <xdr:cNvPr id="68" name="Line 277"/>
        <xdr:cNvSpPr/>
      </xdr:nvSpPr>
      <xdr:spPr>
        <a:xfrm>
          <a:off x="6981840" y="16792200"/>
          <a:ext cx="239040" cy="0"/>
        </a:xfrm>
        <a:prstGeom prst="line">
          <a:avLst/>
        </a:prstGeom>
        <a:ln w="6350">
          <a:solidFill>
            <a:srgbClr val="000000"/>
          </a:solidFill>
          <a:round/>
        </a:ln>
      </xdr:spPr>
      <xdr:style>
        <a:lnRef idx="0"/>
        <a:fillRef idx="0"/>
        <a:effectRef idx="0"/>
        <a:fontRef idx="minor"/>
      </xdr:style>
    </xdr:sp>
    <xdr:clientData/>
  </xdr:twoCellAnchor>
  <xdr:twoCellAnchor editAs="twoCell">
    <xdr:from>
      <xdr:col>8</xdr:col>
      <xdr:colOff>12600</xdr:colOff>
      <xdr:row>98</xdr:row>
      <xdr:rowOff>133200</xdr:rowOff>
    </xdr:from>
    <xdr:to>
      <xdr:col>8</xdr:col>
      <xdr:colOff>469800</xdr:colOff>
      <xdr:row>98</xdr:row>
      <xdr:rowOff>133200</xdr:rowOff>
    </xdr:to>
    <xdr:sp>
      <xdr:nvSpPr>
        <xdr:cNvPr id="69" name="Line 278"/>
        <xdr:cNvSpPr/>
      </xdr:nvSpPr>
      <xdr:spPr>
        <a:xfrm>
          <a:off x="6681240" y="16173360"/>
          <a:ext cx="45720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93</xdr:row>
      <xdr:rowOff>75960</xdr:rowOff>
    </xdr:from>
    <xdr:to>
      <xdr:col>9</xdr:col>
      <xdr:colOff>77760</xdr:colOff>
      <xdr:row>93</xdr:row>
      <xdr:rowOff>75960</xdr:rowOff>
    </xdr:to>
    <xdr:sp>
      <xdr:nvSpPr>
        <xdr:cNvPr id="70" name="Line 279"/>
        <xdr:cNvSpPr/>
      </xdr:nvSpPr>
      <xdr:spPr>
        <a:xfrm>
          <a:off x="4793400" y="15325560"/>
          <a:ext cx="242748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99</xdr:row>
      <xdr:rowOff>152280</xdr:rowOff>
    </xdr:from>
    <xdr:to>
      <xdr:col>6</xdr:col>
      <xdr:colOff>1428480</xdr:colOff>
      <xdr:row>99</xdr:row>
      <xdr:rowOff>152280</xdr:rowOff>
    </xdr:to>
    <xdr:sp>
      <xdr:nvSpPr>
        <xdr:cNvPr id="71" name="Line 280"/>
        <xdr:cNvSpPr/>
      </xdr:nvSpPr>
      <xdr:spPr>
        <a:xfrm>
          <a:off x="4793400" y="16344720"/>
          <a:ext cx="95256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93</xdr:row>
      <xdr:rowOff>75960</xdr:rowOff>
    </xdr:from>
    <xdr:to>
      <xdr:col>6</xdr:col>
      <xdr:colOff>475920</xdr:colOff>
      <xdr:row>99</xdr:row>
      <xdr:rowOff>171360</xdr:rowOff>
    </xdr:to>
    <xdr:sp>
      <xdr:nvSpPr>
        <xdr:cNvPr id="72" name="Line 281"/>
        <xdr:cNvSpPr/>
      </xdr:nvSpPr>
      <xdr:spPr>
        <a:xfrm>
          <a:off x="4793400" y="15325560"/>
          <a:ext cx="0" cy="10382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9</xdr:col>
      <xdr:colOff>14400</xdr:colOff>
      <xdr:row>98</xdr:row>
      <xdr:rowOff>133200</xdr:rowOff>
    </xdr:from>
    <xdr:to>
      <xdr:col>9</xdr:col>
      <xdr:colOff>14400</xdr:colOff>
      <xdr:row>102</xdr:row>
      <xdr:rowOff>95040</xdr:rowOff>
    </xdr:to>
    <xdr:sp>
      <xdr:nvSpPr>
        <xdr:cNvPr id="73" name="Line 282"/>
        <xdr:cNvSpPr/>
      </xdr:nvSpPr>
      <xdr:spPr>
        <a:xfrm>
          <a:off x="7157520" y="16173360"/>
          <a:ext cx="0" cy="6188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9</xdr:col>
      <xdr:colOff>14400</xdr:colOff>
      <xdr:row>93</xdr:row>
      <xdr:rowOff>63360</xdr:rowOff>
    </xdr:from>
    <xdr:to>
      <xdr:col>9</xdr:col>
      <xdr:colOff>14400</xdr:colOff>
      <xdr:row>98</xdr:row>
      <xdr:rowOff>133200</xdr:rowOff>
    </xdr:to>
    <xdr:sp>
      <xdr:nvSpPr>
        <xdr:cNvPr id="74" name="Line 283"/>
        <xdr:cNvSpPr/>
      </xdr:nvSpPr>
      <xdr:spPr>
        <a:xfrm>
          <a:off x="7157520" y="15312960"/>
          <a:ext cx="0" cy="86040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8</xdr:col>
      <xdr:colOff>0</xdr:colOff>
      <xdr:row>102</xdr:row>
      <xdr:rowOff>95040</xdr:rowOff>
    </xdr:from>
    <xdr:to>
      <xdr:col>8</xdr:col>
      <xdr:colOff>0</xdr:colOff>
      <xdr:row>102</xdr:row>
      <xdr:rowOff>162000</xdr:rowOff>
    </xdr:to>
    <xdr:sp>
      <xdr:nvSpPr>
        <xdr:cNvPr id="75" name="Line 284"/>
        <xdr:cNvSpPr/>
      </xdr:nvSpPr>
      <xdr:spPr>
        <a:xfrm flipV="1">
          <a:off x="6668640" y="16792200"/>
          <a:ext cx="0" cy="6696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1428480</xdr:colOff>
      <xdr:row>99</xdr:row>
      <xdr:rowOff>139680</xdr:rowOff>
    </xdr:from>
    <xdr:to>
      <xdr:col>6</xdr:col>
      <xdr:colOff>1428480</xdr:colOff>
      <xdr:row>102</xdr:row>
      <xdr:rowOff>162000</xdr:rowOff>
    </xdr:to>
    <xdr:sp>
      <xdr:nvSpPr>
        <xdr:cNvPr id="76" name="Line 285"/>
        <xdr:cNvSpPr/>
      </xdr:nvSpPr>
      <xdr:spPr>
        <a:xfrm flipV="1">
          <a:off x="5745960" y="16332120"/>
          <a:ext cx="0" cy="52704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1422360</xdr:colOff>
      <xdr:row>103</xdr:row>
      <xdr:rowOff>0</xdr:rowOff>
    </xdr:from>
    <xdr:to>
      <xdr:col>7</xdr:col>
      <xdr:colOff>474120</xdr:colOff>
      <xdr:row>103</xdr:row>
      <xdr:rowOff>0</xdr:rowOff>
    </xdr:to>
    <xdr:sp>
      <xdr:nvSpPr>
        <xdr:cNvPr id="77" name="Line 286"/>
        <xdr:cNvSpPr/>
      </xdr:nvSpPr>
      <xdr:spPr>
        <a:xfrm>
          <a:off x="5739840" y="16859160"/>
          <a:ext cx="92880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685800</xdr:colOff>
      <xdr:row>89</xdr:row>
      <xdr:rowOff>69840</xdr:rowOff>
    </xdr:from>
    <xdr:to>
      <xdr:col>6</xdr:col>
      <xdr:colOff>1695240</xdr:colOff>
      <xdr:row>89</xdr:row>
      <xdr:rowOff>69840</xdr:rowOff>
    </xdr:to>
    <xdr:sp>
      <xdr:nvSpPr>
        <xdr:cNvPr id="78" name="Line 287"/>
        <xdr:cNvSpPr/>
      </xdr:nvSpPr>
      <xdr:spPr>
        <a:xfrm>
          <a:off x="5003280" y="14690880"/>
          <a:ext cx="100944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990360</xdr:colOff>
      <xdr:row>93</xdr:row>
      <xdr:rowOff>25200</xdr:rowOff>
    </xdr:from>
    <xdr:to>
      <xdr:col>6</xdr:col>
      <xdr:colOff>1396800</xdr:colOff>
      <xdr:row>93</xdr:row>
      <xdr:rowOff>25200</xdr:rowOff>
    </xdr:to>
    <xdr:sp>
      <xdr:nvSpPr>
        <xdr:cNvPr id="79" name="Line 288"/>
        <xdr:cNvSpPr/>
      </xdr:nvSpPr>
      <xdr:spPr>
        <a:xfrm>
          <a:off x="5307840" y="15274800"/>
          <a:ext cx="40644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850680</xdr:colOff>
      <xdr:row>87</xdr:row>
      <xdr:rowOff>56880</xdr:rowOff>
    </xdr:from>
    <xdr:to>
      <xdr:col>8</xdr:col>
      <xdr:colOff>44280</xdr:colOff>
      <xdr:row>87</xdr:row>
      <xdr:rowOff>56880</xdr:rowOff>
    </xdr:to>
    <xdr:sp>
      <xdr:nvSpPr>
        <xdr:cNvPr id="80" name="Line 289"/>
        <xdr:cNvSpPr/>
      </xdr:nvSpPr>
      <xdr:spPr>
        <a:xfrm>
          <a:off x="5168160" y="14363280"/>
          <a:ext cx="154476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698400</xdr:colOff>
      <xdr:row>88</xdr:row>
      <xdr:rowOff>56880</xdr:rowOff>
    </xdr:from>
    <xdr:to>
      <xdr:col>8</xdr:col>
      <xdr:colOff>56880</xdr:colOff>
      <xdr:row>88</xdr:row>
      <xdr:rowOff>56880</xdr:rowOff>
    </xdr:to>
    <xdr:sp>
      <xdr:nvSpPr>
        <xdr:cNvPr id="81" name="Line 290"/>
        <xdr:cNvSpPr/>
      </xdr:nvSpPr>
      <xdr:spPr>
        <a:xfrm>
          <a:off x="5015880" y="14515920"/>
          <a:ext cx="170964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698400</xdr:colOff>
      <xdr:row>90</xdr:row>
      <xdr:rowOff>139680</xdr:rowOff>
    </xdr:from>
    <xdr:to>
      <xdr:col>8</xdr:col>
      <xdr:colOff>69840</xdr:colOff>
      <xdr:row>90</xdr:row>
      <xdr:rowOff>139680</xdr:rowOff>
    </xdr:to>
    <xdr:sp>
      <xdr:nvSpPr>
        <xdr:cNvPr id="82" name="Line 291"/>
        <xdr:cNvSpPr/>
      </xdr:nvSpPr>
      <xdr:spPr>
        <a:xfrm>
          <a:off x="5015880" y="14932080"/>
          <a:ext cx="172260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977760</xdr:colOff>
      <xdr:row>92</xdr:row>
      <xdr:rowOff>44280</xdr:rowOff>
    </xdr:from>
    <xdr:to>
      <xdr:col>8</xdr:col>
      <xdr:colOff>44280</xdr:colOff>
      <xdr:row>92</xdr:row>
      <xdr:rowOff>44280</xdr:rowOff>
    </xdr:to>
    <xdr:sp>
      <xdr:nvSpPr>
        <xdr:cNvPr id="83" name="Line 292"/>
        <xdr:cNvSpPr/>
      </xdr:nvSpPr>
      <xdr:spPr>
        <a:xfrm>
          <a:off x="5295240" y="15141240"/>
          <a:ext cx="141768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1790640</xdr:colOff>
      <xdr:row>80</xdr:row>
      <xdr:rowOff>0</xdr:rowOff>
    </xdr:from>
    <xdr:to>
      <xdr:col>6</xdr:col>
      <xdr:colOff>1790640</xdr:colOff>
      <xdr:row>87</xdr:row>
      <xdr:rowOff>63360</xdr:rowOff>
    </xdr:to>
    <xdr:sp>
      <xdr:nvSpPr>
        <xdr:cNvPr id="84" name="Line 293"/>
        <xdr:cNvSpPr/>
      </xdr:nvSpPr>
      <xdr:spPr>
        <a:xfrm>
          <a:off x="6108120" y="13154040"/>
          <a:ext cx="0" cy="121572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7</xdr:col>
      <xdr:colOff>190440</xdr:colOff>
      <xdr:row>80</xdr:row>
      <xdr:rowOff>0</xdr:rowOff>
    </xdr:from>
    <xdr:to>
      <xdr:col>7</xdr:col>
      <xdr:colOff>190440</xdr:colOff>
      <xdr:row>90</xdr:row>
      <xdr:rowOff>133200</xdr:rowOff>
    </xdr:to>
    <xdr:sp>
      <xdr:nvSpPr>
        <xdr:cNvPr id="85" name="Line 294"/>
        <xdr:cNvSpPr/>
      </xdr:nvSpPr>
      <xdr:spPr>
        <a:xfrm>
          <a:off x="6384960" y="13154040"/>
          <a:ext cx="0" cy="177156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8</xdr:col>
      <xdr:colOff>44280</xdr:colOff>
      <xdr:row>87</xdr:row>
      <xdr:rowOff>56880</xdr:rowOff>
    </xdr:from>
    <xdr:to>
      <xdr:col>8</xdr:col>
      <xdr:colOff>44280</xdr:colOff>
      <xdr:row>88</xdr:row>
      <xdr:rowOff>56880</xdr:rowOff>
    </xdr:to>
    <xdr:sp>
      <xdr:nvSpPr>
        <xdr:cNvPr id="86" name="Line 295"/>
        <xdr:cNvSpPr/>
      </xdr:nvSpPr>
      <xdr:spPr>
        <a:xfrm>
          <a:off x="6712920" y="14363280"/>
          <a:ext cx="0" cy="15264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8</xdr:col>
      <xdr:colOff>44280</xdr:colOff>
      <xdr:row>90</xdr:row>
      <xdr:rowOff>139680</xdr:rowOff>
    </xdr:from>
    <xdr:to>
      <xdr:col>8</xdr:col>
      <xdr:colOff>44280</xdr:colOff>
      <xdr:row>92</xdr:row>
      <xdr:rowOff>44280</xdr:rowOff>
    </xdr:to>
    <xdr:sp>
      <xdr:nvSpPr>
        <xdr:cNvPr id="87" name="Line 296"/>
        <xdr:cNvSpPr/>
      </xdr:nvSpPr>
      <xdr:spPr>
        <a:xfrm>
          <a:off x="6712920" y="14932080"/>
          <a:ext cx="0" cy="20916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0</xdr:colOff>
      <xdr:row>84</xdr:row>
      <xdr:rowOff>101520</xdr:rowOff>
    </xdr:from>
    <xdr:to>
      <xdr:col>6</xdr:col>
      <xdr:colOff>838080</xdr:colOff>
      <xdr:row>84</xdr:row>
      <xdr:rowOff>101520</xdr:rowOff>
    </xdr:to>
    <xdr:sp>
      <xdr:nvSpPr>
        <xdr:cNvPr id="88" name="Line 297"/>
        <xdr:cNvSpPr/>
      </xdr:nvSpPr>
      <xdr:spPr>
        <a:xfrm>
          <a:off x="4317480" y="13922280"/>
          <a:ext cx="838080" cy="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0</xdr:colOff>
      <xdr:row>89</xdr:row>
      <xdr:rowOff>69840</xdr:rowOff>
    </xdr:from>
    <xdr:to>
      <xdr:col>6</xdr:col>
      <xdr:colOff>685800</xdr:colOff>
      <xdr:row>89</xdr:row>
      <xdr:rowOff>69840</xdr:rowOff>
    </xdr:to>
    <xdr:sp>
      <xdr:nvSpPr>
        <xdr:cNvPr id="89" name="Line 298"/>
        <xdr:cNvSpPr/>
      </xdr:nvSpPr>
      <xdr:spPr>
        <a:xfrm>
          <a:off x="4317480" y="14690880"/>
          <a:ext cx="685800" cy="0"/>
        </a:xfrm>
        <a:prstGeom prst="line">
          <a:avLst/>
        </a:prstGeom>
        <a:ln w="9525">
          <a:solidFill>
            <a:srgbClr val="92d050"/>
          </a:solidFill>
          <a:round/>
        </a:ln>
      </xdr:spPr>
      <xdr:style>
        <a:lnRef idx="0"/>
        <a:fillRef idx="0"/>
        <a:effectRef idx="0"/>
        <a:fontRef idx="minor"/>
      </xdr:style>
    </xdr:sp>
    <xdr:clientData/>
  </xdr:twoCellAnchor>
  <xdr:twoCellAnchor editAs="twoCell">
    <xdr:from>
      <xdr:col>6</xdr:col>
      <xdr:colOff>0</xdr:colOff>
      <xdr:row>93</xdr:row>
      <xdr:rowOff>25200</xdr:rowOff>
    </xdr:from>
    <xdr:to>
      <xdr:col>6</xdr:col>
      <xdr:colOff>971280</xdr:colOff>
      <xdr:row>93</xdr:row>
      <xdr:rowOff>25200</xdr:rowOff>
    </xdr:to>
    <xdr:sp>
      <xdr:nvSpPr>
        <xdr:cNvPr id="90" name="Line 299"/>
        <xdr:cNvSpPr/>
      </xdr:nvSpPr>
      <xdr:spPr>
        <a:xfrm>
          <a:off x="4317480" y="15274800"/>
          <a:ext cx="971280" cy="0"/>
        </a:xfrm>
        <a:prstGeom prst="line">
          <a:avLst/>
        </a:prstGeom>
        <a:ln w="9525">
          <a:solidFill>
            <a:srgbClr val="92d050"/>
          </a:solidFill>
          <a:round/>
        </a:ln>
      </xdr:spPr>
      <xdr:style>
        <a:lnRef idx="0"/>
        <a:fillRef idx="0"/>
        <a:effectRef idx="0"/>
        <a:fontRef idx="minor"/>
      </xdr:style>
    </xdr:sp>
    <xdr:clientData/>
  </xdr:twoCellAnchor>
  <xdr:twoCellAnchor editAs="twoCell">
    <xdr:from>
      <xdr:col>6</xdr:col>
      <xdr:colOff>0</xdr:colOff>
      <xdr:row>96</xdr:row>
      <xdr:rowOff>75960</xdr:rowOff>
    </xdr:from>
    <xdr:to>
      <xdr:col>6</xdr:col>
      <xdr:colOff>475920</xdr:colOff>
      <xdr:row>96</xdr:row>
      <xdr:rowOff>75960</xdr:rowOff>
    </xdr:to>
    <xdr:sp>
      <xdr:nvSpPr>
        <xdr:cNvPr id="91" name="Line 300"/>
        <xdr:cNvSpPr/>
      </xdr:nvSpPr>
      <xdr:spPr>
        <a:xfrm>
          <a:off x="4317480" y="15792120"/>
          <a:ext cx="475920" cy="0"/>
        </a:xfrm>
        <a:prstGeom prst="line">
          <a:avLst/>
        </a:prstGeom>
        <a:ln w="9525">
          <a:solidFill>
            <a:srgbClr val="000000"/>
          </a:solidFill>
          <a:round/>
        </a:ln>
      </xdr:spPr>
      <xdr:style>
        <a:lnRef idx="0"/>
        <a:fillRef idx="0"/>
        <a:effectRef idx="0"/>
        <a:fontRef idx="minor"/>
      </xdr:style>
    </xdr:sp>
    <xdr:clientData/>
  </xdr:twoCellAnchor>
  <xdr:twoCellAnchor editAs="twoCell">
    <xdr:from>
      <xdr:col>7</xdr:col>
      <xdr:colOff>152280</xdr:colOff>
      <xdr:row>103</xdr:row>
      <xdr:rowOff>0</xdr:rowOff>
    </xdr:from>
    <xdr:to>
      <xdr:col>7</xdr:col>
      <xdr:colOff>152280</xdr:colOff>
      <xdr:row>104</xdr:row>
      <xdr:rowOff>12600</xdr:rowOff>
    </xdr:to>
    <xdr:sp>
      <xdr:nvSpPr>
        <xdr:cNvPr id="92" name="Line 301"/>
        <xdr:cNvSpPr/>
      </xdr:nvSpPr>
      <xdr:spPr>
        <a:xfrm>
          <a:off x="6346800" y="16859160"/>
          <a:ext cx="0" cy="18432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0</xdr:colOff>
      <xdr:row>81</xdr:row>
      <xdr:rowOff>75960</xdr:rowOff>
    </xdr:from>
    <xdr:to>
      <xdr:col>6</xdr:col>
      <xdr:colOff>152280</xdr:colOff>
      <xdr:row>81</xdr:row>
      <xdr:rowOff>75960</xdr:rowOff>
    </xdr:to>
    <xdr:sp>
      <xdr:nvSpPr>
        <xdr:cNvPr id="93" name="Line 302"/>
        <xdr:cNvSpPr/>
      </xdr:nvSpPr>
      <xdr:spPr>
        <a:xfrm>
          <a:off x="4317480" y="13401360"/>
          <a:ext cx="152280" cy="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1777680</xdr:colOff>
      <xdr:row>83</xdr:row>
      <xdr:rowOff>82440</xdr:rowOff>
    </xdr:from>
    <xdr:to>
      <xdr:col>8</xdr:col>
      <xdr:colOff>474480</xdr:colOff>
      <xdr:row>83</xdr:row>
      <xdr:rowOff>82440</xdr:rowOff>
    </xdr:to>
    <xdr:sp>
      <xdr:nvSpPr>
        <xdr:cNvPr id="94" name="Line 303"/>
        <xdr:cNvSpPr/>
      </xdr:nvSpPr>
      <xdr:spPr>
        <a:xfrm>
          <a:off x="6095160" y="13741200"/>
          <a:ext cx="104796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7</xdr:col>
      <xdr:colOff>190440</xdr:colOff>
      <xdr:row>85</xdr:row>
      <xdr:rowOff>75960</xdr:rowOff>
    </xdr:from>
    <xdr:to>
      <xdr:col>8</xdr:col>
      <xdr:colOff>474480</xdr:colOff>
      <xdr:row>85</xdr:row>
      <xdr:rowOff>75960</xdr:rowOff>
    </xdr:to>
    <xdr:sp>
      <xdr:nvSpPr>
        <xdr:cNvPr id="95" name="Line 304"/>
        <xdr:cNvSpPr/>
      </xdr:nvSpPr>
      <xdr:spPr>
        <a:xfrm>
          <a:off x="6384960" y="14068080"/>
          <a:ext cx="75816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44280</xdr:colOff>
      <xdr:row>87</xdr:row>
      <xdr:rowOff>133200</xdr:rowOff>
    </xdr:from>
    <xdr:to>
      <xdr:col>8</xdr:col>
      <xdr:colOff>474480</xdr:colOff>
      <xdr:row>87</xdr:row>
      <xdr:rowOff>133200</xdr:rowOff>
    </xdr:to>
    <xdr:sp>
      <xdr:nvSpPr>
        <xdr:cNvPr id="96" name="Line 305"/>
        <xdr:cNvSpPr/>
      </xdr:nvSpPr>
      <xdr:spPr>
        <a:xfrm>
          <a:off x="6712920" y="14439600"/>
          <a:ext cx="43020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44280</xdr:colOff>
      <xdr:row>91</xdr:row>
      <xdr:rowOff>75960</xdr:rowOff>
    </xdr:from>
    <xdr:to>
      <xdr:col>9</xdr:col>
      <xdr:colOff>12600</xdr:colOff>
      <xdr:row>91</xdr:row>
      <xdr:rowOff>75960</xdr:rowOff>
    </xdr:to>
    <xdr:sp>
      <xdr:nvSpPr>
        <xdr:cNvPr id="97" name="Line 308"/>
        <xdr:cNvSpPr/>
      </xdr:nvSpPr>
      <xdr:spPr>
        <a:xfrm flipH="1">
          <a:off x="6712920" y="15020640"/>
          <a:ext cx="44280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222120</xdr:colOff>
      <xdr:row>89</xdr:row>
      <xdr:rowOff>88560</xdr:rowOff>
    </xdr:from>
    <xdr:to>
      <xdr:col>8</xdr:col>
      <xdr:colOff>463320</xdr:colOff>
      <xdr:row>89</xdr:row>
      <xdr:rowOff>88560</xdr:rowOff>
    </xdr:to>
    <xdr:sp>
      <xdr:nvSpPr>
        <xdr:cNvPr id="98" name="Line 278"/>
        <xdr:cNvSpPr/>
      </xdr:nvSpPr>
      <xdr:spPr>
        <a:xfrm>
          <a:off x="6890760" y="14709600"/>
          <a:ext cx="24120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69840</xdr:colOff>
      <xdr:row>1</xdr:row>
      <xdr:rowOff>12600</xdr:rowOff>
    </xdr:from>
    <xdr:to>
      <xdr:col>18</xdr:col>
      <xdr:colOff>1146600</xdr:colOff>
      <xdr:row>31</xdr:row>
      <xdr:rowOff>101520</xdr:rowOff>
    </xdr:to>
    <xdr:grpSp>
      <xdr:nvGrpSpPr>
        <xdr:cNvPr id="99" name="Group 232"/>
        <xdr:cNvGrpSpPr/>
      </xdr:nvGrpSpPr>
      <xdr:grpSpPr>
        <a:xfrm>
          <a:off x="13766040" y="183960"/>
          <a:ext cx="2223720" cy="5127840"/>
          <a:chOff x="13766040" y="183960"/>
          <a:chExt cx="2223720" cy="5127840"/>
        </a:xfrm>
      </xdr:grpSpPr>
      <xdr:grpSp>
        <xdr:nvGrpSpPr>
          <xdr:cNvPr id="100" name="Group 233"/>
          <xdr:cNvGrpSpPr/>
        </xdr:nvGrpSpPr>
        <xdr:grpSpPr>
          <a:xfrm>
            <a:off x="14374080" y="183960"/>
            <a:ext cx="499680" cy="3647160"/>
            <a:chOff x="14374080" y="183960"/>
            <a:chExt cx="499680" cy="3647160"/>
          </a:xfrm>
        </xdr:grpSpPr>
        <xdr:sp>
          <xdr:nvSpPr>
            <xdr:cNvPr id="101" name="Arc 234"/>
            <xdr:cNvSpPr/>
          </xdr:nvSpPr>
          <xdr:spPr>
            <a:xfrm flipH="1">
              <a:off x="14523120" y="183960"/>
              <a:ext cx="350280" cy="857880"/>
            </a:xfrm>
            <a:custGeom>
              <a:avLst/>
              <a:gdLst>
                <a:gd name="textAreaLeft" fmla="*/ -360 w 350280"/>
                <a:gd name="textAreaRight" fmla="*/ 350280 w 350280"/>
                <a:gd name="textAreaTop" fmla="*/ 0 h 857880"/>
                <a:gd name="textAreaBottom" fmla="*/ 858240 h 85788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102" name="Group 235"/>
            <xdr:cNvGrpSpPr/>
          </xdr:nvGrpSpPr>
          <xdr:grpSpPr>
            <a:xfrm>
              <a:off x="14374080" y="1009440"/>
              <a:ext cx="277200" cy="2821680"/>
              <a:chOff x="14374080" y="1009440"/>
              <a:chExt cx="277200" cy="2821680"/>
            </a:xfrm>
          </xdr:grpSpPr>
          <xdr:sp>
            <xdr:nvSpPr>
              <xdr:cNvPr id="103" name="Line 236"/>
              <xdr:cNvSpPr/>
            </xdr:nvSpPr>
            <xdr:spPr>
              <a:xfrm>
                <a:off x="14521680" y="1009440"/>
                <a:ext cx="360" cy="833400"/>
              </a:xfrm>
              <a:prstGeom prst="line">
                <a:avLst/>
              </a:prstGeom>
              <a:ln w="9525">
                <a:solidFill>
                  <a:srgbClr val="00b0f0"/>
                </a:solidFill>
                <a:round/>
              </a:ln>
            </xdr:spPr>
            <xdr:style>
              <a:lnRef idx="0"/>
              <a:fillRef idx="0"/>
              <a:effectRef idx="0"/>
              <a:fontRef idx="minor"/>
            </xdr:style>
          </xdr:sp>
          <xdr:sp>
            <xdr:nvSpPr>
              <xdr:cNvPr id="104" name="Line 237"/>
              <xdr:cNvSpPr/>
            </xdr:nvSpPr>
            <xdr:spPr>
              <a:xfrm flipH="1">
                <a:off x="14374080" y="1842840"/>
                <a:ext cx="147600" cy="226080"/>
              </a:xfrm>
              <a:prstGeom prst="line">
                <a:avLst/>
              </a:prstGeom>
              <a:ln w="9525">
                <a:solidFill>
                  <a:srgbClr val="00b0f0"/>
                </a:solidFill>
                <a:round/>
              </a:ln>
            </xdr:spPr>
            <xdr:style>
              <a:lnRef idx="0"/>
              <a:fillRef idx="0"/>
              <a:effectRef idx="0"/>
              <a:fontRef idx="minor"/>
            </xdr:style>
          </xdr:sp>
          <xdr:sp>
            <xdr:nvSpPr>
              <xdr:cNvPr id="105" name="Line 238"/>
              <xdr:cNvSpPr/>
            </xdr:nvSpPr>
            <xdr:spPr>
              <a:xfrm>
                <a:off x="14374080" y="2068920"/>
                <a:ext cx="360" cy="571680"/>
              </a:xfrm>
              <a:prstGeom prst="line">
                <a:avLst/>
              </a:prstGeom>
              <a:ln w="9525">
                <a:solidFill>
                  <a:srgbClr val="00b0f0"/>
                </a:solidFill>
                <a:round/>
              </a:ln>
            </xdr:spPr>
            <xdr:style>
              <a:lnRef idx="0"/>
              <a:fillRef idx="0"/>
              <a:effectRef idx="0"/>
              <a:fontRef idx="minor"/>
            </xdr:style>
          </xdr:sp>
          <xdr:sp>
            <xdr:nvSpPr>
              <xdr:cNvPr id="106" name="Line 239"/>
              <xdr:cNvSpPr/>
            </xdr:nvSpPr>
            <xdr:spPr>
              <a:xfrm>
                <a:off x="14374080" y="2640600"/>
                <a:ext cx="276840" cy="326520"/>
              </a:xfrm>
              <a:prstGeom prst="line">
                <a:avLst/>
              </a:prstGeom>
              <a:ln w="9525">
                <a:solidFill>
                  <a:srgbClr val="00b0f0"/>
                </a:solidFill>
                <a:round/>
              </a:ln>
            </xdr:spPr>
            <xdr:style>
              <a:lnRef idx="0"/>
              <a:fillRef idx="0"/>
              <a:effectRef idx="0"/>
              <a:fontRef idx="minor"/>
            </xdr:style>
          </xdr:sp>
          <xdr:sp>
            <xdr:nvSpPr>
              <xdr:cNvPr id="107" name="Line 240"/>
              <xdr:cNvSpPr/>
            </xdr:nvSpPr>
            <xdr:spPr>
              <a:xfrm>
                <a:off x="14650920" y="2967120"/>
                <a:ext cx="360" cy="864000"/>
              </a:xfrm>
              <a:prstGeom prst="line">
                <a:avLst/>
              </a:prstGeom>
              <a:ln w="9525">
                <a:solidFill>
                  <a:srgbClr val="00b0f0"/>
                </a:solidFill>
                <a:round/>
              </a:ln>
            </xdr:spPr>
            <xdr:style>
              <a:lnRef idx="0"/>
              <a:fillRef idx="0"/>
              <a:effectRef idx="0"/>
              <a:fontRef idx="minor"/>
            </xdr:style>
          </xdr:sp>
        </xdr:grpSp>
      </xdr:grpSp>
      <xdr:grpSp>
        <xdr:nvGrpSpPr>
          <xdr:cNvPr id="108" name="Group 241"/>
          <xdr:cNvGrpSpPr/>
        </xdr:nvGrpSpPr>
        <xdr:grpSpPr>
          <a:xfrm>
            <a:off x="14872680" y="183960"/>
            <a:ext cx="500400" cy="3647160"/>
            <a:chOff x="14872680" y="183960"/>
            <a:chExt cx="500400" cy="3647160"/>
          </a:xfrm>
        </xdr:grpSpPr>
        <xdr:sp>
          <xdr:nvSpPr>
            <xdr:cNvPr id="109" name="Arc 242"/>
            <xdr:cNvSpPr/>
          </xdr:nvSpPr>
          <xdr:spPr>
            <a:xfrm>
              <a:off x="14872680" y="183960"/>
              <a:ext cx="350280" cy="857880"/>
            </a:xfrm>
            <a:custGeom>
              <a:avLst/>
              <a:gdLst>
                <a:gd name="textAreaLeft" fmla="*/ 0 w 350280"/>
                <a:gd name="textAreaRight" fmla="*/ 350640 w 350280"/>
                <a:gd name="textAreaTop" fmla="*/ 0 h 857880"/>
                <a:gd name="textAreaBottom" fmla="*/ 858240 h 85788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110" name="Group 243"/>
            <xdr:cNvGrpSpPr/>
          </xdr:nvGrpSpPr>
          <xdr:grpSpPr>
            <a:xfrm>
              <a:off x="15095880" y="1009440"/>
              <a:ext cx="277200" cy="2821680"/>
              <a:chOff x="15095880" y="1009440"/>
              <a:chExt cx="277200" cy="2821680"/>
            </a:xfrm>
          </xdr:grpSpPr>
          <xdr:sp>
            <xdr:nvSpPr>
              <xdr:cNvPr id="111" name="Line 244"/>
              <xdr:cNvSpPr/>
            </xdr:nvSpPr>
            <xdr:spPr>
              <a:xfrm>
                <a:off x="15225120" y="1009440"/>
                <a:ext cx="360" cy="833400"/>
              </a:xfrm>
              <a:prstGeom prst="line">
                <a:avLst/>
              </a:prstGeom>
              <a:ln w="9525">
                <a:solidFill>
                  <a:srgbClr val="00b0f0"/>
                </a:solidFill>
                <a:round/>
              </a:ln>
            </xdr:spPr>
            <xdr:style>
              <a:lnRef idx="0"/>
              <a:fillRef idx="0"/>
              <a:effectRef idx="0"/>
              <a:fontRef idx="minor"/>
            </xdr:style>
          </xdr:sp>
          <xdr:sp>
            <xdr:nvSpPr>
              <xdr:cNvPr id="112" name="Line 245"/>
              <xdr:cNvSpPr/>
            </xdr:nvSpPr>
            <xdr:spPr>
              <a:xfrm>
                <a:off x="15225120" y="1842840"/>
                <a:ext cx="147600" cy="226080"/>
              </a:xfrm>
              <a:prstGeom prst="line">
                <a:avLst/>
              </a:prstGeom>
              <a:ln w="9525">
                <a:solidFill>
                  <a:srgbClr val="00b0f0"/>
                </a:solidFill>
                <a:round/>
              </a:ln>
            </xdr:spPr>
            <xdr:style>
              <a:lnRef idx="0"/>
              <a:fillRef idx="0"/>
              <a:effectRef idx="0"/>
              <a:fontRef idx="minor"/>
            </xdr:style>
          </xdr:sp>
          <xdr:sp>
            <xdr:nvSpPr>
              <xdr:cNvPr id="113" name="Line 246"/>
              <xdr:cNvSpPr/>
            </xdr:nvSpPr>
            <xdr:spPr>
              <a:xfrm>
                <a:off x="15372720" y="2068920"/>
                <a:ext cx="360" cy="571680"/>
              </a:xfrm>
              <a:prstGeom prst="line">
                <a:avLst/>
              </a:prstGeom>
              <a:ln w="9525">
                <a:solidFill>
                  <a:srgbClr val="00b0f0"/>
                </a:solidFill>
                <a:round/>
              </a:ln>
            </xdr:spPr>
            <xdr:style>
              <a:lnRef idx="0"/>
              <a:fillRef idx="0"/>
              <a:effectRef idx="0"/>
              <a:fontRef idx="minor"/>
            </xdr:style>
          </xdr:sp>
          <xdr:sp>
            <xdr:nvSpPr>
              <xdr:cNvPr id="114" name="Line 247"/>
              <xdr:cNvSpPr/>
            </xdr:nvSpPr>
            <xdr:spPr>
              <a:xfrm flipH="1">
                <a:off x="15095880" y="2640600"/>
                <a:ext cx="276840" cy="326520"/>
              </a:xfrm>
              <a:prstGeom prst="line">
                <a:avLst/>
              </a:prstGeom>
              <a:ln w="9525">
                <a:solidFill>
                  <a:srgbClr val="00b0f0"/>
                </a:solidFill>
                <a:round/>
              </a:ln>
            </xdr:spPr>
            <xdr:style>
              <a:lnRef idx="0"/>
              <a:fillRef idx="0"/>
              <a:effectRef idx="0"/>
              <a:fontRef idx="minor"/>
            </xdr:style>
          </xdr:sp>
          <xdr:sp>
            <xdr:nvSpPr>
              <xdr:cNvPr id="115" name="Line 248"/>
              <xdr:cNvSpPr/>
            </xdr:nvSpPr>
            <xdr:spPr>
              <a:xfrm>
                <a:off x="15095880" y="2967120"/>
                <a:ext cx="360" cy="864000"/>
              </a:xfrm>
              <a:prstGeom prst="line">
                <a:avLst/>
              </a:prstGeom>
              <a:ln w="9525">
                <a:solidFill>
                  <a:srgbClr val="00b0f0"/>
                </a:solidFill>
                <a:round/>
              </a:ln>
            </xdr:spPr>
            <xdr:style>
              <a:lnRef idx="0"/>
              <a:fillRef idx="0"/>
              <a:effectRef idx="0"/>
              <a:fontRef idx="minor"/>
            </xdr:style>
          </xdr:sp>
        </xdr:grpSp>
      </xdr:grpSp>
      <xdr:sp>
        <xdr:nvSpPr>
          <xdr:cNvPr id="116" name="Line 249"/>
          <xdr:cNvSpPr/>
        </xdr:nvSpPr>
        <xdr:spPr>
          <a:xfrm>
            <a:off x="14650920" y="3683880"/>
            <a:ext cx="1800" cy="1174680"/>
          </a:xfrm>
          <a:prstGeom prst="line">
            <a:avLst/>
          </a:prstGeom>
          <a:ln w="9525">
            <a:solidFill>
              <a:srgbClr val="00b0f0"/>
            </a:solidFill>
            <a:round/>
          </a:ln>
        </xdr:spPr>
        <xdr:style>
          <a:lnRef idx="0"/>
          <a:fillRef idx="0"/>
          <a:effectRef idx="0"/>
          <a:fontRef idx="minor"/>
        </xdr:style>
      </xdr:sp>
      <xdr:sp>
        <xdr:nvSpPr>
          <xdr:cNvPr id="117" name="Line 250"/>
          <xdr:cNvSpPr/>
        </xdr:nvSpPr>
        <xdr:spPr>
          <a:xfrm>
            <a:off x="15095880" y="3683880"/>
            <a:ext cx="360" cy="1174680"/>
          </a:xfrm>
          <a:prstGeom prst="line">
            <a:avLst/>
          </a:prstGeom>
          <a:ln w="9525">
            <a:solidFill>
              <a:srgbClr val="00b0f0"/>
            </a:solidFill>
            <a:round/>
          </a:ln>
        </xdr:spPr>
        <xdr:style>
          <a:lnRef idx="0"/>
          <a:fillRef idx="0"/>
          <a:effectRef idx="0"/>
          <a:fontRef idx="minor"/>
        </xdr:style>
      </xdr:sp>
      <xdr:sp>
        <xdr:nvSpPr>
          <xdr:cNvPr id="118" name="Line 251"/>
          <xdr:cNvSpPr/>
        </xdr:nvSpPr>
        <xdr:spPr>
          <a:xfrm>
            <a:off x="14649120" y="4858560"/>
            <a:ext cx="444600" cy="360"/>
          </a:xfrm>
          <a:prstGeom prst="line">
            <a:avLst/>
          </a:prstGeom>
          <a:ln w="9525">
            <a:solidFill>
              <a:srgbClr val="00b0f0"/>
            </a:solidFill>
            <a:round/>
          </a:ln>
        </xdr:spPr>
        <xdr:style>
          <a:lnRef idx="0"/>
          <a:fillRef idx="0"/>
          <a:effectRef idx="0"/>
          <a:fontRef idx="minor"/>
        </xdr:style>
      </xdr:sp>
      <xdr:sp>
        <xdr:nvSpPr>
          <xdr:cNvPr id="119" name="Line 252"/>
          <xdr:cNvSpPr/>
        </xdr:nvSpPr>
        <xdr:spPr>
          <a:xfrm flipV="1">
            <a:off x="15988680" y="4443480"/>
            <a:ext cx="1080" cy="842400"/>
          </a:xfrm>
          <a:prstGeom prst="line">
            <a:avLst/>
          </a:prstGeom>
          <a:ln w="9525">
            <a:solidFill>
              <a:srgbClr val="00b0f0"/>
            </a:solidFill>
            <a:round/>
          </a:ln>
        </xdr:spPr>
        <xdr:style>
          <a:lnRef idx="0"/>
          <a:fillRef idx="0"/>
          <a:effectRef idx="0"/>
          <a:fontRef idx="minor"/>
        </xdr:style>
      </xdr:sp>
      <xdr:sp>
        <xdr:nvSpPr>
          <xdr:cNvPr id="120" name="Line 253"/>
          <xdr:cNvSpPr/>
        </xdr:nvSpPr>
        <xdr:spPr>
          <a:xfrm>
            <a:off x="15101640" y="4671360"/>
            <a:ext cx="883080" cy="633960"/>
          </a:xfrm>
          <a:prstGeom prst="line">
            <a:avLst/>
          </a:prstGeom>
          <a:ln w="9525">
            <a:solidFill>
              <a:srgbClr val="00b0f0"/>
            </a:solidFill>
            <a:round/>
          </a:ln>
        </xdr:spPr>
        <xdr:style>
          <a:lnRef idx="0"/>
          <a:fillRef idx="0"/>
          <a:effectRef idx="0"/>
          <a:fontRef idx="minor"/>
        </xdr:style>
      </xdr:sp>
      <xdr:sp>
        <xdr:nvSpPr>
          <xdr:cNvPr id="121" name="Line 254"/>
          <xdr:cNvSpPr/>
        </xdr:nvSpPr>
        <xdr:spPr>
          <a:xfrm flipH="1" flipV="1">
            <a:off x="15109560" y="3227400"/>
            <a:ext cx="879120" cy="1221480"/>
          </a:xfrm>
          <a:prstGeom prst="line">
            <a:avLst/>
          </a:prstGeom>
          <a:ln w="9525">
            <a:solidFill>
              <a:srgbClr val="00b0f0"/>
            </a:solidFill>
            <a:round/>
          </a:ln>
        </xdr:spPr>
        <xdr:style>
          <a:lnRef idx="0"/>
          <a:fillRef idx="0"/>
          <a:effectRef idx="0"/>
          <a:fontRef idx="minor"/>
        </xdr:style>
      </xdr:sp>
      <xdr:sp>
        <xdr:nvSpPr>
          <xdr:cNvPr id="122" name="Line 255"/>
          <xdr:cNvSpPr/>
        </xdr:nvSpPr>
        <xdr:spPr>
          <a:xfrm flipH="1" flipV="1">
            <a:off x="13766040" y="4456800"/>
            <a:ext cx="720" cy="842400"/>
          </a:xfrm>
          <a:prstGeom prst="line">
            <a:avLst/>
          </a:prstGeom>
          <a:ln w="9525">
            <a:solidFill>
              <a:srgbClr val="00b0f0"/>
            </a:solidFill>
            <a:round/>
          </a:ln>
        </xdr:spPr>
        <xdr:style>
          <a:lnRef idx="0"/>
          <a:fillRef idx="0"/>
          <a:effectRef idx="0"/>
          <a:fontRef idx="minor"/>
        </xdr:style>
      </xdr:sp>
      <xdr:sp>
        <xdr:nvSpPr>
          <xdr:cNvPr id="123" name="Line 256"/>
          <xdr:cNvSpPr/>
        </xdr:nvSpPr>
        <xdr:spPr>
          <a:xfrm flipH="1">
            <a:off x="13766040" y="4677840"/>
            <a:ext cx="883080" cy="633960"/>
          </a:xfrm>
          <a:prstGeom prst="line">
            <a:avLst/>
          </a:prstGeom>
          <a:ln w="9525">
            <a:solidFill>
              <a:srgbClr val="00b0f0"/>
            </a:solidFill>
            <a:round/>
          </a:ln>
        </xdr:spPr>
        <xdr:style>
          <a:lnRef idx="0"/>
          <a:fillRef idx="0"/>
          <a:effectRef idx="0"/>
          <a:fontRef idx="minor"/>
        </xdr:style>
      </xdr:sp>
      <xdr:sp>
        <xdr:nvSpPr>
          <xdr:cNvPr id="124" name="Line 257"/>
          <xdr:cNvSpPr/>
        </xdr:nvSpPr>
        <xdr:spPr>
          <a:xfrm flipV="1">
            <a:off x="13773600" y="3233520"/>
            <a:ext cx="879120" cy="1221480"/>
          </a:xfrm>
          <a:prstGeom prst="line">
            <a:avLst/>
          </a:prstGeom>
          <a:ln w="9525">
            <a:solidFill>
              <a:srgbClr val="00b0f0"/>
            </a:solidFill>
            <a:round/>
          </a:ln>
        </xdr:spPr>
        <xdr:style>
          <a:lnRef idx="0"/>
          <a:fillRef idx="0"/>
          <a:effectRef idx="0"/>
          <a:fontRef idx="minor"/>
        </xdr:style>
      </xdr:sp>
    </xdr:grpSp>
    <xdr:clientData/>
  </xdr:twoCellAnchor>
  <xdr:twoCellAnchor editAs="twoCell">
    <xdr:from>
      <xdr:col>17</xdr:col>
      <xdr:colOff>831600</xdr:colOff>
      <xdr:row>11</xdr:row>
      <xdr:rowOff>101520</xdr:rowOff>
    </xdr:from>
    <xdr:to>
      <xdr:col>18</xdr:col>
      <xdr:colOff>368280</xdr:colOff>
      <xdr:row>11</xdr:row>
      <xdr:rowOff>101520</xdr:rowOff>
    </xdr:to>
    <xdr:sp>
      <xdr:nvSpPr>
        <xdr:cNvPr id="125" name="Line 268"/>
        <xdr:cNvSpPr/>
      </xdr:nvSpPr>
      <xdr:spPr>
        <a:xfrm>
          <a:off x="14527800" y="2025720"/>
          <a:ext cx="68364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88560</xdr:colOff>
      <xdr:row>1</xdr:row>
      <xdr:rowOff>12600</xdr:rowOff>
    </xdr:from>
    <xdr:to>
      <xdr:col>19</xdr:col>
      <xdr:colOff>336240</xdr:colOff>
      <xdr:row>1</xdr:row>
      <xdr:rowOff>12600</xdr:rowOff>
    </xdr:to>
    <xdr:sp>
      <xdr:nvSpPr>
        <xdr:cNvPr id="126" name="Line 269"/>
        <xdr:cNvSpPr/>
      </xdr:nvSpPr>
      <xdr:spPr>
        <a:xfrm>
          <a:off x="13784760" y="183960"/>
          <a:ext cx="25412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1054080</xdr:colOff>
      <xdr:row>1</xdr:row>
      <xdr:rowOff>12600</xdr:rowOff>
    </xdr:from>
    <xdr:to>
      <xdr:col>18</xdr:col>
      <xdr:colOff>1054080</xdr:colOff>
      <xdr:row>28</xdr:row>
      <xdr:rowOff>139680</xdr:rowOff>
    </xdr:to>
    <xdr:sp>
      <xdr:nvSpPr>
        <xdr:cNvPr id="127" name="Line 270"/>
        <xdr:cNvSpPr/>
      </xdr:nvSpPr>
      <xdr:spPr>
        <a:xfrm>
          <a:off x="15897240" y="183960"/>
          <a:ext cx="0" cy="465156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120600</xdr:colOff>
      <xdr:row>10</xdr:row>
      <xdr:rowOff>152280</xdr:rowOff>
    </xdr:from>
    <xdr:to>
      <xdr:col>18</xdr:col>
      <xdr:colOff>412560</xdr:colOff>
      <xdr:row>10</xdr:row>
      <xdr:rowOff>152280</xdr:rowOff>
    </xdr:to>
    <xdr:sp>
      <xdr:nvSpPr>
        <xdr:cNvPr id="128" name="Line 271"/>
        <xdr:cNvSpPr/>
      </xdr:nvSpPr>
      <xdr:spPr>
        <a:xfrm>
          <a:off x="13816800" y="1904760"/>
          <a:ext cx="143892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152280</xdr:colOff>
      <xdr:row>0</xdr:row>
      <xdr:rowOff>158400</xdr:rowOff>
    </xdr:from>
    <xdr:to>
      <xdr:col>17</xdr:col>
      <xdr:colOff>152280</xdr:colOff>
      <xdr:row>10</xdr:row>
      <xdr:rowOff>139680</xdr:rowOff>
    </xdr:to>
    <xdr:sp>
      <xdr:nvSpPr>
        <xdr:cNvPr id="129" name="Line 272"/>
        <xdr:cNvSpPr/>
      </xdr:nvSpPr>
      <xdr:spPr>
        <a:xfrm>
          <a:off x="13848480" y="158400"/>
          <a:ext cx="0" cy="173376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234720</xdr:colOff>
      <xdr:row>31</xdr:row>
      <xdr:rowOff>95040</xdr:rowOff>
    </xdr:from>
    <xdr:to>
      <xdr:col>17</xdr:col>
      <xdr:colOff>82440</xdr:colOff>
      <xdr:row>31</xdr:row>
      <xdr:rowOff>95040</xdr:rowOff>
    </xdr:to>
    <xdr:sp>
      <xdr:nvSpPr>
        <xdr:cNvPr id="130" name="Line 277"/>
        <xdr:cNvSpPr/>
      </xdr:nvSpPr>
      <xdr:spPr>
        <a:xfrm>
          <a:off x="13111200" y="5305320"/>
          <a:ext cx="6674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196560</xdr:colOff>
      <xdr:row>29</xdr:row>
      <xdr:rowOff>88560</xdr:rowOff>
    </xdr:from>
    <xdr:to>
      <xdr:col>18</xdr:col>
      <xdr:colOff>1035000</xdr:colOff>
      <xdr:row>29</xdr:row>
      <xdr:rowOff>88560</xdr:rowOff>
    </xdr:to>
    <xdr:sp>
      <xdr:nvSpPr>
        <xdr:cNvPr id="131" name="Line 280"/>
        <xdr:cNvSpPr/>
      </xdr:nvSpPr>
      <xdr:spPr>
        <a:xfrm>
          <a:off x="15039720" y="4955760"/>
          <a:ext cx="8384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507960</xdr:colOff>
      <xdr:row>20</xdr:row>
      <xdr:rowOff>0</xdr:rowOff>
    </xdr:from>
    <xdr:to>
      <xdr:col>17</xdr:col>
      <xdr:colOff>507960</xdr:colOff>
      <xdr:row>28</xdr:row>
      <xdr:rowOff>126720</xdr:rowOff>
    </xdr:to>
    <xdr:sp>
      <xdr:nvSpPr>
        <xdr:cNvPr id="132" name="Line 281"/>
        <xdr:cNvSpPr/>
      </xdr:nvSpPr>
      <xdr:spPr>
        <a:xfrm>
          <a:off x="14204160" y="3390840"/>
          <a:ext cx="0" cy="143172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311040</xdr:colOff>
      <xdr:row>27</xdr:row>
      <xdr:rowOff>133200</xdr:rowOff>
    </xdr:from>
    <xdr:to>
      <xdr:col>16</xdr:col>
      <xdr:colOff>323640</xdr:colOff>
      <xdr:row>31</xdr:row>
      <xdr:rowOff>95040</xdr:rowOff>
    </xdr:to>
    <xdr:sp>
      <xdr:nvSpPr>
        <xdr:cNvPr id="133" name="Line 282"/>
        <xdr:cNvSpPr/>
      </xdr:nvSpPr>
      <xdr:spPr>
        <a:xfrm flipH="1">
          <a:off x="13187520" y="4657680"/>
          <a:ext cx="12600" cy="6476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730080</xdr:colOff>
      <xdr:row>20</xdr:row>
      <xdr:rowOff>0</xdr:rowOff>
    </xdr:from>
    <xdr:to>
      <xdr:col>16</xdr:col>
      <xdr:colOff>730080</xdr:colOff>
      <xdr:row>27</xdr:row>
      <xdr:rowOff>133200</xdr:rowOff>
    </xdr:to>
    <xdr:sp>
      <xdr:nvSpPr>
        <xdr:cNvPr id="134" name="Line 283"/>
        <xdr:cNvSpPr/>
      </xdr:nvSpPr>
      <xdr:spPr>
        <a:xfrm>
          <a:off x="13606560" y="3390840"/>
          <a:ext cx="0" cy="12668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69840</xdr:colOff>
      <xdr:row>31</xdr:row>
      <xdr:rowOff>95040</xdr:rowOff>
    </xdr:from>
    <xdr:to>
      <xdr:col>17</xdr:col>
      <xdr:colOff>69840</xdr:colOff>
      <xdr:row>31</xdr:row>
      <xdr:rowOff>171360</xdr:rowOff>
    </xdr:to>
    <xdr:sp>
      <xdr:nvSpPr>
        <xdr:cNvPr id="135" name="Line 284"/>
        <xdr:cNvSpPr/>
      </xdr:nvSpPr>
      <xdr:spPr>
        <a:xfrm flipV="1">
          <a:off x="13766040" y="5305320"/>
          <a:ext cx="0" cy="7632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946080</xdr:colOff>
      <xdr:row>29</xdr:row>
      <xdr:rowOff>88560</xdr:rowOff>
    </xdr:from>
    <xdr:to>
      <xdr:col>17</xdr:col>
      <xdr:colOff>946080</xdr:colOff>
      <xdr:row>31</xdr:row>
      <xdr:rowOff>158400</xdr:rowOff>
    </xdr:to>
    <xdr:sp>
      <xdr:nvSpPr>
        <xdr:cNvPr id="136" name="Line 285"/>
        <xdr:cNvSpPr/>
      </xdr:nvSpPr>
      <xdr:spPr>
        <a:xfrm flipV="1">
          <a:off x="14642280" y="4955760"/>
          <a:ext cx="0" cy="41292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88560</xdr:colOff>
      <xdr:row>31</xdr:row>
      <xdr:rowOff>126720</xdr:rowOff>
    </xdr:from>
    <xdr:to>
      <xdr:col>17</xdr:col>
      <xdr:colOff>958680</xdr:colOff>
      <xdr:row>31</xdr:row>
      <xdr:rowOff>126720</xdr:rowOff>
    </xdr:to>
    <xdr:sp>
      <xdr:nvSpPr>
        <xdr:cNvPr id="137" name="Line 286"/>
        <xdr:cNvSpPr/>
      </xdr:nvSpPr>
      <xdr:spPr>
        <a:xfrm>
          <a:off x="13784760" y="5337000"/>
          <a:ext cx="87012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666720</xdr:colOff>
      <xdr:row>16</xdr:row>
      <xdr:rowOff>56880</xdr:rowOff>
    </xdr:from>
    <xdr:to>
      <xdr:col>18</xdr:col>
      <xdr:colOff>514080</xdr:colOff>
      <xdr:row>16</xdr:row>
      <xdr:rowOff>56880</xdr:rowOff>
    </xdr:to>
    <xdr:sp>
      <xdr:nvSpPr>
        <xdr:cNvPr id="138" name="Line 287"/>
        <xdr:cNvSpPr/>
      </xdr:nvSpPr>
      <xdr:spPr>
        <a:xfrm>
          <a:off x="14362920" y="2800080"/>
          <a:ext cx="99432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17</xdr:col>
      <xdr:colOff>831600</xdr:colOff>
      <xdr:row>14</xdr:row>
      <xdr:rowOff>126720</xdr:rowOff>
    </xdr:from>
    <xdr:to>
      <xdr:col>19</xdr:col>
      <xdr:colOff>18720</xdr:colOff>
      <xdr:row>14</xdr:row>
      <xdr:rowOff>126720</xdr:rowOff>
    </xdr:to>
    <xdr:sp>
      <xdr:nvSpPr>
        <xdr:cNvPr id="139" name="Line 289"/>
        <xdr:cNvSpPr/>
      </xdr:nvSpPr>
      <xdr:spPr>
        <a:xfrm>
          <a:off x="14527800" y="2545920"/>
          <a:ext cx="148068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679320</xdr:colOff>
      <xdr:row>15</xdr:row>
      <xdr:rowOff>126720</xdr:rowOff>
    </xdr:from>
    <xdr:to>
      <xdr:col>19</xdr:col>
      <xdr:colOff>44280</xdr:colOff>
      <xdr:row>15</xdr:row>
      <xdr:rowOff>126720</xdr:rowOff>
    </xdr:to>
    <xdr:sp>
      <xdr:nvSpPr>
        <xdr:cNvPr id="140" name="Line 290"/>
        <xdr:cNvSpPr/>
      </xdr:nvSpPr>
      <xdr:spPr>
        <a:xfrm>
          <a:off x="14375520" y="2707920"/>
          <a:ext cx="165852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666720</xdr:colOff>
      <xdr:row>18</xdr:row>
      <xdr:rowOff>69840</xdr:rowOff>
    </xdr:from>
    <xdr:to>
      <xdr:col>19</xdr:col>
      <xdr:colOff>44280</xdr:colOff>
      <xdr:row>18</xdr:row>
      <xdr:rowOff>69840</xdr:rowOff>
    </xdr:to>
    <xdr:sp>
      <xdr:nvSpPr>
        <xdr:cNvPr id="141" name="Line 291"/>
        <xdr:cNvSpPr/>
      </xdr:nvSpPr>
      <xdr:spPr>
        <a:xfrm>
          <a:off x="14362920" y="3137040"/>
          <a:ext cx="167112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946080</xdr:colOff>
      <xdr:row>19</xdr:row>
      <xdr:rowOff>139680</xdr:rowOff>
    </xdr:from>
    <xdr:to>
      <xdr:col>19</xdr:col>
      <xdr:colOff>12600</xdr:colOff>
      <xdr:row>19</xdr:row>
      <xdr:rowOff>139680</xdr:rowOff>
    </xdr:to>
    <xdr:sp>
      <xdr:nvSpPr>
        <xdr:cNvPr id="142" name="Line 292"/>
        <xdr:cNvSpPr/>
      </xdr:nvSpPr>
      <xdr:spPr>
        <a:xfrm>
          <a:off x="14642280" y="3368520"/>
          <a:ext cx="136008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1136520</xdr:colOff>
      <xdr:row>1</xdr:row>
      <xdr:rowOff>0</xdr:rowOff>
    </xdr:from>
    <xdr:to>
      <xdr:col>17</xdr:col>
      <xdr:colOff>1146960</xdr:colOff>
      <xdr:row>14</xdr:row>
      <xdr:rowOff>126720</xdr:rowOff>
    </xdr:to>
    <xdr:sp>
      <xdr:nvSpPr>
        <xdr:cNvPr id="143" name="Line 293"/>
        <xdr:cNvSpPr/>
      </xdr:nvSpPr>
      <xdr:spPr>
        <a:xfrm flipH="1">
          <a:off x="14832720" y="171360"/>
          <a:ext cx="10440" cy="237456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18</xdr:col>
      <xdr:colOff>190440</xdr:colOff>
      <xdr:row>1</xdr:row>
      <xdr:rowOff>0</xdr:rowOff>
    </xdr:from>
    <xdr:to>
      <xdr:col>18</xdr:col>
      <xdr:colOff>190440</xdr:colOff>
      <xdr:row>18</xdr:row>
      <xdr:rowOff>69840</xdr:rowOff>
    </xdr:to>
    <xdr:sp>
      <xdr:nvSpPr>
        <xdr:cNvPr id="144" name="Line 294"/>
        <xdr:cNvSpPr/>
      </xdr:nvSpPr>
      <xdr:spPr>
        <a:xfrm>
          <a:off x="15033600" y="171360"/>
          <a:ext cx="0" cy="296568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19</xdr:col>
      <xdr:colOff>18720</xdr:colOff>
      <xdr:row>14</xdr:row>
      <xdr:rowOff>126720</xdr:rowOff>
    </xdr:from>
    <xdr:to>
      <xdr:col>19</xdr:col>
      <xdr:colOff>18720</xdr:colOff>
      <xdr:row>15</xdr:row>
      <xdr:rowOff>126720</xdr:rowOff>
    </xdr:to>
    <xdr:sp>
      <xdr:nvSpPr>
        <xdr:cNvPr id="145" name="Line 295"/>
        <xdr:cNvSpPr/>
      </xdr:nvSpPr>
      <xdr:spPr>
        <a:xfrm>
          <a:off x="16008480" y="2545920"/>
          <a:ext cx="0" cy="16200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19</xdr:col>
      <xdr:colOff>12600</xdr:colOff>
      <xdr:row>18</xdr:row>
      <xdr:rowOff>69840</xdr:rowOff>
    </xdr:from>
    <xdr:to>
      <xdr:col>19</xdr:col>
      <xdr:colOff>12600</xdr:colOff>
      <xdr:row>19</xdr:row>
      <xdr:rowOff>139680</xdr:rowOff>
    </xdr:to>
    <xdr:sp>
      <xdr:nvSpPr>
        <xdr:cNvPr id="146" name="Line 296"/>
        <xdr:cNvSpPr/>
      </xdr:nvSpPr>
      <xdr:spPr>
        <a:xfrm>
          <a:off x="16002360" y="3137040"/>
          <a:ext cx="0" cy="23148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17</xdr:col>
      <xdr:colOff>0</xdr:colOff>
      <xdr:row>11</xdr:row>
      <xdr:rowOff>101520</xdr:rowOff>
    </xdr:from>
    <xdr:to>
      <xdr:col>17</xdr:col>
      <xdr:colOff>838080</xdr:colOff>
      <xdr:row>11</xdr:row>
      <xdr:rowOff>101520</xdr:rowOff>
    </xdr:to>
    <xdr:sp>
      <xdr:nvSpPr>
        <xdr:cNvPr id="147" name="Line 297"/>
        <xdr:cNvSpPr/>
      </xdr:nvSpPr>
      <xdr:spPr>
        <a:xfrm>
          <a:off x="13696200" y="2025720"/>
          <a:ext cx="838080" cy="0"/>
        </a:xfrm>
        <a:prstGeom prst="line">
          <a:avLst/>
        </a:prstGeom>
        <a:ln w="9525">
          <a:solidFill>
            <a:srgbClr val="000000"/>
          </a:solidFill>
          <a:round/>
        </a:ln>
      </xdr:spPr>
      <xdr:style>
        <a:lnRef idx="0"/>
        <a:fillRef idx="0"/>
        <a:effectRef idx="0"/>
        <a:fontRef idx="minor"/>
      </xdr:style>
    </xdr:sp>
    <xdr:clientData/>
  </xdr:twoCellAnchor>
  <xdr:twoCellAnchor editAs="twoCell">
    <xdr:from>
      <xdr:col>17</xdr:col>
      <xdr:colOff>0</xdr:colOff>
      <xdr:row>16</xdr:row>
      <xdr:rowOff>69840</xdr:rowOff>
    </xdr:from>
    <xdr:to>
      <xdr:col>17</xdr:col>
      <xdr:colOff>679320</xdr:colOff>
      <xdr:row>16</xdr:row>
      <xdr:rowOff>69840</xdr:rowOff>
    </xdr:to>
    <xdr:sp>
      <xdr:nvSpPr>
        <xdr:cNvPr id="148" name="Line 298"/>
        <xdr:cNvSpPr/>
      </xdr:nvSpPr>
      <xdr:spPr>
        <a:xfrm>
          <a:off x="13696200" y="2813040"/>
          <a:ext cx="679320" cy="0"/>
        </a:xfrm>
        <a:prstGeom prst="line">
          <a:avLst/>
        </a:prstGeom>
        <a:ln w="9525">
          <a:solidFill>
            <a:srgbClr val="92d050"/>
          </a:solidFill>
          <a:round/>
        </a:ln>
      </xdr:spPr>
      <xdr:style>
        <a:lnRef idx="0"/>
        <a:fillRef idx="0"/>
        <a:effectRef idx="0"/>
        <a:fontRef idx="minor"/>
      </xdr:style>
    </xdr:sp>
    <xdr:clientData/>
  </xdr:twoCellAnchor>
  <xdr:twoCellAnchor editAs="twoCell">
    <xdr:from>
      <xdr:col>17</xdr:col>
      <xdr:colOff>514080</xdr:colOff>
      <xdr:row>31</xdr:row>
      <xdr:rowOff>126720</xdr:rowOff>
    </xdr:from>
    <xdr:to>
      <xdr:col>17</xdr:col>
      <xdr:colOff>514080</xdr:colOff>
      <xdr:row>33</xdr:row>
      <xdr:rowOff>95040</xdr:rowOff>
    </xdr:to>
    <xdr:sp>
      <xdr:nvSpPr>
        <xdr:cNvPr id="149" name="Line 301"/>
        <xdr:cNvSpPr/>
      </xdr:nvSpPr>
      <xdr:spPr>
        <a:xfrm>
          <a:off x="14210280" y="5337000"/>
          <a:ext cx="0" cy="311040"/>
        </a:xfrm>
        <a:prstGeom prst="line">
          <a:avLst/>
        </a:prstGeom>
        <a:ln w="9525">
          <a:solidFill>
            <a:srgbClr val="000000"/>
          </a:solidFill>
          <a:round/>
        </a:ln>
      </xdr:spPr>
      <xdr:style>
        <a:lnRef idx="0"/>
        <a:fillRef idx="0"/>
        <a:effectRef idx="0"/>
        <a:fontRef idx="minor"/>
      </xdr:style>
    </xdr:sp>
    <xdr:clientData/>
  </xdr:twoCellAnchor>
  <xdr:twoCellAnchor editAs="twoCell">
    <xdr:from>
      <xdr:col>17</xdr:col>
      <xdr:colOff>0</xdr:colOff>
      <xdr:row>2</xdr:row>
      <xdr:rowOff>75960</xdr:rowOff>
    </xdr:from>
    <xdr:to>
      <xdr:col>17</xdr:col>
      <xdr:colOff>152280</xdr:colOff>
      <xdr:row>2</xdr:row>
      <xdr:rowOff>75960</xdr:rowOff>
    </xdr:to>
    <xdr:sp>
      <xdr:nvSpPr>
        <xdr:cNvPr id="150" name="Line 302"/>
        <xdr:cNvSpPr/>
      </xdr:nvSpPr>
      <xdr:spPr>
        <a:xfrm>
          <a:off x="13696200" y="419040"/>
          <a:ext cx="152280" cy="0"/>
        </a:xfrm>
        <a:prstGeom prst="line">
          <a:avLst/>
        </a:prstGeom>
        <a:ln w="9525">
          <a:solidFill>
            <a:srgbClr val="000000"/>
          </a:solidFill>
          <a:round/>
        </a:ln>
      </xdr:spPr>
      <xdr:style>
        <a:lnRef idx="0"/>
        <a:fillRef idx="0"/>
        <a:effectRef idx="0"/>
        <a:fontRef idx="minor"/>
      </xdr:style>
    </xdr:sp>
    <xdr:clientData/>
  </xdr:twoCellAnchor>
  <xdr:twoCellAnchor editAs="twoCell">
    <xdr:from>
      <xdr:col>18</xdr:col>
      <xdr:colOff>624600</xdr:colOff>
      <xdr:row>10</xdr:row>
      <xdr:rowOff>88560</xdr:rowOff>
    </xdr:from>
    <xdr:to>
      <xdr:col>19</xdr:col>
      <xdr:colOff>820080</xdr:colOff>
      <xdr:row>10</xdr:row>
      <xdr:rowOff>88560</xdr:rowOff>
    </xdr:to>
    <xdr:sp>
      <xdr:nvSpPr>
        <xdr:cNvPr id="151" name="Line 303"/>
        <xdr:cNvSpPr/>
      </xdr:nvSpPr>
      <xdr:spPr>
        <a:xfrm>
          <a:off x="15467760" y="1841040"/>
          <a:ext cx="134208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18</xdr:col>
      <xdr:colOff>190440</xdr:colOff>
      <xdr:row>12</xdr:row>
      <xdr:rowOff>75960</xdr:rowOff>
    </xdr:from>
    <xdr:to>
      <xdr:col>19</xdr:col>
      <xdr:colOff>820080</xdr:colOff>
      <xdr:row>12</xdr:row>
      <xdr:rowOff>75960</xdr:rowOff>
    </xdr:to>
    <xdr:sp>
      <xdr:nvSpPr>
        <xdr:cNvPr id="152" name="Line 304"/>
        <xdr:cNvSpPr/>
      </xdr:nvSpPr>
      <xdr:spPr>
        <a:xfrm>
          <a:off x="15033600" y="2171520"/>
          <a:ext cx="177624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19</xdr:col>
      <xdr:colOff>18720</xdr:colOff>
      <xdr:row>15</xdr:row>
      <xdr:rowOff>44280</xdr:rowOff>
    </xdr:from>
    <xdr:to>
      <xdr:col>19</xdr:col>
      <xdr:colOff>787320</xdr:colOff>
      <xdr:row>15</xdr:row>
      <xdr:rowOff>44280</xdr:rowOff>
    </xdr:to>
    <xdr:sp>
      <xdr:nvSpPr>
        <xdr:cNvPr id="153" name="Line 305"/>
        <xdr:cNvSpPr/>
      </xdr:nvSpPr>
      <xdr:spPr>
        <a:xfrm>
          <a:off x="16008480" y="2625480"/>
          <a:ext cx="76860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19</xdr:col>
      <xdr:colOff>18720</xdr:colOff>
      <xdr:row>19</xdr:row>
      <xdr:rowOff>25200</xdr:rowOff>
    </xdr:from>
    <xdr:to>
      <xdr:col>19</xdr:col>
      <xdr:colOff>806400</xdr:colOff>
      <xdr:row>19</xdr:row>
      <xdr:rowOff>25200</xdr:rowOff>
    </xdr:to>
    <xdr:sp>
      <xdr:nvSpPr>
        <xdr:cNvPr id="154" name="Line 308"/>
        <xdr:cNvSpPr/>
      </xdr:nvSpPr>
      <xdr:spPr>
        <a:xfrm flipH="1">
          <a:off x="16008480" y="3254040"/>
          <a:ext cx="78768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15</xdr:col>
      <xdr:colOff>812520</xdr:colOff>
      <xdr:row>28</xdr:row>
      <xdr:rowOff>88560</xdr:rowOff>
    </xdr:from>
    <xdr:to>
      <xdr:col>16</xdr:col>
      <xdr:colOff>323640</xdr:colOff>
      <xdr:row>28</xdr:row>
      <xdr:rowOff>88560</xdr:rowOff>
    </xdr:to>
    <xdr:sp>
      <xdr:nvSpPr>
        <xdr:cNvPr id="155" name="Line 310"/>
        <xdr:cNvSpPr/>
      </xdr:nvSpPr>
      <xdr:spPr>
        <a:xfrm>
          <a:off x="12869280" y="4784400"/>
          <a:ext cx="330840" cy="0"/>
        </a:xfrm>
        <a:prstGeom prst="line">
          <a:avLst/>
        </a:prstGeom>
        <a:ln w="9525">
          <a:solidFill>
            <a:srgbClr val="000000"/>
          </a:solidFill>
          <a:round/>
        </a:ln>
      </xdr:spPr>
      <xdr:style>
        <a:lnRef idx="0"/>
        <a:fillRef idx="0"/>
        <a:effectRef idx="0"/>
        <a:fontRef idx="minor"/>
      </xdr:style>
    </xdr:sp>
    <xdr:clientData/>
  </xdr:twoCellAnchor>
  <xdr:twoCellAnchor editAs="twoCell">
    <xdr:from>
      <xdr:col>16</xdr:col>
      <xdr:colOff>234720</xdr:colOff>
      <xdr:row>27</xdr:row>
      <xdr:rowOff>126720</xdr:rowOff>
    </xdr:from>
    <xdr:to>
      <xdr:col>17</xdr:col>
      <xdr:colOff>69840</xdr:colOff>
      <xdr:row>27</xdr:row>
      <xdr:rowOff>126720</xdr:rowOff>
    </xdr:to>
    <xdr:sp>
      <xdr:nvSpPr>
        <xdr:cNvPr id="156" name="Line 277"/>
        <xdr:cNvSpPr/>
      </xdr:nvSpPr>
      <xdr:spPr>
        <a:xfrm>
          <a:off x="13111200" y="4651200"/>
          <a:ext cx="6548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412560</xdr:colOff>
      <xdr:row>28</xdr:row>
      <xdr:rowOff>126720</xdr:rowOff>
    </xdr:from>
    <xdr:to>
      <xdr:col>19</xdr:col>
      <xdr:colOff>82440</xdr:colOff>
      <xdr:row>28</xdr:row>
      <xdr:rowOff>126720</xdr:rowOff>
    </xdr:to>
    <xdr:sp>
      <xdr:nvSpPr>
        <xdr:cNvPr id="157" name="Line 280"/>
        <xdr:cNvSpPr/>
      </xdr:nvSpPr>
      <xdr:spPr>
        <a:xfrm>
          <a:off x="14108760" y="4822560"/>
          <a:ext cx="19634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164880</xdr:colOff>
      <xdr:row>30</xdr:row>
      <xdr:rowOff>44280</xdr:rowOff>
    </xdr:from>
    <xdr:to>
      <xdr:col>18</xdr:col>
      <xdr:colOff>927000</xdr:colOff>
      <xdr:row>30</xdr:row>
      <xdr:rowOff>44280</xdr:rowOff>
    </xdr:to>
    <xdr:sp>
      <xdr:nvSpPr>
        <xdr:cNvPr id="158" name="Line 280"/>
        <xdr:cNvSpPr/>
      </xdr:nvSpPr>
      <xdr:spPr>
        <a:xfrm>
          <a:off x="15008040" y="5082840"/>
          <a:ext cx="76212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1047600</xdr:colOff>
      <xdr:row>20</xdr:row>
      <xdr:rowOff>0</xdr:rowOff>
    </xdr:from>
    <xdr:to>
      <xdr:col>18</xdr:col>
      <xdr:colOff>158400</xdr:colOff>
      <xdr:row>30</xdr:row>
      <xdr:rowOff>43920</xdr:rowOff>
    </xdr:to>
    <xdr:sp>
      <xdr:nvSpPr>
        <xdr:cNvPr id="159" name="Rectangle 139"/>
        <xdr:cNvSpPr/>
      </xdr:nvSpPr>
      <xdr:spPr>
        <a:xfrm>
          <a:off x="14743800" y="3390840"/>
          <a:ext cx="257760" cy="1691640"/>
        </a:xfrm>
        <a:prstGeom prst="rect">
          <a:avLst/>
        </a:prstGeom>
        <a:noFill/>
        <a:ln w="9525">
          <a:solidFill>
            <a:srgbClr val="00b0f0"/>
          </a:solidFill>
          <a:prstDash val="sysDash"/>
          <a:round/>
        </a:ln>
      </xdr:spPr>
      <xdr:style>
        <a:lnRef idx="0"/>
        <a:fillRef idx="0"/>
        <a:effectRef idx="0"/>
        <a:fontRef idx="minor"/>
      </xdr:style>
    </xdr:sp>
    <xdr:clientData/>
  </xdr:twoCellAnchor>
  <xdr:twoCellAnchor editAs="twoCell">
    <xdr:from>
      <xdr:col>18</xdr:col>
      <xdr:colOff>927000</xdr:colOff>
      <xdr:row>1</xdr:row>
      <xdr:rowOff>12600</xdr:rowOff>
    </xdr:from>
    <xdr:to>
      <xdr:col>18</xdr:col>
      <xdr:colOff>927000</xdr:colOff>
      <xdr:row>29</xdr:row>
      <xdr:rowOff>69840</xdr:rowOff>
    </xdr:to>
    <xdr:sp>
      <xdr:nvSpPr>
        <xdr:cNvPr id="160" name="Line 270"/>
        <xdr:cNvSpPr/>
      </xdr:nvSpPr>
      <xdr:spPr>
        <a:xfrm>
          <a:off x="15770160" y="183960"/>
          <a:ext cx="0" cy="475308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12600</xdr:colOff>
      <xdr:row>33</xdr:row>
      <xdr:rowOff>95040</xdr:rowOff>
    </xdr:from>
    <xdr:to>
      <xdr:col>17</xdr:col>
      <xdr:colOff>520560</xdr:colOff>
      <xdr:row>33</xdr:row>
      <xdr:rowOff>95040</xdr:rowOff>
    </xdr:to>
    <xdr:sp>
      <xdr:nvSpPr>
        <xdr:cNvPr id="161" name="Line 301"/>
        <xdr:cNvSpPr/>
      </xdr:nvSpPr>
      <xdr:spPr>
        <a:xfrm>
          <a:off x="13708800" y="5648040"/>
          <a:ext cx="507960" cy="0"/>
        </a:xfrm>
        <a:prstGeom prst="line">
          <a:avLst/>
        </a:prstGeom>
        <a:ln w="9525">
          <a:solidFill>
            <a:srgbClr val="000000"/>
          </a:solidFill>
          <a:round/>
        </a:ln>
      </xdr:spPr>
      <xdr:style>
        <a:lnRef idx="0"/>
        <a:fillRef idx="0"/>
        <a:effectRef idx="0"/>
        <a:fontRef idx="minor"/>
      </xdr:style>
    </xdr:sp>
    <xdr:clientData/>
  </xdr:twoCellAnchor>
  <xdr:twoCellAnchor editAs="twoCell">
    <xdr:from>
      <xdr:col>18</xdr:col>
      <xdr:colOff>787320</xdr:colOff>
      <xdr:row>1</xdr:row>
      <xdr:rowOff>18720</xdr:rowOff>
    </xdr:from>
    <xdr:to>
      <xdr:col>18</xdr:col>
      <xdr:colOff>787320</xdr:colOff>
      <xdr:row>30</xdr:row>
      <xdr:rowOff>37800</xdr:rowOff>
    </xdr:to>
    <xdr:sp>
      <xdr:nvSpPr>
        <xdr:cNvPr id="162" name="Line 270"/>
        <xdr:cNvSpPr/>
      </xdr:nvSpPr>
      <xdr:spPr>
        <a:xfrm>
          <a:off x="15630480" y="190080"/>
          <a:ext cx="0" cy="488628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hyperlink" Target="http://en.wikipedia.org/wiki/Template:Numerical_integrators" TargetMode="External"/><Relationship Id="rId2" Type="http://schemas.openxmlformats.org/officeDocument/2006/relationships/hyperlink" Target="http://www.planete-sciences.org/espace/basedoc/" TargetMode="External"/><Relationship Id="rId3"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www.planete-sciences.org/espace/basedoc/" TargetMode="External"/><Relationship Id="rId3" Type="http://schemas.openxmlformats.org/officeDocument/2006/relationships/hyperlink" Target="mailto:espace@planete-sciences.org" TargetMode="External"/><Relationship Id="rId4" Type="http://schemas.openxmlformats.org/officeDocument/2006/relationships/hyperlink" Target="http://creativecommons.org/licenses/by-sa/3.0/" TargetMode="External"/><Relationship Id="rId5" Type="http://schemas.openxmlformats.org/officeDocument/2006/relationships/drawing" Target="../drawings/drawing7.xml"/><Relationship Id="rId6"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W361"/>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F33" activeCellId="0" sqref="F33"/>
    </sheetView>
  </sheetViews>
  <sheetFormatPr defaultColWidth="11.36328125" defaultRowHeight="12.75" zeroHeight="false" outlineLevelRow="0" outlineLevelCol="0"/>
  <cols>
    <col collapsed="false" customWidth="true" hidden="false" outlineLevel="0" max="1" min="1" style="1" width="2.18"/>
    <col collapsed="false" customWidth="true" hidden="false" outlineLevel="0" max="2" min="2" style="1" width="16.27"/>
    <col collapsed="false" customWidth="true" hidden="false" outlineLevel="0" max="3" min="3" style="2" width="12.82"/>
    <col collapsed="false" customWidth="true" hidden="false" outlineLevel="0" max="4" min="4" style="1" width="12.82"/>
    <col collapsed="false" customWidth="true" hidden="false" outlineLevel="0" max="5" min="5" style="3" width="4.18"/>
    <col collapsed="false" customWidth="true" hidden="false" outlineLevel="0" max="6" min="6" style="4" width="10.18"/>
    <col collapsed="false" customWidth="true" hidden="false" outlineLevel="0" max="7" min="7" style="4" width="10"/>
    <col collapsed="false" customWidth="true" hidden="false" outlineLevel="0" max="9" min="8" style="4" width="8.63"/>
    <col collapsed="false" customWidth="true" hidden="false" outlineLevel="0" max="10" min="10" style="1" width="5.36"/>
    <col collapsed="false" customWidth="true" hidden="false" outlineLevel="0" max="11" min="11" style="1" width="2.18"/>
    <col collapsed="false" customWidth="true" hidden="false" outlineLevel="0" max="12" min="12" style="1" width="17"/>
    <col collapsed="false" customWidth="true" hidden="false" outlineLevel="0" max="13" min="13" style="1" width="8.63"/>
    <col collapsed="false" customWidth="true" hidden="false" outlineLevel="0" max="15" min="14" style="1" width="4.27"/>
    <col collapsed="false" customWidth="true" hidden="false" outlineLevel="0" max="16" min="16" style="1" width="8.63"/>
    <col collapsed="false" customWidth="true" hidden="false" outlineLevel="0" max="18" min="17" style="1" width="2.18"/>
    <col collapsed="false" customWidth="false" hidden="false" outlineLevel="0" max="16384" min="19" style="1" width="11.36"/>
  </cols>
  <sheetData>
    <row r="1" customFormat="false" ht="12.75" hidden="false" customHeight="true" outlineLevel="0" collapsed="false">
      <c r="A1" s="5"/>
      <c r="B1" s="6"/>
      <c r="C1" s="7"/>
      <c r="D1" s="6"/>
      <c r="E1" s="8"/>
      <c r="F1" s="9"/>
      <c r="G1" s="9"/>
      <c r="H1" s="9"/>
      <c r="I1" s="9"/>
      <c r="J1" s="6"/>
      <c r="K1" s="6"/>
      <c r="L1" s="6"/>
      <c r="M1" s="6"/>
      <c r="N1" s="6"/>
      <c r="O1" s="6"/>
      <c r="P1" s="6"/>
      <c r="Q1" s="10"/>
      <c r="R1" s="11"/>
    </row>
    <row r="2" customFormat="false" ht="12.75" hidden="false" customHeight="true" outlineLevel="0" collapsed="false">
      <c r="A2" s="12"/>
      <c r="B2" s="11"/>
      <c r="C2" s="13" t="s">
        <v>0</v>
      </c>
      <c r="D2" s="13"/>
      <c r="E2" s="14"/>
      <c r="F2" s="15"/>
      <c r="G2" s="15"/>
      <c r="H2" s="15"/>
      <c r="I2" s="15"/>
      <c r="J2" s="11"/>
      <c r="K2" s="11"/>
      <c r="L2" s="16" t="str">
        <f aca="false">"Language/Langue"</f>
        <v>Language/Langue</v>
      </c>
      <c r="M2" s="17" t="s">
        <v>1</v>
      </c>
      <c r="N2" s="17"/>
      <c r="O2" s="17"/>
      <c r="P2" s="17"/>
      <c r="Q2" s="18"/>
      <c r="R2" s="11"/>
    </row>
    <row r="3" customFormat="false" ht="12.75" hidden="false" customHeight="true" outlineLevel="0" collapsed="false">
      <c r="A3" s="12"/>
      <c r="B3" s="11"/>
      <c r="C3" s="13"/>
      <c r="D3" s="13"/>
      <c r="E3" s="14"/>
      <c r="F3" s="15"/>
      <c r="G3" s="15"/>
      <c r="H3" s="15"/>
      <c r="I3" s="15"/>
      <c r="J3" s="11"/>
      <c r="K3" s="11"/>
      <c r="L3" s="19"/>
      <c r="M3" s="19"/>
      <c r="N3" s="19"/>
      <c r="O3" s="11"/>
      <c r="P3" s="11"/>
      <c r="Q3" s="18"/>
      <c r="R3" s="11"/>
    </row>
    <row r="4" customFormat="false" ht="12.75" hidden="false" customHeight="true" outlineLevel="0" collapsed="false">
      <c r="A4" s="12"/>
      <c r="B4" s="11"/>
      <c r="C4" s="20" t="str">
        <f aca="false">IF(Lang="Français","Stabilité de fusée à ailerons",IF(Lang="English","Stability for rocket with fins",""))</f>
        <v>Stabilité de fusée à ailerons</v>
      </c>
      <c r="D4" s="20"/>
      <c r="E4" s="14"/>
      <c r="F4" s="15"/>
      <c r="G4" s="15"/>
      <c r="H4" s="15"/>
      <c r="I4" s="15"/>
      <c r="J4" s="11"/>
      <c r="K4" s="11"/>
      <c r="L4" s="21"/>
      <c r="M4" s="17" t="s">
        <v>2</v>
      </c>
      <c r="N4" s="17"/>
      <c r="O4" s="17"/>
      <c r="P4" s="17"/>
      <c r="Q4" s="18"/>
      <c r="R4" s="11"/>
    </row>
    <row r="5" customFormat="false" ht="12.75" hidden="false" customHeight="true" outlineLevel="0" collapsed="false">
      <c r="A5" s="12"/>
      <c r="B5" s="22"/>
      <c r="C5" s="23"/>
      <c r="D5" s="23"/>
      <c r="E5" s="14"/>
      <c r="F5" s="15"/>
      <c r="G5" s="15"/>
      <c r="H5" s="15"/>
      <c r="I5" s="15"/>
      <c r="J5" s="11"/>
      <c r="K5" s="11"/>
      <c r="L5" s="21"/>
      <c r="M5" s="24" t="s">
        <v>3</v>
      </c>
      <c r="N5" s="24"/>
      <c r="O5" s="24" t="s">
        <v>4</v>
      </c>
      <c r="P5" s="24"/>
      <c r="Q5" s="25"/>
      <c r="R5" s="11"/>
    </row>
    <row r="6" customFormat="false" ht="12.75" hidden="false" customHeight="true" outlineLevel="0" collapsed="false">
      <c r="A6" s="12"/>
      <c r="B6" s="19"/>
      <c r="C6" s="26" t="str">
        <f aca="false">IF(Lang="Français","Remplir les cases jaunes",IF(Lang="English","Fill-in yellow cells only",""))</f>
        <v>Remplir les cases jaunes</v>
      </c>
      <c r="D6" s="26"/>
      <c r="E6" s="14"/>
      <c r="F6" s="15"/>
      <c r="G6" s="15"/>
      <c r="H6" s="15"/>
      <c r="I6" s="15"/>
      <c r="J6" s="11"/>
      <c r="K6" s="11"/>
      <c r="L6" s="27" t="str">
        <f aca="false">IF(Lang="Français","Longueur      'L'",IF(Lang="English","Length      'L'",""))</f>
        <v>Longueur      'L'</v>
      </c>
      <c r="M6" s="28" t="n">
        <v>150</v>
      </c>
      <c r="N6" s="28"/>
      <c r="O6" s="28" t="n">
        <v>0</v>
      </c>
      <c r="P6" s="28"/>
      <c r="Q6" s="25"/>
      <c r="R6" s="11"/>
    </row>
    <row r="7" customFormat="false" ht="12.75" hidden="false" customHeight="true" outlineLevel="0" collapsed="false">
      <c r="A7" s="12"/>
      <c r="B7" s="29"/>
      <c r="C7" s="30" t="str">
        <f aca="false">IF(Lang="Français","Fusée",IF(Lang="English","Rocket",""))</f>
        <v>Fusée</v>
      </c>
      <c r="D7" s="30"/>
      <c r="E7" s="14"/>
      <c r="F7" s="15"/>
      <c r="G7" s="15"/>
      <c r="H7" s="15"/>
      <c r="I7" s="15"/>
      <c r="J7" s="11"/>
      <c r="K7" s="11"/>
      <c r="L7" s="27" t="str">
        <f aca="false">IF(Lang="Français","Diamètre     'D1'",IF(Lang="English","Diameter 'D1'",""))</f>
        <v>Diamètre     'D1'</v>
      </c>
      <c r="M7" s="28" t="n">
        <v>80</v>
      </c>
      <c r="N7" s="28"/>
      <c r="O7" s="28" t="n">
        <f aca="false">D2j</f>
        <v>100</v>
      </c>
      <c r="P7" s="28"/>
      <c r="Q7" s="25"/>
      <c r="R7" s="11"/>
    </row>
    <row r="8" customFormat="false" ht="12.75" hidden="false" customHeight="true" outlineLevel="0" collapsed="false">
      <c r="A8" s="12"/>
      <c r="B8" s="31" t="str">
        <f aca="false">IF(Lang="Français","Nom",IF(Lang="English","Name",""))</f>
        <v>Nom</v>
      </c>
      <c r="C8" s="32" t="s">
        <v>5</v>
      </c>
      <c r="D8" s="32"/>
      <c r="E8" s="33"/>
      <c r="F8" s="15"/>
      <c r="G8" s="15"/>
      <c r="H8" s="15"/>
      <c r="I8" s="15"/>
      <c r="J8" s="11"/>
      <c r="K8" s="34"/>
      <c r="L8" s="27" t="str">
        <f aca="false">IF(Lang="Français","Diamètre     'D2'",IF(Lang="English","Diameter 'D2'",""))</f>
        <v>Diamètre     'D2'</v>
      </c>
      <c r="M8" s="28" t="n">
        <v>100</v>
      </c>
      <c r="N8" s="28"/>
      <c r="O8" s="28" t="n">
        <v>100</v>
      </c>
      <c r="P8" s="28"/>
      <c r="Q8" s="25"/>
      <c r="R8" s="11"/>
    </row>
    <row r="9" customFormat="false" ht="12.75" hidden="false" customHeight="true" outlineLevel="0" collapsed="false">
      <c r="A9" s="12"/>
      <c r="B9" s="31" t="s">
        <v>6</v>
      </c>
      <c r="C9" s="35" t="s">
        <v>7</v>
      </c>
      <c r="D9" s="35"/>
      <c r="E9" s="33"/>
      <c r="F9" s="15"/>
      <c r="G9" s="15"/>
      <c r="H9" s="15"/>
      <c r="I9" s="15"/>
      <c r="J9" s="11"/>
      <c r="K9" s="34"/>
      <c r="L9" s="27" t="str">
        <f aca="false">IF(Lang="Français","Implantation 'x'",IF(Lang="English","Basement 'x'",""))</f>
        <v>Implantation 'x'</v>
      </c>
      <c r="M9" s="28" t="n">
        <v>40</v>
      </c>
      <c r="N9" s="28"/>
      <c r="O9" s="28" t="n">
        <v>2152</v>
      </c>
      <c r="P9" s="28"/>
      <c r="Q9" s="25"/>
      <c r="R9" s="11"/>
    </row>
    <row r="10" customFormat="false" ht="12.75" hidden="false" customHeight="true" outlineLevel="0" collapsed="false">
      <c r="A10" s="12"/>
      <c r="B10" s="24" t="s">
        <v>8</v>
      </c>
      <c r="C10" s="17" t="s">
        <v>9</v>
      </c>
      <c r="D10" s="17"/>
      <c r="E10" s="33"/>
      <c r="F10" s="15"/>
      <c r="G10" s="15"/>
      <c r="H10" s="15"/>
      <c r="I10" s="15"/>
      <c r="J10" s="11"/>
      <c r="K10" s="34"/>
      <c r="L10" s="11"/>
      <c r="M10" s="11"/>
      <c r="N10" s="11"/>
      <c r="O10" s="11"/>
      <c r="P10" s="11"/>
      <c r="Q10" s="25"/>
      <c r="R10" s="11"/>
    </row>
    <row r="11" customFormat="false" ht="12.75" hidden="false" customHeight="true" outlineLevel="0" collapsed="false">
      <c r="A11" s="12"/>
      <c r="B11" s="24" t="str">
        <f aca="false">IF(Lang="Français","Masse",IF(Lang="English","Weight",""))</f>
        <v>Masse</v>
      </c>
      <c r="C11" s="36" t="n">
        <v>8000</v>
      </c>
      <c r="D11" s="37" t="s">
        <v>10</v>
      </c>
      <c r="E11" s="38"/>
      <c r="F11" s="15"/>
      <c r="G11" s="15"/>
      <c r="H11" s="15"/>
      <c r="I11" s="15"/>
      <c r="J11" s="11"/>
      <c r="K11" s="21"/>
      <c r="L11" s="39"/>
      <c r="M11" s="40" t="str">
        <f aca="false">IF(Lang="Français","Propu plein",IF(Lang="English","Loaded Motor",""))</f>
        <v>Propu plein</v>
      </c>
      <c r="N11" s="40" t="str">
        <f aca="false">IF(Lang="Français","Propu vide",IF(Lang="English","Empty Motor",""))</f>
        <v>Propu vide</v>
      </c>
      <c r="O11" s="40"/>
      <c r="P11" s="40" t="str">
        <f aca="false">IF(Lang="Français","Sans propu",IF(Lang="English","Without M",""))</f>
        <v>Sans propu</v>
      </c>
      <c r="Q11" s="25"/>
      <c r="R11" s="11"/>
      <c r="S11" s="41"/>
      <c r="T11" s="42" t="str">
        <f aca="false">IF(Lang="Français","Propulseur",IF(Lang="English","Motor",""))</f>
        <v>Propulseur</v>
      </c>
    </row>
    <row r="12" customFormat="false" ht="12.75" hidden="false" customHeight="true" outlineLevel="0" collapsed="false">
      <c r="A12" s="12"/>
      <c r="B12" s="24" t="str">
        <f aca="false">IF(Lang="Français","Centre de Masse",IF(Lang="English","Center of Mass",""))</f>
        <v>Centre de Masse</v>
      </c>
      <c r="C12" s="28" t="n">
        <v>1150</v>
      </c>
      <c r="D12" s="37" t="s">
        <v>10</v>
      </c>
      <c r="E12" s="14"/>
      <c r="F12" s="15"/>
      <c r="G12" s="15"/>
      <c r="H12" s="15"/>
      <c r="I12" s="15"/>
      <c r="J12" s="11"/>
      <c r="K12" s="11"/>
      <c r="L12" s="43" t="str">
        <f aca="false">IF(Lang="Français","Masse propu",IF(Lang="English","Motor Mass",""))</f>
        <v>Masse propu</v>
      </c>
      <c r="M12" s="44" t="n">
        <f aca="false">MpropuPlein</f>
        <v>1.685</v>
      </c>
      <c r="N12" s="44" t="n">
        <f aca="false">MpropuVide</f>
        <v>0.652</v>
      </c>
      <c r="O12" s="44"/>
      <c r="P12" s="45" t="s">
        <v>11</v>
      </c>
      <c r="Q12" s="25"/>
      <c r="R12" s="11"/>
      <c r="S12" s="42" t="str">
        <f aca="false">IF(Lang="Français","Haut",IF(Lang="English","Top",""))</f>
        <v>Haut</v>
      </c>
      <c r="T12" s="46" t="n">
        <f aca="false">XpropuRef-Long_propu</f>
        <v>1704</v>
      </c>
    </row>
    <row r="13" customFormat="false" ht="12.75" hidden="false" customHeight="true" outlineLevel="0" collapsed="false">
      <c r="A13" s="12"/>
      <c r="B13" s="24" t="str">
        <f aca="false">IF(Lang="Français","Longueur totale",IF(Lang="English","Total length",""))</f>
        <v>Longueur totale</v>
      </c>
      <c r="C13" s="28" t="n">
        <v>2192</v>
      </c>
      <c r="D13" s="28"/>
      <c r="E13" s="14"/>
      <c r="F13" s="15"/>
      <c r="G13" s="15"/>
      <c r="H13" s="15"/>
      <c r="I13" s="15"/>
      <c r="J13" s="11"/>
      <c r="K13" s="11"/>
      <c r="L13" s="43" t="str">
        <f aca="false">IF(Lang="Français","CdM propu",IF(Lang="English","Motor CoM",""))</f>
        <v>CdM propu</v>
      </c>
      <c r="M13" s="46" t="n">
        <f aca="false">XpropuPlein</f>
        <v>250</v>
      </c>
      <c r="N13" s="46" t="n">
        <f aca="false">XpropuVide</f>
        <v>240</v>
      </c>
      <c r="O13" s="46"/>
      <c r="P13" s="45" t="s">
        <v>11</v>
      </c>
      <c r="Q13" s="25"/>
      <c r="R13" s="11"/>
      <c r="S13" s="42" t="str">
        <f aca="false">IF(Lang="Français","Longueur",IF(Lang="English","Length",""))</f>
        <v>Longueur</v>
      </c>
      <c r="T13" s="46" t="n">
        <f aca="false">Long_propu</f>
        <v>488</v>
      </c>
    </row>
    <row r="14" customFormat="false" ht="12.75" hidden="false" customHeight="true" outlineLevel="0" collapsed="false">
      <c r="A14" s="12"/>
      <c r="B14" s="27" t="str">
        <f aca="false">IF(Lang="Français","Diamètre Réf.",IF(Lang="English","Ref. Diameter",""))</f>
        <v>Diamètre Réf.</v>
      </c>
      <c r="C14" s="28" t="n">
        <v>100</v>
      </c>
      <c r="D14" s="28"/>
      <c r="E14" s="14"/>
      <c r="F14" s="15"/>
      <c r="G14" s="15"/>
      <c r="H14" s="15"/>
      <c r="I14" s="15"/>
      <c r="J14" s="11"/>
      <c r="K14" s="11"/>
      <c r="L14" s="43" t="str">
        <f aca="false">IF(Lang="Français","Masse fusée",IF(Lang="English","Rocket Mass",""))</f>
        <v>Masse fusée</v>
      </c>
      <c r="M14" s="47" t="n">
        <f aca="false">MasseSans+MpropuPlein</f>
        <v>9.685</v>
      </c>
      <c r="N14" s="47" t="n">
        <f aca="false">MasseSans+MpropuVide</f>
        <v>8.652</v>
      </c>
      <c r="O14" s="47"/>
      <c r="P14" s="44" t="n">
        <f aca="false">IF(OR(D11="sans propu",D11="without motor"),C11/1000,IF(OR(D11="avec propu vide",D11="with empty motor"),C11/1000-MpropuVide,IF(OR(D11="avec propu plein",D11="with loaded motor"),C11/1000-MpropuPlein,"Erreur")))</f>
        <v>8</v>
      </c>
      <c r="Q14" s="25"/>
      <c r="R14" s="11"/>
      <c r="S14" s="42" t="str">
        <f aca="false">IF(Lang="Français","Bas",IF(Lang="English","Base",""))</f>
        <v>Bas</v>
      </c>
      <c r="T14" s="46" t="n">
        <f aca="false">XpropuRef</f>
        <v>2192</v>
      </c>
    </row>
    <row r="15" customFormat="false" ht="12.75" hidden="false" customHeight="true" outlineLevel="0" collapsed="false">
      <c r="A15" s="12"/>
      <c r="B15" s="11"/>
      <c r="C15" s="29"/>
      <c r="D15" s="29"/>
      <c r="E15" s="14"/>
      <c r="F15" s="15"/>
      <c r="G15" s="15"/>
      <c r="H15" s="15"/>
      <c r="I15" s="15"/>
      <c r="J15" s="11"/>
      <c r="K15" s="11"/>
      <c r="L15" s="48" t="str">
        <f aca="false">IF(Lang="Français","CdM fusée",IF(Lang="English","Rocket CoM",""))</f>
        <v>CdM fusée</v>
      </c>
      <c r="M15" s="49" t="n">
        <f aca="false">(XcgSans*MasseSans+(XpropuRef-Long_propu+XpropuPlein)*MpropuPlein)/MassePlein</f>
        <v>1289.88022715539</v>
      </c>
      <c r="N15" s="49" t="n">
        <f aca="false">(XcgSans*MasseSans+(XpropuRef-Long_propu+XpropuVide)*MpropuVide)/MasseVide</f>
        <v>1209.83448913546</v>
      </c>
      <c r="O15" s="49"/>
      <c r="P15" s="50" t="n">
        <f aca="false">IF(OR(D12="sans propu",D12="without motor"),C12,IF(OR(D12="avec propu vide",D12="with empty motor"),(C12*MasseVide-(XpropuRef-Long_propu+XpropuVide)*MpropuVide)/MasseSans,IF(OR(D12="avec propu plein",D12="with loaded motor"),(C12*MassePlein-(XpropuRef-Long_propu+XpropuPlein)*MpropuPlein)/MasseSans,"Erreur")))</f>
        <v>1150</v>
      </c>
      <c r="Q15" s="25"/>
      <c r="R15" s="11"/>
    </row>
    <row r="16" customFormat="false" ht="12.75" hidden="false" customHeight="true" outlineLevel="0" collapsed="false">
      <c r="A16" s="12"/>
      <c r="B16" s="11"/>
      <c r="C16" s="51" t="str">
        <f aca="false">IF(Lang="Français","Propulseur",IF(Lang="English","Motor",""))</f>
        <v>Propulseur</v>
      </c>
      <c r="D16" s="51"/>
      <c r="E16" s="14"/>
      <c r="F16" s="15"/>
      <c r="G16" s="15"/>
      <c r="H16" s="15"/>
      <c r="I16" s="15"/>
      <c r="J16" s="11"/>
      <c r="K16" s="11"/>
      <c r="L16" s="52"/>
      <c r="M16" s="52"/>
      <c r="N16" s="52"/>
      <c r="O16" s="52"/>
      <c r="P16" s="52"/>
      <c r="Q16" s="25"/>
      <c r="R16" s="11"/>
      <c r="S16" s="41"/>
      <c r="T16" s="42" t="str">
        <f aca="false">IF(RIGHT(Type_masquage,1)=",",IF(Lang="Français","Ailerons","Fins"),IF(Lang="Français","Ailerons bas","Lower Fins"))</f>
        <v>Ailerons bas</v>
      </c>
    </row>
    <row r="17" customFormat="false" ht="12.75" hidden="false" customHeight="true" outlineLevel="0" collapsed="false">
      <c r="A17" s="12"/>
      <c r="B17" s="24" t="s">
        <v>8</v>
      </c>
      <c r="C17" s="53" t="s">
        <v>12</v>
      </c>
      <c r="D17" s="53"/>
      <c r="E17" s="14"/>
      <c r="F17" s="15"/>
      <c r="G17" s="15"/>
      <c r="H17" s="15"/>
      <c r="I17" s="15"/>
      <c r="J17" s="11"/>
      <c r="K17" s="11"/>
      <c r="L17" s="54"/>
      <c r="M17" s="55" t="s">
        <v>13</v>
      </c>
      <c r="N17" s="55"/>
      <c r="O17" s="55" t="s">
        <v>14</v>
      </c>
      <c r="P17" s="55"/>
      <c r="Q17" s="25"/>
      <c r="R17" s="11"/>
      <c r="S17" s="42" t="str">
        <f aca="false">IF(Lang="Français","Haut","Top")</f>
        <v>Haut</v>
      </c>
      <c r="T17" s="46" t="n">
        <f aca="false">X_ail-m_ail</f>
        <v>1892</v>
      </c>
    </row>
    <row r="18" customFormat="false" ht="12.75" hidden="false" customHeight="true" outlineLevel="0" collapsed="false">
      <c r="A18" s="12"/>
      <c r="B18" s="24" t="str">
        <f aca="false">IF(Lang="Français","Position du bas",IF(Lang="English","Basement",""))</f>
        <v>Position du bas</v>
      </c>
      <c r="C18" s="28" t="n">
        <f aca="false">Long_tot</f>
        <v>2192</v>
      </c>
      <c r="D18" s="28"/>
      <c r="F18" s="15"/>
      <c r="G18" s="15"/>
      <c r="H18" s="15"/>
      <c r="I18" s="15"/>
      <c r="J18" s="11"/>
      <c r="K18" s="56"/>
      <c r="L18" s="43" t="str">
        <f aca="false">IF(Lang="Français","Coiffe",IF(Lang="English","Nose Cone",""))</f>
        <v>Coiffe</v>
      </c>
      <c r="M18" s="57" t="n">
        <f aca="false">IF(LEFT(Forme_ogive,5)="Parab",1/2*Long_ogive,IF(LEFT(Forme_ogive,4)="Ogiv",7/15*Long_ogive,IF(LEFT(Forme_ogive,3)="Con",2/3*Long_ogive)))</f>
        <v>20</v>
      </c>
      <c r="N18" s="57"/>
      <c r="O18" s="58" t="n">
        <f aca="false">2*POWER(D_og/D_ref, 2)</f>
        <v>1.28</v>
      </c>
      <c r="P18" s="58"/>
      <c r="Q18" s="25"/>
      <c r="R18" s="11"/>
      <c r="S18" s="42" t="str">
        <f aca="false">IF(Lang="Français","Emplanture","Root edge")</f>
        <v>Emplanture</v>
      </c>
      <c r="T18" s="46" t="n">
        <f aca="false">m_ail</f>
        <v>300</v>
      </c>
    </row>
    <row r="19" customFormat="false" ht="12.75" hidden="false" customHeight="true" outlineLevel="0" collapsed="false">
      <c r="A19" s="12"/>
      <c r="B19" s="59" t="str">
        <f aca="false">IF(Propu="Cariacou","Cariacou :"," ")</f>
        <v> </v>
      </c>
      <c r="C19" s="60" t="str">
        <f aca="false">IF(Propu="Pandora (Pro24-6G)",IF(Lang="Français","C'Space Seulement",IF(Lang="English","C'Space only","")),"")</f>
        <v/>
      </c>
      <c r="D19" s="60"/>
      <c r="E19" s="14"/>
      <c r="F19" s="15"/>
      <c r="G19" s="15"/>
      <c r="H19" s="15"/>
      <c r="I19" s="15"/>
      <c r="J19" s="11"/>
      <c r="K19" s="11"/>
      <c r="L19" s="43" t="str">
        <f aca="false">IF(Lang="Français","Ailerons",IF(Lang="English","Fins",""))</f>
        <v>Ailerons</v>
      </c>
      <c r="M19" s="57" t="n">
        <f aca="false">(XCpa*Cnail-0.5*XCpi*Cni)/Cnai</f>
        <v>1984.52777110836</v>
      </c>
      <c r="N19" s="57"/>
      <c r="O19" s="58" t="n">
        <f aca="false">Cnail-Cni/2</f>
        <v>14.8055434785521</v>
      </c>
      <c r="P19" s="58"/>
      <c r="Q19" s="25"/>
      <c r="R19" s="11"/>
      <c r="S19" s="42" t="str">
        <f aca="false">IF(Lang="Français","Bas","Base")</f>
        <v>Bas</v>
      </c>
      <c r="T19" s="46" t="n">
        <f aca="false">X_ail</f>
        <v>2192</v>
      </c>
    </row>
    <row r="20" customFormat="false" ht="12.75" hidden="false" customHeight="true" outlineLevel="0" collapsed="false">
      <c r="A20" s="12"/>
      <c r="B20" s="61"/>
      <c r="C20" s="62" t="str">
        <f aca="false">IF(Lang="Français","Coiffe",IF(Lang="English","Nose Cone",""))</f>
        <v>Coiffe</v>
      </c>
      <c r="D20" s="62"/>
      <c r="E20" s="14"/>
      <c r="F20" s="15"/>
      <c r="G20" s="15"/>
      <c r="H20" s="15"/>
      <c r="I20" s="15"/>
      <c r="J20" s="11"/>
      <c r="K20" s="11"/>
      <c r="L20" s="43" t="str">
        <f aca="false">IF(Lang="Français","Ail bas entier",IF(Lang="English","Total Lower Fins",""))</f>
        <v>Ail bas entier</v>
      </c>
      <c r="M20" s="57" t="n">
        <f aca="false">X_ail-m_ail+p_ail*(m_ail+2*n_ail)/(3*(m_ail+n_ail))+(m_ail+n_ail-m_ail*n_ail/(m_ail+n_ail))/6</f>
        <v>1983.66666666667</v>
      </c>
      <c r="N20" s="57"/>
      <c r="O20" s="58" t="n">
        <f aca="false">4*Q_ail*POWER((E_ail/D_ref),2)*(1+D_ail/(2*E_ail+D_ail))/(1+SQRT(1+POWER(2*f_ail/(m_ail+n_ail),2)))</f>
        <v>16.0336354337138</v>
      </c>
      <c r="P20" s="58"/>
      <c r="Q20" s="25"/>
      <c r="R20" s="11"/>
    </row>
    <row r="21" customFormat="false" ht="12.75" hidden="false" customHeight="true" outlineLevel="0" collapsed="false">
      <c r="A21" s="12"/>
      <c r="B21" s="24" t="str">
        <f aca="false">IF(Lang="Français","Forme",IF(Lang="English","Shape",""))</f>
        <v>Forme</v>
      </c>
      <c r="C21" s="63" t="s">
        <v>15</v>
      </c>
      <c r="D21" s="63"/>
      <c r="E21" s="14"/>
      <c r="F21" s="15"/>
      <c r="G21" s="15"/>
      <c r="H21" s="15"/>
      <c r="I21" s="15"/>
      <c r="J21" s="11"/>
      <c r="K21" s="11"/>
      <c r="L21" s="43" t="str">
        <f aca="false">IF(Lang="Français","Ailerons haut",IF(Lang="English","Upper Fins",""))</f>
        <v>Ailerons haut</v>
      </c>
      <c r="M21" s="57" t="n">
        <f aca="false">IF(LEFT(Type_masquage,1)="M",0, X_can-m_can+p_can*(m_can+2*n_can)/(3*(m_can+n_can))+(m_can+n_can-m_can*n_can/(m_can+n_can))/6)</f>
        <v>487.5</v>
      </c>
      <c r="N21" s="57"/>
      <c r="O21" s="58" t="n">
        <f aca="false">IF(LEFT(Type_masquage,1)="M",0, 4*Q_can*POWER((E_can/D_ref),2)*(1+D_can/(2*E_can+D_can))/(1+SQRT(1+POWER(2*f_can/(m_can+n_can),2))))</f>
        <v>2.41936839632955</v>
      </c>
      <c r="P21" s="58"/>
      <c r="Q21" s="25"/>
      <c r="R21" s="11"/>
    </row>
    <row r="22" customFormat="false" ht="12.75" hidden="false" customHeight="true" outlineLevel="0" collapsed="false">
      <c r="A22" s="12"/>
      <c r="B22" s="24" t="str">
        <f aca="false">IF(Lang="Français","Hauteur",IF(Lang="English","Heigth",""))</f>
        <v>Hauteur</v>
      </c>
      <c r="C22" s="28" t="n">
        <v>40</v>
      </c>
      <c r="D22" s="28"/>
      <c r="E22" s="14"/>
      <c r="F22" s="15"/>
      <c r="G22" s="15"/>
      <c r="H22" s="15"/>
      <c r="I22" s="15"/>
      <c r="J22" s="11"/>
      <c r="K22" s="11"/>
      <c r="L22" s="43" t="str">
        <f aca="false">IF(Lang="Français","Partie masquée",IF(Lang="English","Interation zone",""))</f>
        <v>Partie masquée</v>
      </c>
      <c r="M22" s="57" t="n">
        <f aca="false">IF(LEFT(Type_masquage,1)="B", X_int-m_int+p_int*(m_int+2*n_int)/(3*(m_int+n_int))+(m_int+n_int-m_int*n_int/(m_int+n_int))/6, 0 )</f>
        <v>1973.28542510121</v>
      </c>
      <c r="N22" s="57"/>
      <c r="O22" s="58" t="n">
        <f aca="false">IF(LEFT(Type_masquage,1)="B", 4*Q_int*POWER((E_int/D_ref),2)*(1+D_int/(2*E_int+D_int))/(1+SQRT(1+POWER(2*f_int/(m_int+n_int),2))), 0 )</f>
        <v>2.45618391032345</v>
      </c>
      <c r="P22" s="58"/>
      <c r="Q22" s="25"/>
      <c r="R22" s="11"/>
    </row>
    <row r="23" customFormat="false" ht="12.75" hidden="false" customHeight="true" outlineLevel="0" collapsed="false">
      <c r="A23" s="12"/>
      <c r="B23" s="24" t="str">
        <f aca="false">IF(Lang="Français","Diamètre",IF(Lang="English","Diameter",""))</f>
        <v>Diamètre</v>
      </c>
      <c r="C23" s="28" t="n">
        <v>80</v>
      </c>
      <c r="D23" s="28"/>
      <c r="E23" s="14"/>
      <c r="F23" s="15"/>
      <c r="G23" s="15"/>
      <c r="H23" s="15"/>
      <c r="I23" s="15"/>
      <c r="J23" s="11"/>
      <c r="K23" s="11"/>
      <c r="L23" s="64" t="s">
        <v>3</v>
      </c>
      <c r="M23" s="57" t="n">
        <f aca="false">IF(OR(RIGHT(Nb_diam,1)=",",D2j=0),0, X_j+l_j/3*(1+1/(1+D1j/D2j)) )</f>
        <v>117.777777777778</v>
      </c>
      <c r="N23" s="57"/>
      <c r="O23" s="58" t="n">
        <f aca="false">IF(OR(RIGHT(Nb_diam,1)=",",D2j=0),0,2*(POWER(D2j/D_ref,2)-POWER(D1j/D_ref,2)))</f>
        <v>0.72</v>
      </c>
      <c r="P23" s="58"/>
      <c r="Q23" s="25"/>
      <c r="R23" s="11"/>
    </row>
    <row r="24" customFormat="false" ht="12.75" hidden="false" customHeight="true" outlineLevel="0" collapsed="false">
      <c r="A24" s="12"/>
      <c r="E24" s="14"/>
      <c r="F24" s="15"/>
      <c r="G24" s="15"/>
      <c r="H24" s="15"/>
      <c r="I24" s="15"/>
      <c r="J24" s="11"/>
      <c r="K24" s="11"/>
      <c r="L24" s="64" t="s">
        <v>4</v>
      </c>
      <c r="M24" s="57" t="n">
        <f aca="false">IF( OR(RIGHT(Nb_diam,1)=",",D2r=0), 0, X_r+l_r/3*(1+1/(1+D1r/D2r)) )</f>
        <v>2152</v>
      </c>
      <c r="N24" s="57"/>
      <c r="O24" s="58" t="n">
        <f aca="false">IF( OR(RIGHT(Nb_diam,1)=",",D2r=0), 0, 2*(POWER(D2r/D_ref,2)-POWER(D1r/D_ref,2)) )</f>
        <v>0</v>
      </c>
      <c r="P24" s="58"/>
      <c r="Q24" s="25"/>
      <c r="R24" s="11"/>
    </row>
    <row r="25" customFormat="false" ht="12.75" hidden="false" customHeight="true" outlineLevel="0" collapsed="false">
      <c r="A25" s="12"/>
      <c r="B25" s="65"/>
      <c r="C25" s="66" t="str">
        <f aca="false">IF(LEFT(Type_masquage,1)="M",IF(Lang="Français","Ailerons","Fins"),IF(Lang="Français","Ailerons bas","Lower Fins"))</f>
        <v>Ailerons bas</v>
      </c>
      <c r="D25" s="67" t="str">
        <f aca="false">IF(Lang="Français","Ailerons haut",IF(Lang="English","Upper Fins",""))</f>
        <v>Ailerons haut</v>
      </c>
      <c r="E25" s="68" t="s">
        <v>16</v>
      </c>
      <c r="F25" s="15"/>
      <c r="G25" s="15"/>
      <c r="H25" s="15"/>
      <c r="I25" s="15"/>
      <c r="J25" s="11"/>
      <c r="K25" s="69"/>
      <c r="L25" s="70"/>
      <c r="M25" s="70"/>
      <c r="N25" s="70"/>
      <c r="O25" s="11"/>
      <c r="P25" s="11"/>
      <c r="Q25" s="25"/>
      <c r="R25" s="70"/>
      <c r="S25" s="71" t="str">
        <f aca="false">IF(AND(Portee_balistique&gt;200,LEFT(Type_propu,3)="Min"),IF(Lang="Français","Fusée trop lègère !","Rocket too light"),"")</f>
        <v/>
      </c>
    </row>
    <row r="26" customFormat="false" ht="12.75" hidden="false" customHeight="true" outlineLevel="0" collapsed="false">
      <c r="A26" s="12"/>
      <c r="B26" s="65"/>
      <c r="C26" s="72" t="s">
        <v>17</v>
      </c>
      <c r="D26" s="72"/>
      <c r="E26" s="73"/>
      <c r="F26" s="74" t="n">
        <f aca="true">TODAY()</f>
        <v>45115</v>
      </c>
      <c r="G26" s="75" t="s">
        <v>18</v>
      </c>
      <c r="H26" s="76" t="str">
        <f aca="false">IF(Lang="Français","Résultats",IF(Lang="English","Results",""))</f>
        <v>Résultats</v>
      </c>
      <c r="I26" s="76"/>
      <c r="J26" s="75" t="s">
        <v>19</v>
      </c>
      <c r="K26" s="77"/>
      <c r="L26" s="70"/>
      <c r="M26" s="70"/>
      <c r="N26" s="70"/>
      <c r="O26" s="11"/>
      <c r="P26" s="11"/>
      <c r="Q26" s="25"/>
      <c r="R26" s="70"/>
      <c r="S26" s="71" t="str">
        <f aca="false">IF(AND(Vsortie_de_rampe&lt;18, OR(LEFT(Type_fusee,1)=",",LEFT(Type_fusee,4)="Mini",LEFT(Type_fusee,1)="R")),IF(Lang="Français","Fusée trop lourde ou rampe trop courte !","Rocket too heavy or launch pad too small!"),"")</f>
        <v/>
      </c>
    </row>
    <row r="27" customFormat="false" ht="12.75" hidden="false" customHeight="true" outlineLevel="0" collapsed="false">
      <c r="A27" s="12"/>
      <c r="B27" s="78" t="str">
        <f aca="false">IF(Lang="Français"," Emplanture  'm'",IF(Lang="English"," Root edge  'm'",""))</f>
        <v> Emplanture  'm'</v>
      </c>
      <c r="C27" s="79" t="n">
        <v>300</v>
      </c>
      <c r="D27" s="79" t="n">
        <v>150</v>
      </c>
      <c r="E27" s="80" t="n">
        <f aca="false">m_ail</f>
        <v>300</v>
      </c>
      <c r="F27" s="81" t="s">
        <v>20</v>
      </c>
      <c r="G27" s="82" t="n">
        <f aca="false">IF(RIGHT(Type_fusee,1)=".",10, IF(OR(LEFT(Type_fusee,1)="R",LEFT(Type_fusee,1)=",",LEFT(Type_fusee,4)="Mini"),10, IF(LEFT(Type_fusee,5)="Micro",10, IF(RIGHT(Type_fusee,1)=" ",1))))</f>
        <v>10</v>
      </c>
      <c r="H27" s="83" t="n">
        <f aca="false">Long_tot/D_ref</f>
        <v>21.92</v>
      </c>
      <c r="I27" s="83"/>
      <c r="J27" s="82" t="n">
        <f aca="false">IF(RIGHT(Type_fusee,1)=".",35, IF(OR(LEFT(Type_fusee,1)="R",LEFT(Type_fusee,1)=",",LEFT(Type_fusee,4)="Mini"),20, IF(LEFT(Type_fusee,5)="Micro",30, IF(RIGHT(Type_fusee,1)=" ",100))))</f>
        <v>35</v>
      </c>
      <c r="K27" s="77"/>
      <c r="L27" s="70"/>
      <c r="M27" s="70"/>
      <c r="N27" s="70"/>
      <c r="O27" s="11"/>
      <c r="P27" s="11"/>
      <c r="Q27" s="25"/>
      <c r="R27" s="70"/>
      <c r="S27" s="71" t="str">
        <f aca="false">IF(Finesse&lt;CritFinessemin, IF(Lang="Français","Fusée trop courte !","Rocket too short!"), "" ) &amp; IF(Finesse&gt;CritFinessemax, IF(Lang="Français","Fusée trop longue !","Rocket too long!"), "" )</f>
        <v/>
      </c>
    </row>
    <row r="28" customFormat="false" ht="12.75" hidden="false" customHeight="true" outlineLevel="0" collapsed="false">
      <c r="A28" s="12"/>
      <c r="B28" s="78" t="str">
        <f aca="false">IF(Lang="Français"," Saumon       'n'",IF(Lang="English"," Tip edge    'n'",""))</f>
        <v> Saumon       'n'</v>
      </c>
      <c r="C28" s="28" t="n">
        <v>150</v>
      </c>
      <c r="D28" s="28" t="n">
        <v>150</v>
      </c>
      <c r="E28" s="80" t="n">
        <f aca="false">n_ail+(m_ail-n_ail)*(1-E_int/E_ail)</f>
        <v>248.076923076923</v>
      </c>
      <c r="F28" s="81" t="str">
        <f aca="false">IF(Lang="Français","Portance","Lift")</f>
        <v>Portance</v>
      </c>
      <c r="G28" s="82" t="n">
        <f aca="false">IF(RIGHT(Type_fusee,1)=".",15,IF(OR(LEFT(Type_fusee,1)="R",LEFT(Type_fusee,1)=",",LEFT(Type_fusee,4)="Mini"),15, IF(LEFT(Type_fusee,5)="Micro",15, IF(RIGHT(Type_fusee,1)=" ",15))))</f>
        <v>15</v>
      </c>
      <c r="H28" s="84" t="n">
        <f aca="false">Cnai+Cnc+Cno+Cnj+Cnr</f>
        <v>19.2249118748816</v>
      </c>
      <c r="I28" s="84" t="n">
        <f aca="false">Cnail+Cnc+Cno+Cnj+Cnr</f>
        <v>20.4530038300434</v>
      </c>
      <c r="J28" s="82" t="n">
        <f aca="false">IF(RIGHT(Type_fusee,1)=".",40, IF(OR(LEFT(Type_fusee,1)="R",LEFT(Type_fusee,1)=",",LEFT(Type_fusee,4)="Mini"),30, IF(LEFT(Type_fusee,5)="Micro",30, IF(RIGHT(Type_fusee,1)=" ",30))))</f>
        <v>40</v>
      </c>
      <c r="K28" s="77"/>
      <c r="L28" s="70"/>
      <c r="M28" s="70"/>
      <c r="N28" s="70"/>
      <c r="O28" s="11"/>
      <c r="P28" s="11"/>
      <c r="Q28" s="25"/>
      <c r="R28" s="70"/>
      <c r="S28" s="71" t="str">
        <f aca="false">IF(Cn&lt;CritCnmin, IF(Lang="Français","Ailerons trop petits !","Fins too small!"), "" ) &amp; IF(Cn&gt;CritCnmax, IF(Lang="Français","Ailerons trop grands !","Fins too big!"), "" )</f>
        <v/>
      </c>
    </row>
    <row r="29" customFormat="false" ht="12.75" hidden="false" customHeight="true" outlineLevel="0" collapsed="false">
      <c r="A29" s="12"/>
      <c r="B29" s="78" t="str">
        <f aca="false">IF(Lang="Français"," Flèche          'p'"," Offset         'p'")</f>
        <v> Flèche          'p'</v>
      </c>
      <c r="C29" s="28" t="n">
        <v>75</v>
      </c>
      <c r="D29" s="28" t="n">
        <v>0</v>
      </c>
      <c r="E29" s="80" t="n">
        <f aca="false">p_ail*E_int/E_ail</f>
        <v>25.9615384615385</v>
      </c>
      <c r="F29" s="85" t="str">
        <f aca="false">IF(Lang="Français","MargeStat.","StatMargin")</f>
        <v>MargeStat.</v>
      </c>
      <c r="G29" s="86" t="n">
        <f aca="false">IF(RIGHT(Type_fusee,1)=".",2, IF(OR(LEFT(Type_fusee,1)="R",LEFT(Type_fusee,1)=",",LEFT(Type_fusee,4)="Mini"),1.5, IF(LEFT(Type_fusee,5)="Micro",1, IF(RIGHT(Type_fusee,1)=" ",1))))</f>
        <v>2</v>
      </c>
      <c r="H29" s="87" t="n">
        <f aca="false">(XCp-XcgPlein)/D_ref</f>
        <v>3.05542133808662</v>
      </c>
      <c r="I29" s="88" t="n">
        <f aca="false">(XCp0-XcgVide)/D_ref</f>
        <v>4.08276499527281</v>
      </c>
      <c r="J29" s="86" t="n">
        <f aca="false">IF(RIGHT(Type_fusee,1)=".",6, IF(OR(LEFT(Type_fusee,1)="R",LEFT(Type_fusee,1)=",",LEFT(Type_fusee,4)="Mini"),6, IF(LEFT(Type_fusee,5)="Micro",3, IF(RIGHT(Type_fusee,1)=" ",3))))</f>
        <v>6</v>
      </c>
      <c r="K29" s="77"/>
      <c r="L29" s="11"/>
      <c r="M29" s="11"/>
      <c r="N29" s="11"/>
      <c r="O29" s="11"/>
      <c r="P29" s="11"/>
      <c r="Q29" s="25"/>
      <c r="R29" s="70"/>
      <c r="S29" s="71" t="str">
        <f aca="false">IF(MS_min&lt;CritMsmin, IF(Lang="Français","Abaisser les ailerons ou rehausser le CdM !","Lower the fins or move up the center of mass!"), "" ) &amp; IF(MS_max&gt;CritMsmax, IF(Lang="Français","Rehausser les ailerons ou abaisser le CdM !","Move up the fins or lower the center of mass!"), "" )</f>
        <v/>
      </c>
    </row>
    <row r="30" customFormat="false" ht="12.75" hidden="false" customHeight="true" outlineLevel="0" collapsed="false">
      <c r="A30" s="12"/>
      <c r="B30" s="78" t="str">
        <f aca="false">IF(Lang="Français"," Envergure     'E'",IF(Lang="English"," Span          'E'",""))</f>
        <v> Envergure     'E'</v>
      </c>
      <c r="C30" s="28" t="n">
        <v>130</v>
      </c>
      <c r="D30" s="28" t="n">
        <v>45</v>
      </c>
      <c r="E30" s="80" t="n">
        <f aca="false">IF(D_can/2+E_can&lt;=D_ail/2,0, IF(D_can/2+E_can&gt;=D_ail/2+E_ail,E_ail,  D_can/2+E_can - D_ail/2  ) )</f>
        <v>45</v>
      </c>
      <c r="F30" s="89" t="str">
        <f aca="false">IF(Lang="Français","Couple","Torque")</f>
        <v>Couple</v>
      </c>
      <c r="G30" s="90" t="n">
        <f aca="false">IF(RIGHT(Type_fusee,1)=".",40, IF(OR(LEFT(Type_fusee,1)="R",LEFT(Type_fusee,1)=",",LEFT(Type_fusee,4)="Mini"),30, IF(LEFT(Type_fusee,5)="Micro",15, IF(RIGHT(Type_fusee,1)=" ",15))))</f>
        <v>40</v>
      </c>
      <c r="H30" s="83" t="n">
        <f aca="false">MS_min*Cn</f>
        <v>58.7402059653482</v>
      </c>
      <c r="I30" s="91" t="n">
        <f aca="false">MS_max*Cn0</f>
        <v>83.5048080854817</v>
      </c>
      <c r="J30" s="90" t="n">
        <f aca="false">IF(RIGHT(Type_fusee,1)=".",100, IF(OR(LEFT(Type_fusee,1)="R",LEFT(Type_fusee,1)=",",LEFT(Type_fusee,4)="Mini"),100, IF(LEFT(Type_fusee,5)="Micro",100, IF(RIGHT(Type_fusee,1)=" ",90))))</f>
        <v>100</v>
      </c>
      <c r="K30" s="77"/>
      <c r="L30" s="11"/>
      <c r="M30" s="11"/>
      <c r="N30" s="11"/>
      <c r="O30" s="11"/>
      <c r="P30" s="11"/>
      <c r="Q30" s="25"/>
      <c r="R30" s="70"/>
      <c r="S30" s="71" t="str">
        <f aca="false">IF(MS_Cn_min&lt;CritMsCnmin, IF(Lang="Français","Ailerons trop petits ou trop haut /CdM !","Fins too small or too high /CoM!"), "" ) &amp; IF(MS_Cn_max&gt;CritMsCnmax, IF(Lang="Français","Ailerons trop grands ou trop bas  /CdM !","Fins too big or too low / CoM!"), "" )</f>
        <v/>
      </c>
    </row>
    <row r="31" customFormat="false" ht="12.75" hidden="false" customHeight="true" outlineLevel="0" collapsed="false">
      <c r="A31" s="12"/>
      <c r="B31" s="92" t="str">
        <f aca="false">IF(Lang="Français"," Epaisseur     'ep'",IF(Lang="English"," Thickness  'ep'",""))</f>
        <v> Epaisseur     'ep'</v>
      </c>
      <c r="C31" s="28" t="n">
        <v>2</v>
      </c>
      <c r="D31" s="28" t="n">
        <v>45</v>
      </c>
      <c r="E31" s="80" t="n">
        <f aca="false">ep_ail</f>
        <v>2</v>
      </c>
      <c r="F31" s="93" t="s">
        <v>13</v>
      </c>
      <c r="G31" s="82"/>
      <c r="H31" s="94" t="n">
        <f aca="false">(Cnai*XCpai+Cnc*XCpc+Cnj*XCpj+Cnr*XCpr+Cno*XCpo)/(Cnai+Cnc+Cnr+Cnj+Cno)</f>
        <v>1595.42236096406</v>
      </c>
      <c r="I31" s="94" t="n">
        <f aca="false">(Cnail*XCpa+Cnc*XCpc+Cnj*XCpj+Cnr*XCpr+Cno*XCpo)/(Cnail+Cnc+Cnr+Cnj+Cno)</f>
        <v>1618.11098866274</v>
      </c>
      <c r="J31" s="95"/>
      <c r="K31" s="77"/>
      <c r="L31" s="11"/>
      <c r="M31" s="11"/>
      <c r="N31" s="11"/>
      <c r="O31" s="11"/>
      <c r="P31" s="11"/>
      <c r="Q31" s="25"/>
      <c r="R31" s="70"/>
      <c r="S31" s="71"/>
    </row>
    <row r="32" customFormat="false" ht="12.75" hidden="false" customHeight="true" outlineLevel="0" collapsed="false">
      <c r="A32" s="12"/>
      <c r="B32" s="78" t="str">
        <f aca="false">IF(Lang="Français"," Nombre            ",IF(Lang="English"," Number of fins",""))</f>
        <v> Nombre            </v>
      </c>
      <c r="C32" s="96" t="n">
        <v>4</v>
      </c>
      <c r="D32" s="96" t="n">
        <v>4</v>
      </c>
      <c r="E32" s="80" t="n">
        <f aca="false">IF(Q_ail=Q_can,Q_ail,FALSE())</f>
        <v>4</v>
      </c>
      <c r="F32" s="93" t="s">
        <v>21</v>
      </c>
      <c r="G32" s="82"/>
      <c r="H32" s="97" t="n">
        <f aca="false">(XCp-XcgPlein)/Long_tot*100</f>
        <v>13.9389659584244</v>
      </c>
      <c r="I32" s="98" t="n">
        <f aca="false">(XCp-XcgVide)/Long_tot*100</f>
        <v>17.5906875834214</v>
      </c>
      <c r="J32" s="95"/>
      <c r="K32" s="77"/>
      <c r="L32" s="11"/>
      <c r="M32" s="11"/>
      <c r="N32" s="11"/>
      <c r="O32" s="11"/>
      <c r="P32" s="11"/>
      <c r="Q32" s="25"/>
      <c r="R32" s="70"/>
    </row>
    <row r="33" customFormat="false" ht="12.75" hidden="false" customHeight="true" outlineLevel="0" collapsed="false">
      <c r="A33" s="12"/>
      <c r="B33" s="78" t="str">
        <f aca="false">IF(Lang="Français"," Position du bas",IF(Lang="English"," Basement",""))</f>
        <v> Position du bas</v>
      </c>
      <c r="C33" s="28" t="n">
        <f aca="false">Long_tot</f>
        <v>2192</v>
      </c>
      <c r="D33" s="28" t="n">
        <v>600</v>
      </c>
      <c r="E33" s="80" t="n">
        <f aca="false">X_ail</f>
        <v>2192</v>
      </c>
      <c r="F33" s="15"/>
      <c r="G33" s="11"/>
      <c r="H33" s="99" t="str">
        <f aca="false">IF(AND(CritCnmin&lt;Cn,Cn0&lt;CritCnmax,CritMsmin&lt;MS_min,MS_max&lt;CritMsmax,CritMsCnmin&lt;MS_Cn_min,MS_Cn_max&lt;CritMsCnmax),"STABLE",IF(OR(Cn&lt;CritCnmin,MS_min&lt;CritMsmin,MS_Cn_min&lt;CritMsCnmin),"INSTABLE",IF(Lang="Français","SURSTABLE","OVERSTABLE")))</f>
        <v>STABLE</v>
      </c>
      <c r="I33" s="99"/>
      <c r="J33" s="100"/>
      <c r="K33" s="77"/>
      <c r="L33" s="11"/>
      <c r="M33" s="11"/>
      <c r="N33" s="11"/>
      <c r="O33" s="11"/>
      <c r="P33" s="11"/>
      <c r="Q33" s="25"/>
      <c r="R33" s="70"/>
    </row>
    <row r="34" customFormat="false" ht="12.75" hidden="false" customHeight="true" outlineLevel="0" collapsed="false">
      <c r="A34" s="12"/>
      <c r="B34" s="78" t="str">
        <f aca="false">IF(Lang="Français"," Diamètre         ",IF(Lang="English"," Diameter at Fins",""))</f>
        <v> Diamètre         </v>
      </c>
      <c r="C34" s="28" t="n">
        <f aca="false">D_ref</f>
        <v>100</v>
      </c>
      <c r="D34" s="28" t="n">
        <f aca="false">D_ref</f>
        <v>100</v>
      </c>
      <c r="E34" s="80" t="n">
        <f aca="false">D_ail</f>
        <v>100</v>
      </c>
      <c r="F34" s="15"/>
      <c r="G34" s="11"/>
      <c r="H34" s="99"/>
      <c r="I34" s="99"/>
      <c r="J34" s="11"/>
      <c r="K34" s="77"/>
      <c r="L34" s="11"/>
      <c r="M34" s="11"/>
      <c r="N34" s="11"/>
      <c r="O34" s="11"/>
      <c r="P34" s="11"/>
      <c r="Q34" s="25"/>
      <c r="R34" s="70"/>
    </row>
    <row r="35" customFormat="false" ht="12.75" hidden="false" customHeight="true" outlineLevel="0" collapsed="false">
      <c r="A35" s="12"/>
      <c r="B35" s="78" t="str">
        <f aca="false">IF(Lang="Français"," Ligne mi-corde f",IF(Lang="English"," Mid-chord line f",""))</f>
        <v> Ligne mi-corde f</v>
      </c>
      <c r="C35" s="101" t="n">
        <f aca="false">SQRT(POWER(p_ail+n_ail/2-m_ail/2,2)+POWER(E_ail,2))</f>
        <v>130</v>
      </c>
      <c r="D35" s="101" t="n">
        <f aca="false">SQRT(POWER(p_can+n_can/2-m_can/2,2)+POWER(E_can,2))</f>
        <v>45</v>
      </c>
      <c r="E35" s="80" t="n">
        <f aca="false">SQRT(POWER(p_int+n_int/2-m_int/2,2)+POWER(E_int,2))</f>
        <v>45</v>
      </c>
      <c r="F35" s="15"/>
      <c r="G35" s="15"/>
      <c r="H35" s="15"/>
      <c r="I35" s="15"/>
      <c r="J35" s="11"/>
      <c r="K35" s="77"/>
      <c r="L35" s="11"/>
      <c r="M35" s="11"/>
      <c r="N35" s="11"/>
      <c r="O35" s="11"/>
      <c r="P35" s="11"/>
      <c r="Q35" s="25"/>
      <c r="R35" s="70"/>
      <c r="W35" s="1" t="str">
        <f aca="false">RIGHT(Type_fusee,1="R")</f>
        <v/>
      </c>
    </row>
    <row r="36" customFormat="false" ht="12.75" hidden="false" customHeight="true" outlineLevel="0" collapsed="false">
      <c r="A36" s="102"/>
      <c r="B36" s="103" t="str">
        <f aca="false">IF(Lang="Français","Commentaire libre :",IF(Lang="English","Free comment:",""))</f>
        <v>Commentaire libre :</v>
      </c>
      <c r="C36" s="104"/>
      <c r="D36" s="105"/>
      <c r="E36" s="106"/>
      <c r="F36" s="107"/>
      <c r="G36" s="107"/>
      <c r="H36" s="107"/>
      <c r="I36" s="107"/>
      <c r="J36" s="108"/>
      <c r="K36" s="105"/>
      <c r="L36" s="109" t="s">
        <v>22</v>
      </c>
      <c r="M36" s="110" t="str">
        <f aca="false">IF(ROUND(SUM(Propu!5:1228),0)=395253,"propu OK","propu NOK")</f>
        <v>propu OK</v>
      </c>
      <c r="N36" s="111" t="str">
        <f aca="false">IF(Lang="Français","fichier initial","Initial file")</f>
        <v>fichier initial</v>
      </c>
      <c r="O36" s="110"/>
      <c r="P36" s="112"/>
      <c r="Q36" s="113" t="s">
        <v>23</v>
      </c>
      <c r="R36" s="70"/>
    </row>
    <row r="37" customFormat="false" ht="12.75" hidden="false" customHeight="true" outlineLevel="0" collapsed="false">
      <c r="R37" s="114"/>
    </row>
    <row r="38" customFormat="false" ht="12.75" hidden="false" customHeight="false" outlineLevel="0" collapsed="false">
      <c r="L38" s="115" t="str">
        <f aca="false">IF(Lang="Français","Maintenant que votre fusée est stable, vérifiez sa trajectoire via la feuille","Now your rocket is stable, check its trajectory on sheet")</f>
        <v>Maintenant que votre fusée est stable, vérifiez sa trajectoire via la feuille</v>
      </c>
      <c r="M38" s="116" t="s">
        <v>24</v>
      </c>
    </row>
    <row r="39" customFormat="false" ht="12.75" hidden="false" customHeight="false" outlineLevel="0" collapsed="false">
      <c r="H39" s="117"/>
      <c r="O39" s="4"/>
      <c r="P39" s="4"/>
    </row>
    <row r="40" customFormat="false" ht="12.75" hidden="false" customHeight="false" outlineLevel="0" collapsed="false">
      <c r="F40" s="1"/>
      <c r="H40" s="114"/>
      <c r="I40" s="118"/>
      <c r="J40" s="114"/>
      <c r="N40" s="114"/>
      <c r="Q40" s="114"/>
      <c r="S40" s="119"/>
    </row>
    <row r="41" customFormat="false" ht="12.75" hidden="false" customHeight="false" outlineLevel="0" collapsed="false">
      <c r="F41" s="1"/>
      <c r="G41" s="120"/>
      <c r="H41" s="121"/>
      <c r="I41" s="118"/>
      <c r="J41" s="114"/>
      <c r="N41" s="114"/>
      <c r="Q41" s="114"/>
      <c r="R41" s="114"/>
    </row>
    <row r="42" customFormat="false" ht="12.75" hidden="false" customHeight="false" outlineLevel="0" collapsed="false">
      <c r="F42" s="1"/>
      <c r="H42" s="114"/>
      <c r="I42" s="118"/>
      <c r="J42" s="114"/>
      <c r="N42" s="114"/>
      <c r="Q42" s="114"/>
      <c r="R42" s="114"/>
    </row>
    <row r="43" customFormat="false" ht="12.75" hidden="false" customHeight="false" outlineLevel="0" collapsed="false">
      <c r="F43" s="1"/>
      <c r="H43" s="114"/>
      <c r="I43" s="118"/>
      <c r="J43" s="114"/>
      <c r="N43" s="114"/>
      <c r="Q43" s="114"/>
      <c r="R43" s="114"/>
    </row>
    <row r="44" customFormat="false" ht="12.75" hidden="false" customHeight="false" outlineLevel="0" collapsed="false">
      <c r="F44" s="1"/>
      <c r="H44" s="114"/>
      <c r="I44" s="118"/>
      <c r="J44" s="114"/>
      <c r="N44" s="114"/>
      <c r="O44" s="11"/>
      <c r="P44" s="11"/>
      <c r="Q44" s="114"/>
      <c r="R44" s="114"/>
    </row>
    <row r="45" customFormat="false" ht="12.75" hidden="false" customHeight="false" outlineLevel="0" collapsed="false">
      <c r="F45" s="1"/>
      <c r="H45" s="114"/>
      <c r="I45" s="118"/>
      <c r="J45" s="114"/>
      <c r="N45" s="114"/>
      <c r="O45" s="11"/>
      <c r="P45" s="11"/>
      <c r="Q45" s="114"/>
      <c r="R45" s="114"/>
    </row>
    <row r="46" customFormat="false" ht="12.75" hidden="false" customHeight="false" outlineLevel="0" collapsed="false">
      <c r="F46" s="1"/>
      <c r="H46" s="114"/>
      <c r="I46" s="118"/>
      <c r="J46" s="114"/>
      <c r="L46" s="114"/>
      <c r="M46" s="114"/>
      <c r="N46" s="114"/>
      <c r="O46" s="11"/>
      <c r="P46" s="11"/>
      <c r="Q46" s="114"/>
      <c r="R46" s="114"/>
    </row>
    <row r="47" customFormat="false" ht="12.75" hidden="false" customHeight="false" outlineLevel="0" collapsed="false">
      <c r="F47" s="1"/>
      <c r="H47" s="114"/>
      <c r="I47" s="118"/>
      <c r="J47" s="114"/>
      <c r="L47" s="114"/>
      <c r="M47" s="114"/>
      <c r="N47" s="114"/>
      <c r="O47" s="11"/>
      <c r="P47" s="11"/>
      <c r="Q47" s="114"/>
      <c r="R47" s="114"/>
    </row>
    <row r="48" customFormat="false" ht="12.75" hidden="false" customHeight="false" outlineLevel="0" collapsed="false">
      <c r="F48" s="1"/>
      <c r="H48" s="114"/>
      <c r="I48" s="118"/>
      <c r="J48" s="114"/>
      <c r="L48" s="114"/>
      <c r="M48" s="114"/>
      <c r="N48" s="114"/>
      <c r="O48" s="11"/>
      <c r="P48" s="11"/>
      <c r="Q48" s="114"/>
      <c r="R48" s="114"/>
    </row>
    <row r="49" customFormat="false" ht="12.75" hidden="false" customHeight="false" outlineLevel="0" collapsed="false">
      <c r="F49" s="1"/>
      <c r="H49" s="114"/>
      <c r="I49" s="118"/>
      <c r="J49" s="114"/>
      <c r="L49" s="114"/>
      <c r="M49" s="114"/>
      <c r="N49" s="114"/>
      <c r="O49" s="11"/>
      <c r="P49" s="11"/>
      <c r="Q49" s="114"/>
      <c r="R49" s="114"/>
    </row>
    <row r="50" customFormat="false" ht="12.75" hidden="false" customHeight="false" outlineLevel="0" collapsed="false">
      <c r="F50" s="1"/>
      <c r="H50" s="114"/>
      <c r="I50" s="118"/>
      <c r="J50" s="114"/>
      <c r="L50" s="114"/>
      <c r="M50" s="114"/>
      <c r="N50" s="114"/>
      <c r="O50" s="11"/>
      <c r="P50" s="11"/>
      <c r="Q50" s="114"/>
      <c r="R50" s="114"/>
    </row>
    <row r="51" customFormat="false" ht="12.75" hidden="false" customHeight="false" outlineLevel="0" collapsed="false">
      <c r="F51" s="1"/>
      <c r="H51" s="114"/>
      <c r="I51" s="118"/>
      <c r="J51" s="114"/>
      <c r="L51" s="114"/>
      <c r="M51" s="114"/>
      <c r="N51" s="114"/>
      <c r="O51" s="11"/>
      <c r="P51" s="11"/>
      <c r="Q51" s="114"/>
      <c r="R51" s="114"/>
    </row>
    <row r="52" customFormat="false" ht="12.75" hidden="false" customHeight="false" outlineLevel="0" collapsed="false">
      <c r="H52" s="114"/>
      <c r="I52" s="118"/>
      <c r="J52" s="114"/>
      <c r="L52" s="114"/>
      <c r="M52" s="114"/>
      <c r="N52" s="114"/>
      <c r="O52" s="11"/>
      <c r="P52" s="11"/>
      <c r="Q52" s="114"/>
      <c r="R52" s="114"/>
    </row>
    <row r="53" customFormat="false" ht="12.75" hidden="false" customHeight="false" outlineLevel="0" collapsed="false">
      <c r="H53" s="114"/>
      <c r="I53" s="118"/>
      <c r="J53" s="114"/>
      <c r="L53" s="114"/>
      <c r="M53" s="114"/>
      <c r="N53" s="114"/>
      <c r="Q53" s="114"/>
      <c r="R53" s="114"/>
    </row>
    <row r="54" customFormat="false" ht="12.75" hidden="false" customHeight="false" outlineLevel="0" collapsed="false">
      <c r="H54" s="114"/>
      <c r="I54" s="118"/>
      <c r="J54" s="114"/>
      <c r="L54" s="114"/>
      <c r="M54" s="114"/>
      <c r="N54" s="114"/>
      <c r="Q54" s="114"/>
      <c r="R54" s="114"/>
    </row>
    <row r="55" customFormat="false" ht="12.75" hidden="false" customHeight="false" outlineLevel="0" collapsed="false">
      <c r="H55" s="114"/>
      <c r="I55" s="118"/>
      <c r="J55" s="114"/>
      <c r="L55" s="114"/>
      <c r="M55" s="114"/>
      <c r="N55" s="114"/>
      <c r="Q55" s="114"/>
      <c r="R55" s="114"/>
    </row>
    <row r="56" customFormat="false" ht="12.75" hidden="false" customHeight="false" outlineLevel="0" collapsed="false">
      <c r="C56" s="1"/>
      <c r="H56" s="114"/>
      <c r="I56" s="118"/>
      <c r="J56" s="114"/>
      <c r="L56" s="114"/>
      <c r="M56" s="114"/>
      <c r="N56" s="114"/>
      <c r="Q56" s="114"/>
      <c r="R56" s="114"/>
    </row>
    <row r="57" customFormat="false" ht="12.75" hidden="false" customHeight="false" outlineLevel="0" collapsed="false">
      <c r="H57" s="114"/>
      <c r="I57" s="118"/>
      <c r="J57" s="114"/>
      <c r="L57" s="114"/>
      <c r="M57" s="114"/>
      <c r="N57" s="114"/>
      <c r="Q57" s="114"/>
      <c r="R57" s="114"/>
    </row>
    <row r="58" customFormat="false" ht="12.75" hidden="false" customHeight="false" outlineLevel="0" collapsed="false">
      <c r="B58" s="2"/>
      <c r="H58" s="114"/>
      <c r="I58" s="118"/>
      <c r="J58" s="114"/>
      <c r="L58" s="114"/>
      <c r="M58" s="114"/>
      <c r="N58" s="114"/>
      <c r="Q58" s="114"/>
      <c r="R58" s="114"/>
    </row>
    <row r="59" customFormat="false" ht="12.75" hidden="false" customHeight="false" outlineLevel="0" collapsed="false">
      <c r="B59" s="2"/>
      <c r="H59" s="114"/>
      <c r="I59" s="118"/>
      <c r="J59" s="114"/>
      <c r="L59" s="114"/>
      <c r="M59" s="114"/>
      <c r="N59" s="114"/>
      <c r="Q59" s="114"/>
      <c r="R59" s="114"/>
    </row>
    <row r="60" customFormat="false" ht="12.75" hidden="false" customHeight="false" outlineLevel="0" collapsed="false">
      <c r="B60" s="2"/>
      <c r="H60" s="114"/>
      <c r="I60" s="118"/>
      <c r="J60" s="114"/>
      <c r="L60" s="114"/>
      <c r="M60" s="114"/>
      <c r="N60" s="114"/>
      <c r="Q60" s="114"/>
      <c r="R60" s="114"/>
    </row>
    <row r="61" customFormat="false" ht="12.75" hidden="false" customHeight="false" outlineLevel="0" collapsed="false">
      <c r="B61" s="2"/>
      <c r="H61" s="114"/>
      <c r="I61" s="118"/>
      <c r="J61" s="114"/>
      <c r="L61" s="114"/>
      <c r="M61" s="114"/>
      <c r="N61" s="114"/>
      <c r="Q61" s="114"/>
      <c r="R61" s="114"/>
    </row>
    <row r="62" customFormat="false" ht="12.75" hidden="false" customHeight="false" outlineLevel="0" collapsed="false">
      <c r="B62" s="2"/>
      <c r="H62" s="114"/>
      <c r="I62" s="118"/>
      <c r="J62" s="114"/>
      <c r="L62" s="114"/>
      <c r="M62" s="114"/>
      <c r="N62" s="114"/>
      <c r="Q62" s="114"/>
      <c r="R62" s="114"/>
    </row>
    <row r="63" customFormat="false" ht="12.75" hidden="false" customHeight="false" outlineLevel="0" collapsed="false">
      <c r="B63" s="2"/>
      <c r="H63" s="114"/>
      <c r="I63" s="118"/>
      <c r="J63" s="114"/>
      <c r="L63" s="114"/>
      <c r="M63" s="114"/>
      <c r="N63" s="114"/>
      <c r="Q63" s="114"/>
      <c r="R63" s="114"/>
    </row>
    <row r="64" customFormat="false" ht="12.75" hidden="false" customHeight="false" outlineLevel="0" collapsed="false">
      <c r="B64" s="2"/>
      <c r="H64" s="114"/>
      <c r="I64" s="118"/>
      <c r="J64" s="114"/>
      <c r="L64" s="114"/>
      <c r="M64" s="114"/>
      <c r="N64" s="114"/>
      <c r="Q64" s="114"/>
      <c r="R64" s="114"/>
    </row>
    <row r="65" customFormat="false" ht="12.75" hidden="false" customHeight="false" outlineLevel="0" collapsed="false">
      <c r="B65" s="2"/>
      <c r="H65" s="114"/>
      <c r="I65" s="118"/>
      <c r="J65" s="114"/>
      <c r="L65" s="114"/>
      <c r="M65" s="114"/>
      <c r="N65" s="114"/>
      <c r="Q65" s="114"/>
      <c r="R65" s="114"/>
    </row>
    <row r="66" customFormat="false" ht="12.75" hidden="false" customHeight="false" outlineLevel="0" collapsed="false">
      <c r="B66" s="2"/>
      <c r="H66" s="114"/>
      <c r="I66" s="118"/>
      <c r="J66" s="114"/>
      <c r="L66" s="114"/>
      <c r="M66" s="114"/>
      <c r="N66" s="114"/>
      <c r="Q66" s="114"/>
      <c r="R66" s="114"/>
    </row>
    <row r="67" customFormat="false" ht="12.75" hidden="false" customHeight="false" outlineLevel="0" collapsed="false">
      <c r="C67" s="1"/>
      <c r="H67" s="114"/>
      <c r="I67" s="118"/>
      <c r="J67" s="114"/>
      <c r="L67" s="114"/>
      <c r="M67" s="114"/>
      <c r="N67" s="114"/>
      <c r="Q67" s="114"/>
      <c r="R67" s="114"/>
    </row>
    <row r="68" customFormat="false" ht="12.75" hidden="false" customHeight="false" outlineLevel="0" collapsed="false">
      <c r="C68" s="1"/>
      <c r="H68" s="114"/>
      <c r="I68" s="118"/>
      <c r="J68" s="114"/>
      <c r="L68" s="114"/>
      <c r="M68" s="114"/>
      <c r="N68" s="114"/>
      <c r="Q68" s="114"/>
      <c r="R68" s="114"/>
    </row>
    <row r="69" customFormat="false" ht="12.75" hidden="false" customHeight="false" outlineLevel="0" collapsed="false">
      <c r="C69" s="1"/>
      <c r="H69" s="114"/>
      <c r="I69" s="118"/>
      <c r="J69" s="114"/>
      <c r="L69" s="114"/>
      <c r="M69" s="114"/>
      <c r="N69" s="114"/>
      <c r="Q69" s="114"/>
      <c r="R69" s="114"/>
    </row>
    <row r="70" customFormat="false" ht="12.75" hidden="false" customHeight="false" outlineLevel="0" collapsed="false">
      <c r="C70" s="1"/>
      <c r="H70" s="114"/>
      <c r="I70" s="118"/>
      <c r="J70" s="114"/>
      <c r="L70" s="114"/>
      <c r="M70" s="114"/>
      <c r="N70" s="114"/>
      <c r="Q70" s="114"/>
      <c r="R70" s="114"/>
    </row>
    <row r="71" customFormat="false" ht="12.75" hidden="false" customHeight="false" outlineLevel="0" collapsed="false">
      <c r="C71" s="1"/>
      <c r="H71" s="114"/>
      <c r="I71" s="118"/>
      <c r="J71" s="114"/>
      <c r="L71" s="114"/>
      <c r="M71" s="114"/>
      <c r="N71" s="114"/>
      <c r="Q71" s="114"/>
      <c r="R71" s="114"/>
    </row>
    <row r="72" customFormat="false" ht="12.75" hidden="false" customHeight="false" outlineLevel="0" collapsed="false">
      <c r="C72" s="1"/>
      <c r="H72" s="114"/>
      <c r="I72" s="118"/>
      <c r="J72" s="114"/>
      <c r="L72" s="114"/>
      <c r="M72" s="114"/>
      <c r="N72" s="114"/>
      <c r="Q72" s="114"/>
      <c r="R72" s="114"/>
    </row>
    <row r="73" customFormat="false" ht="12.75" hidden="false" customHeight="false" outlineLevel="0" collapsed="false">
      <c r="C73" s="1"/>
      <c r="H73" s="114"/>
      <c r="I73" s="118"/>
      <c r="J73" s="114"/>
      <c r="L73" s="114"/>
      <c r="M73" s="114"/>
      <c r="N73" s="114"/>
      <c r="Q73" s="114"/>
      <c r="R73" s="114"/>
    </row>
    <row r="74" customFormat="false" ht="12.75" hidden="false" customHeight="false" outlineLevel="0" collapsed="false">
      <c r="C74" s="1"/>
      <c r="H74" s="114"/>
      <c r="I74" s="118"/>
      <c r="J74" s="114"/>
      <c r="L74" s="114"/>
      <c r="M74" s="114"/>
      <c r="N74" s="114"/>
      <c r="Q74" s="114"/>
      <c r="R74" s="114"/>
    </row>
    <row r="75" customFormat="false" ht="12.75" hidden="false" customHeight="false" outlineLevel="0" collapsed="false">
      <c r="C75" s="1"/>
      <c r="H75" s="114"/>
      <c r="I75" s="118"/>
      <c r="J75" s="114"/>
      <c r="L75" s="114"/>
      <c r="M75" s="114"/>
      <c r="N75" s="114"/>
      <c r="Q75" s="114"/>
      <c r="R75" s="114"/>
    </row>
    <row r="76" customFormat="false" ht="12.75" hidden="false" customHeight="false" outlineLevel="0" collapsed="false">
      <c r="C76" s="1"/>
      <c r="H76" s="114"/>
      <c r="I76" s="118"/>
      <c r="J76" s="114"/>
      <c r="L76" s="114"/>
      <c r="M76" s="114"/>
      <c r="N76" s="114"/>
      <c r="Q76" s="114"/>
      <c r="R76" s="114"/>
    </row>
    <row r="77" customFormat="false" ht="12.75" hidden="false" customHeight="false" outlineLevel="0" collapsed="false">
      <c r="C77" s="1"/>
      <c r="H77" s="114"/>
      <c r="I77" s="118"/>
      <c r="J77" s="114"/>
      <c r="L77" s="114"/>
      <c r="M77" s="114"/>
      <c r="N77" s="114"/>
      <c r="Q77" s="114"/>
      <c r="R77" s="114"/>
    </row>
    <row r="78" customFormat="false" ht="12.75" hidden="false" customHeight="false" outlineLevel="0" collapsed="false">
      <c r="C78" s="1"/>
      <c r="H78" s="114"/>
      <c r="I78" s="118"/>
      <c r="J78" s="114"/>
      <c r="L78" s="114"/>
      <c r="M78" s="114"/>
      <c r="N78" s="114"/>
      <c r="Q78" s="114"/>
      <c r="R78" s="114"/>
    </row>
    <row r="79" customFormat="false" ht="12.75" hidden="false" customHeight="false" outlineLevel="0" collapsed="false">
      <c r="C79" s="1"/>
      <c r="H79" s="114"/>
      <c r="I79" s="118"/>
      <c r="J79" s="114"/>
      <c r="L79" s="114"/>
      <c r="M79" s="114"/>
      <c r="N79" s="114"/>
      <c r="Q79" s="114"/>
      <c r="R79" s="114"/>
    </row>
    <row r="80" customFormat="false" ht="12.75" hidden="false" customHeight="false" outlineLevel="0" collapsed="false">
      <c r="C80" s="1"/>
      <c r="H80" s="114"/>
      <c r="I80" s="118"/>
      <c r="J80" s="114"/>
      <c r="L80" s="114"/>
      <c r="M80" s="114"/>
      <c r="N80" s="114"/>
      <c r="Q80" s="114"/>
      <c r="R80" s="114"/>
    </row>
    <row r="81" customFormat="false" ht="12.75" hidden="false" customHeight="false" outlineLevel="0" collapsed="false">
      <c r="C81" s="1"/>
      <c r="H81" s="114"/>
      <c r="I81" s="118"/>
      <c r="J81" s="114"/>
      <c r="L81" s="114"/>
      <c r="M81" s="114"/>
      <c r="N81" s="114"/>
      <c r="Q81" s="114"/>
      <c r="R81" s="114"/>
    </row>
    <row r="82" customFormat="false" ht="12.75" hidden="false" customHeight="false" outlineLevel="0" collapsed="false">
      <c r="C82" s="1"/>
      <c r="H82" s="114"/>
      <c r="I82" s="118"/>
      <c r="J82" s="114"/>
      <c r="L82" s="114"/>
      <c r="M82" s="114"/>
      <c r="N82" s="114"/>
      <c r="Q82" s="114"/>
      <c r="R82" s="114"/>
    </row>
    <row r="83" customFormat="false" ht="12.75" hidden="false" customHeight="false" outlineLevel="0" collapsed="false">
      <c r="C83" s="1"/>
      <c r="H83" s="114"/>
      <c r="I83" s="118"/>
      <c r="J83" s="114"/>
      <c r="L83" s="114"/>
      <c r="M83" s="114"/>
      <c r="N83" s="114"/>
      <c r="Q83" s="114"/>
      <c r="R83" s="114"/>
    </row>
    <row r="84" customFormat="false" ht="12.75" hidden="false" customHeight="false" outlineLevel="0" collapsed="false">
      <c r="C84" s="1"/>
      <c r="H84" s="114"/>
      <c r="I84" s="118"/>
      <c r="J84" s="114"/>
      <c r="L84" s="114"/>
      <c r="M84" s="114"/>
      <c r="N84" s="114"/>
      <c r="Q84" s="114"/>
      <c r="R84" s="114"/>
    </row>
    <row r="85" customFormat="false" ht="12.75" hidden="false" customHeight="false" outlineLevel="0" collapsed="false">
      <c r="C85" s="1"/>
      <c r="H85" s="114"/>
      <c r="I85" s="118"/>
      <c r="J85" s="114"/>
      <c r="L85" s="114"/>
      <c r="M85" s="114"/>
      <c r="N85" s="114"/>
      <c r="Q85" s="114"/>
      <c r="R85" s="114"/>
    </row>
    <row r="86" customFormat="false" ht="12.75" hidden="false" customHeight="false" outlineLevel="0" collapsed="false">
      <c r="C86" s="1"/>
      <c r="H86" s="114"/>
      <c r="I86" s="118"/>
      <c r="J86" s="114"/>
      <c r="L86" s="114"/>
      <c r="M86" s="114"/>
      <c r="N86" s="114"/>
      <c r="Q86" s="114"/>
      <c r="R86" s="114"/>
    </row>
    <row r="87" customFormat="false" ht="12.75" hidden="false" customHeight="false" outlineLevel="0" collapsed="false">
      <c r="C87" s="1"/>
      <c r="H87" s="114"/>
      <c r="I87" s="118"/>
      <c r="J87" s="114"/>
      <c r="L87" s="114"/>
      <c r="M87" s="114"/>
      <c r="N87" s="114"/>
      <c r="Q87" s="114"/>
      <c r="R87" s="114"/>
    </row>
    <row r="88" customFormat="false" ht="12.75" hidden="false" customHeight="false" outlineLevel="0" collapsed="false">
      <c r="C88" s="1"/>
      <c r="H88" s="114"/>
      <c r="I88" s="118"/>
      <c r="J88" s="114"/>
      <c r="L88" s="114"/>
      <c r="M88" s="114"/>
      <c r="N88" s="114"/>
      <c r="Q88" s="114"/>
      <c r="R88" s="114"/>
    </row>
    <row r="89" customFormat="false" ht="12.75" hidden="false" customHeight="false" outlineLevel="0" collapsed="false">
      <c r="C89" s="1"/>
      <c r="H89" s="114"/>
      <c r="I89" s="118"/>
      <c r="J89" s="114"/>
      <c r="L89" s="114"/>
      <c r="M89" s="114"/>
      <c r="N89" s="114"/>
      <c r="Q89" s="114"/>
      <c r="R89" s="114"/>
    </row>
    <row r="90" customFormat="false" ht="12.75" hidden="false" customHeight="false" outlineLevel="0" collapsed="false">
      <c r="C90" s="1"/>
      <c r="H90" s="114"/>
      <c r="I90" s="118"/>
      <c r="J90" s="114"/>
      <c r="L90" s="114"/>
      <c r="M90" s="114"/>
      <c r="N90" s="114"/>
      <c r="Q90" s="114"/>
      <c r="R90" s="114"/>
    </row>
    <row r="91" customFormat="false" ht="12.75" hidden="false" customHeight="false" outlineLevel="0" collapsed="false">
      <c r="B91" s="1" t="str">
        <f aca="false">IF(Lang="Français","Textes pour les listes déroulantes et graphiques :",IF(Lang="English","Texts for drop-down lists &amp; graphics :",""))</f>
        <v>Textes pour les listes déroulantes et graphiques :</v>
      </c>
      <c r="H91" s="114"/>
      <c r="I91" s="118"/>
      <c r="J91" s="114"/>
      <c r="L91" s="114"/>
      <c r="M91" s="114"/>
      <c r="N91" s="114"/>
      <c r="Q91" s="114"/>
      <c r="R91" s="114"/>
    </row>
    <row r="92" customFormat="false" ht="12.75" hidden="false" customHeight="false" outlineLevel="0" collapsed="false">
      <c r="H92" s="114"/>
      <c r="I92" s="118"/>
      <c r="J92" s="114"/>
      <c r="L92" s="114"/>
      <c r="M92" s="114"/>
      <c r="N92" s="114"/>
      <c r="Q92" s="114"/>
      <c r="R92" s="114"/>
    </row>
    <row r="93" customFormat="false" ht="12.75" hidden="false" customHeight="false" outlineLevel="0" collapsed="false">
      <c r="B93" s="15" t="s">
        <v>1</v>
      </c>
      <c r="H93" s="114"/>
      <c r="I93" s="118"/>
      <c r="J93" s="114"/>
      <c r="L93" s="114"/>
      <c r="M93" s="114"/>
      <c r="N93" s="114"/>
      <c r="Q93" s="114"/>
      <c r="R93" s="114"/>
    </row>
    <row r="94" customFormat="false" ht="12.75" hidden="false" customHeight="false" outlineLevel="0" collapsed="false">
      <c r="B94" s="122" t="s">
        <v>25</v>
      </c>
      <c r="H94" s="114"/>
      <c r="I94" s="118"/>
      <c r="J94" s="114"/>
      <c r="L94" s="114"/>
      <c r="M94" s="114"/>
      <c r="N94" s="114"/>
      <c r="Q94" s="114"/>
      <c r="R94" s="114"/>
    </row>
    <row r="95" customFormat="false" ht="12.75" hidden="false" customHeight="false" outlineLevel="0" collapsed="false">
      <c r="B95" s="122"/>
      <c r="H95" s="114"/>
      <c r="I95" s="118"/>
      <c r="J95" s="114"/>
      <c r="L95" s="114"/>
      <c r="M95" s="114"/>
      <c r="N95" s="114"/>
      <c r="Q95" s="114"/>
      <c r="R95" s="114"/>
    </row>
    <row r="96" customFormat="false" ht="12.75" hidden="false" customHeight="false" outlineLevel="0" collapsed="false">
      <c r="B96" s="15" t="str">
        <f aca="false">IF(Lang="Français","Fusée à eau  ",IF(Lang="English","Water-rocket  ",""))</f>
        <v>Fusée à eau  </v>
      </c>
      <c r="H96" s="114"/>
      <c r="I96" s="118"/>
      <c r="J96" s="114"/>
      <c r="L96" s="114"/>
      <c r="M96" s="114"/>
      <c r="N96" s="114"/>
      <c r="Q96" s="114"/>
      <c r="R96" s="114"/>
    </row>
    <row r="97" customFormat="false" ht="12.75" hidden="false" customHeight="false" outlineLevel="0" collapsed="false">
      <c r="B97" s="15" t="str">
        <f aca="false">IF(Lang="Français","Microfusée",IF(Lang="English","Micro-rocket",""))</f>
        <v>Microfusée</v>
      </c>
      <c r="H97" s="114"/>
      <c r="I97" s="118"/>
      <c r="J97" s="114"/>
      <c r="L97" s="114"/>
      <c r="M97" s="114"/>
      <c r="N97" s="114"/>
      <c r="Q97" s="114"/>
      <c r="R97" s="114"/>
    </row>
    <row r="98" customFormat="false" ht="12.75" hidden="false" customHeight="false" outlineLevel="0" collapsed="false">
      <c r="B98" s="15" t="str">
        <f aca="false">IF(Lang="Français","Minifusée",IF(Lang="English","Mini-rocket",""))</f>
        <v>Minifusée</v>
      </c>
      <c r="H98" s="114"/>
      <c r="I98" s="118"/>
      <c r="J98" s="114"/>
      <c r="L98" s="114"/>
      <c r="M98" s="114"/>
      <c r="N98" s="114"/>
      <c r="Q98" s="114"/>
      <c r="R98" s="114"/>
    </row>
    <row r="99" customFormat="false" ht="12.75" hidden="false" customHeight="false" outlineLevel="0" collapsed="false">
      <c r="B99" s="15" t="s">
        <v>26</v>
      </c>
      <c r="H99" s="114"/>
      <c r="I99" s="118"/>
      <c r="J99" s="114"/>
      <c r="L99" s="114"/>
      <c r="M99" s="114"/>
      <c r="N99" s="114"/>
      <c r="Q99" s="114"/>
      <c r="R99" s="114"/>
    </row>
    <row r="100" customFormat="false" ht="12.75" hidden="false" customHeight="false" outlineLevel="0" collapsed="false">
      <c r="B100" s="15" t="str">
        <f aca="false">IF(Lang="Français","Fusée expérimentale.",IF(Lang="English","Experimental Rocket.",""))</f>
        <v>Fusée expérimentale.</v>
      </c>
      <c r="H100" s="114"/>
      <c r="I100" s="118"/>
      <c r="J100" s="114"/>
      <c r="L100" s="114"/>
      <c r="M100" s="114"/>
      <c r="N100" s="114"/>
      <c r="Q100" s="114"/>
      <c r="R100" s="114"/>
    </row>
    <row r="101" customFormat="false" ht="12.75" hidden="false" customHeight="false" outlineLevel="0" collapsed="false">
      <c r="B101" s="15" t="s">
        <v>27</v>
      </c>
      <c r="H101" s="114"/>
      <c r="I101" s="118"/>
      <c r="J101" s="114"/>
      <c r="L101" s="114"/>
      <c r="M101" s="114"/>
      <c r="N101" s="114"/>
      <c r="Q101" s="114"/>
      <c r="R101" s="114"/>
    </row>
    <row r="102" customFormat="false" ht="12.75" hidden="false" customHeight="false" outlineLevel="0" collapsed="false">
      <c r="B102" s="15"/>
      <c r="H102" s="114"/>
      <c r="I102" s="118"/>
      <c r="J102" s="114"/>
      <c r="L102" s="114"/>
      <c r="M102" s="114"/>
      <c r="N102" s="114"/>
      <c r="Q102" s="114"/>
      <c r="R102" s="114"/>
    </row>
    <row r="103" customFormat="false" ht="12.75" hidden="false" customHeight="false" outlineLevel="0" collapsed="false">
      <c r="B103" s="15" t="str">
        <f aca="false">IF(Lang="Français","sans propu",IF(Lang="English","without motor",""))</f>
        <v>sans propu</v>
      </c>
      <c r="H103" s="114"/>
      <c r="I103" s="118"/>
      <c r="J103" s="114"/>
      <c r="L103" s="114"/>
      <c r="M103" s="114"/>
      <c r="N103" s="114"/>
      <c r="Q103" s="114"/>
      <c r="R103" s="114"/>
    </row>
    <row r="104" customFormat="false" ht="12.75" hidden="false" customHeight="false" outlineLevel="0" collapsed="false">
      <c r="B104" s="15" t="str">
        <f aca="false">IF(Lang="Français","avec propu vide",IF(Lang="English","with empty motor",""))</f>
        <v>avec propu vide</v>
      </c>
      <c r="H104" s="114"/>
      <c r="I104" s="118"/>
      <c r="J104" s="114"/>
      <c r="L104" s="114"/>
      <c r="M104" s="114"/>
      <c r="N104" s="114"/>
      <c r="Q104" s="114"/>
      <c r="R104" s="114"/>
    </row>
    <row r="105" customFormat="false" ht="12.75" hidden="false" customHeight="false" outlineLevel="0" collapsed="false">
      <c r="B105" s="15" t="str">
        <f aca="false">IF(Lang="Français","avec propu plein",IF(Lang="English","with loaded motor",""))</f>
        <v>avec propu plein</v>
      </c>
      <c r="H105" s="114"/>
      <c r="I105" s="118"/>
      <c r="J105" s="114"/>
      <c r="L105" s="114"/>
      <c r="M105" s="114"/>
      <c r="N105" s="114"/>
      <c r="Q105" s="114"/>
      <c r="R105" s="114"/>
    </row>
    <row r="106" customFormat="false" ht="12.75" hidden="false" customHeight="false" outlineLevel="0" collapsed="false">
      <c r="B106" s="15"/>
      <c r="H106" s="114"/>
      <c r="I106" s="118"/>
      <c r="J106" s="114"/>
      <c r="L106" s="114"/>
      <c r="M106" s="114"/>
      <c r="N106" s="114"/>
      <c r="Q106" s="114"/>
      <c r="R106" s="114"/>
    </row>
    <row r="107" customFormat="false" ht="12.75" hidden="false" customHeight="false" outlineLevel="0" collapsed="false">
      <c r="B107" s="15" t="str">
        <f aca="false">IF(Lang="Français","Parabolique (arrondie)",IF(Lang="English","Parabola (rounded)",""))</f>
        <v>Parabolique (arrondie)</v>
      </c>
      <c r="H107" s="114"/>
      <c r="I107" s="118"/>
      <c r="J107" s="114"/>
      <c r="L107" s="114"/>
      <c r="M107" s="114"/>
      <c r="N107" s="114"/>
      <c r="Q107" s="114"/>
      <c r="R107" s="114"/>
    </row>
    <row r="108" customFormat="false" ht="12.75" hidden="false" customHeight="false" outlineLevel="0" collapsed="false">
      <c r="B108" s="122" t="str">
        <f aca="false">IF(Lang="Français","Ogivale (pointue)",IF(Lang="English","Ogive (sharp)",""))</f>
        <v>Ogivale (pointue)</v>
      </c>
      <c r="H108" s="114"/>
      <c r="I108" s="118"/>
      <c r="J108" s="114"/>
      <c r="L108" s="114"/>
      <c r="M108" s="114"/>
      <c r="N108" s="114"/>
      <c r="Q108" s="114"/>
      <c r="R108" s="114"/>
    </row>
    <row r="109" customFormat="false" ht="12.75" hidden="false" customHeight="false" outlineLevel="0" collapsed="false">
      <c r="B109" s="15" t="str">
        <f aca="false">IF(Lang="Français","Conique (droite)",IF(Lang="English","Cone (straight)",""))</f>
        <v>Conique (droite)</v>
      </c>
      <c r="H109" s="114"/>
      <c r="I109" s="118"/>
      <c r="J109" s="114"/>
      <c r="L109" s="114"/>
      <c r="M109" s="114"/>
      <c r="N109" s="114"/>
      <c r="Q109" s="114"/>
      <c r="R109" s="114"/>
    </row>
    <row r="110" customFormat="false" ht="12.75" hidden="false" customHeight="false" outlineLevel="0" collapsed="false">
      <c r="B110" s="123"/>
      <c r="H110" s="114"/>
      <c r="I110" s="118"/>
      <c r="J110" s="114"/>
      <c r="L110" s="114"/>
      <c r="M110" s="114"/>
      <c r="N110" s="114"/>
      <c r="Q110" s="114"/>
      <c r="R110" s="114"/>
    </row>
    <row r="111" customFormat="false" ht="12.75" hidden="false" customHeight="false" outlineLevel="0" collapsed="false">
      <c r="B111" s="124" t="s">
        <v>28</v>
      </c>
      <c r="H111" s="114"/>
      <c r="I111" s="118"/>
      <c r="J111" s="114"/>
      <c r="L111" s="114"/>
      <c r="M111" s="114"/>
      <c r="N111" s="114"/>
      <c r="Q111" s="114"/>
      <c r="R111" s="114"/>
    </row>
    <row r="112" customFormat="false" ht="12.75" hidden="false" customHeight="false" outlineLevel="0" collapsed="false">
      <c r="B112" s="124" t="s">
        <v>17</v>
      </c>
      <c r="H112" s="114"/>
      <c r="I112" s="118"/>
      <c r="J112" s="114"/>
      <c r="L112" s="114"/>
      <c r="M112" s="114"/>
      <c r="N112" s="114"/>
      <c r="Q112" s="114"/>
      <c r="R112" s="114"/>
    </row>
    <row r="113" customFormat="false" ht="12.75" hidden="false" customHeight="false" outlineLevel="0" collapsed="false">
      <c r="B113" s="123"/>
      <c r="H113" s="114"/>
      <c r="I113" s="118"/>
      <c r="J113" s="114"/>
      <c r="L113" s="114"/>
      <c r="M113" s="114"/>
      <c r="N113" s="114"/>
      <c r="Q113" s="114"/>
      <c r="R113" s="114"/>
    </row>
    <row r="114" customFormat="false" ht="12.75" hidden="false" customHeight="false" outlineLevel="0" collapsed="false">
      <c r="B114" s="124" t="str">
        <f aca="false">IF(Lang="Français","Fusée mono-diamètre,",IF(Lang="English","Mono-diameter rocket,",""))</f>
        <v>Fusée mono-diamètre,</v>
      </c>
      <c r="H114" s="114"/>
      <c r="I114" s="118"/>
      <c r="J114" s="114"/>
      <c r="L114" s="114"/>
      <c r="M114" s="114"/>
      <c r="N114" s="114"/>
      <c r="Q114" s="114"/>
      <c r="R114" s="114"/>
    </row>
    <row r="115" customFormat="false" ht="12.75" hidden="false" customHeight="false" outlineLevel="0" collapsed="false">
      <c r="B115" s="124" t="str">
        <f aca="false">IF(Lang="Français","Plusieurs diamètres.",IF(Lang="English","Many diameters rocket.",""))</f>
        <v>Plusieurs diamètres.</v>
      </c>
      <c r="H115" s="114"/>
      <c r="I115" s="118"/>
      <c r="J115" s="114"/>
      <c r="L115" s="114"/>
      <c r="M115" s="114"/>
      <c r="N115" s="114"/>
      <c r="Q115" s="114"/>
      <c r="R115" s="114"/>
    </row>
    <row r="116" customFormat="false" ht="12.75" hidden="false" customHeight="false" outlineLevel="0" collapsed="false">
      <c r="B116" s="124"/>
      <c r="H116" s="114"/>
      <c r="I116" s="118"/>
      <c r="J116" s="114"/>
      <c r="L116" s="114"/>
      <c r="M116" s="114"/>
      <c r="N116" s="114"/>
      <c r="Q116" s="114"/>
      <c r="R116" s="114"/>
    </row>
    <row r="117" customFormat="false" ht="12.75" hidden="false" customHeight="false" outlineLevel="0" collapsed="false">
      <c r="B117" s="124" t="str">
        <f aca="false">IF(Lang="Français","Diagramme des critères de stabilité","Stability criterions diagram")</f>
        <v>Diagramme des critères de stabilité</v>
      </c>
      <c r="H117" s="114"/>
      <c r="I117" s="118"/>
      <c r="J117" s="114"/>
      <c r="L117" s="114"/>
      <c r="M117" s="114"/>
      <c r="N117" s="114"/>
      <c r="Q117" s="114"/>
      <c r="R117" s="114"/>
    </row>
    <row r="118" customFormat="false" ht="12.75" hidden="false" customHeight="false" outlineLevel="0" collapsed="false">
      <c r="B118" s="124" t="str">
        <f aca="false">IF(Lang="Français","Marge Statique (MS)","Static Margin")</f>
        <v>Marge Statique (MS)</v>
      </c>
      <c r="H118" s="114"/>
      <c r="I118" s="118"/>
      <c r="J118" s="114"/>
      <c r="L118" s="114"/>
      <c r="M118" s="114"/>
      <c r="N118" s="114"/>
      <c r="Q118" s="114"/>
      <c r="R118" s="114"/>
    </row>
    <row r="119" customFormat="false" ht="12.75" hidden="false" customHeight="false" outlineLevel="0" collapsed="false">
      <c r="B119" s="124" t="str">
        <f aca="false">IF(Lang="Français","Portance Cnα","Lift Cnα")</f>
        <v>Portance Cnα</v>
      </c>
      <c r="H119" s="114"/>
      <c r="I119" s="118"/>
      <c r="J119" s="114"/>
      <c r="L119" s="114"/>
      <c r="M119" s="114"/>
      <c r="N119" s="114"/>
      <c r="Q119" s="114"/>
      <c r="R119" s="114"/>
    </row>
    <row r="120" customFormat="false" ht="12.75" hidden="false" customHeight="false" outlineLevel="0" collapsed="false">
      <c r="B120" s="124"/>
      <c r="H120" s="114"/>
      <c r="I120" s="118"/>
      <c r="J120" s="114"/>
      <c r="L120" s="114"/>
      <c r="M120" s="114"/>
      <c r="N120" s="114"/>
      <c r="Q120" s="114"/>
      <c r="R120" s="114"/>
    </row>
    <row r="121" customFormat="false" ht="12.75" hidden="false" customHeight="false" outlineLevel="0" collapsed="false">
      <c r="B121" s="1" t="str">
        <f aca="false">IF(Lang="Français","Données pour les graphiques :",IF(Lang="English","Data for plots:",""))</f>
        <v>Données pour les graphiques :</v>
      </c>
      <c r="H121" s="114"/>
      <c r="I121" s="118"/>
      <c r="J121" s="114"/>
      <c r="L121" s="114"/>
      <c r="M121" s="114"/>
      <c r="N121" s="114"/>
      <c r="Q121" s="114"/>
      <c r="R121" s="114"/>
    </row>
    <row r="122" customFormat="false" ht="12.75" hidden="false" customHeight="false" outlineLevel="0" collapsed="false">
      <c r="H122" s="114"/>
      <c r="I122" s="118"/>
      <c r="J122" s="114"/>
      <c r="L122" s="114"/>
      <c r="M122" s="114"/>
      <c r="N122" s="114"/>
      <c r="Q122" s="114"/>
      <c r="R122" s="114"/>
    </row>
    <row r="123" customFormat="false" ht="12.75" hidden="false" customHeight="false" outlineLevel="0" collapsed="false">
      <c r="B123" s="117"/>
      <c r="C123" s="117" t="s">
        <v>29</v>
      </c>
      <c r="D123" s="117" t="s">
        <v>30</v>
      </c>
      <c r="E123" s="125" t="s">
        <v>31</v>
      </c>
      <c r="K123" s="117"/>
      <c r="R123" s="114"/>
    </row>
    <row r="124" customFormat="false" ht="12.75" hidden="false" customHeight="false" outlineLevel="0" collapsed="false">
      <c r="B124" s="117" t="s">
        <v>32</v>
      </c>
      <c r="C124" s="126" t="n">
        <f aca="false">-Long_ogive</f>
        <v>-40</v>
      </c>
      <c r="D124" s="126" t="n">
        <v>0</v>
      </c>
      <c r="E124" s="127" t="n">
        <f aca="false">-D124</f>
        <v>-0</v>
      </c>
      <c r="K124" s="126"/>
    </row>
    <row r="125" customFormat="false" ht="12.75" hidden="false" customHeight="false" outlineLevel="0" collapsed="false">
      <c r="B125" s="117" t="s">
        <v>32</v>
      </c>
      <c r="C125" s="126" t="n">
        <f aca="false">-Long_ogive</f>
        <v>-40</v>
      </c>
      <c r="D125" s="126" t="n">
        <f aca="false">D_og/2</f>
        <v>40</v>
      </c>
      <c r="E125" s="127" t="n">
        <f aca="false">-D125</f>
        <v>-40</v>
      </c>
      <c r="K125" s="126"/>
    </row>
    <row r="126" customFormat="false" ht="12.75" hidden="false" customHeight="false" outlineLevel="0" collapsed="false">
      <c r="B126" s="117" t="s">
        <v>33</v>
      </c>
      <c r="C126" s="126" t="n">
        <f aca="false">IF(AND(RIGHT(Nb_diam,1)=".",X_j), -X_j, C125 )</f>
        <v>-40</v>
      </c>
      <c r="D126" s="126" t="n">
        <f aca="false">IF(AND(RIGHT(Nb_diam,1)=".",X_j), D1j/2, D125 )</f>
        <v>40</v>
      </c>
      <c r="E126" s="127" t="n">
        <f aca="false">-D126</f>
        <v>-40</v>
      </c>
      <c r="K126" s="126"/>
    </row>
    <row r="127" customFormat="false" ht="12.75" hidden="false" customHeight="false" outlineLevel="0" collapsed="false">
      <c r="B127" s="117" t="s">
        <v>34</v>
      </c>
      <c r="C127" s="126" t="n">
        <f aca="false">IF(AND(RIGHT(Nb_diam,1)=".",X_j), -X_j-l_j, C126 )</f>
        <v>-190</v>
      </c>
      <c r="D127" s="126" t="n">
        <f aca="false">IF(AND(RIGHT(Nb_diam,1)=".",X_j), D2j/2, D126 )</f>
        <v>50</v>
      </c>
      <c r="E127" s="127" t="n">
        <f aca="false">-D127</f>
        <v>-50</v>
      </c>
      <c r="K127" s="126"/>
    </row>
    <row r="128" customFormat="false" ht="12.75" hidden="false" customHeight="false" outlineLevel="0" collapsed="false">
      <c r="B128" s="117" t="s">
        <v>35</v>
      </c>
      <c r="C128" s="126" t="n">
        <f aca="false">IF(AND(RIGHT(Nb_diam,1)=".",X_r), -X_r, C127 )</f>
        <v>-2152</v>
      </c>
      <c r="D128" s="126" t="n">
        <f aca="false">IF(AND(RIGHT(Nb_diam,1)=".",X_r), D1r/2, D127 )</f>
        <v>50</v>
      </c>
      <c r="E128" s="127" t="n">
        <f aca="false">-D128</f>
        <v>-50</v>
      </c>
      <c r="K128" s="126"/>
    </row>
    <row r="129" customFormat="false" ht="12.75" hidden="false" customHeight="false" outlineLevel="0" collapsed="false">
      <c r="B129" s="117" t="s">
        <v>36</v>
      </c>
      <c r="C129" s="126" t="n">
        <f aca="false">IF(AND(RIGHT(Nb_diam,1)=".",X_r), -X_r-l_r, C128 )</f>
        <v>-2152</v>
      </c>
      <c r="D129" s="126" t="n">
        <f aca="false">IF(AND(RIGHT(Nb_diam,1)=".",X_r), D2r/2, D128 )</f>
        <v>50</v>
      </c>
      <c r="E129" s="127" t="n">
        <f aca="false">-D129</f>
        <v>-50</v>
      </c>
      <c r="K129" s="126"/>
    </row>
    <row r="130" customFormat="false" ht="12.75" hidden="false" customHeight="false" outlineLevel="0" collapsed="false">
      <c r="B130" s="117" t="s">
        <v>37</v>
      </c>
      <c r="C130" s="126" t="n">
        <f aca="false">-Long_tot</f>
        <v>-2192</v>
      </c>
      <c r="D130" s="126" t="n">
        <f aca="false">D129</f>
        <v>50</v>
      </c>
      <c r="E130" s="127" t="n">
        <f aca="false">-D130</f>
        <v>-50</v>
      </c>
      <c r="K130" s="126"/>
    </row>
    <row r="131" customFormat="false" ht="12.75" hidden="false" customHeight="false" outlineLevel="0" collapsed="false">
      <c r="B131" s="117" t="s">
        <v>37</v>
      </c>
      <c r="C131" s="126" t="n">
        <f aca="false">-Long_tot</f>
        <v>-2192</v>
      </c>
      <c r="D131" s="126" t="n">
        <v>0</v>
      </c>
      <c r="E131" s="127" t="n">
        <f aca="false">-D131</f>
        <v>-0</v>
      </c>
      <c r="K131" s="126"/>
    </row>
    <row r="132" customFormat="false" ht="12.75" hidden="false" customHeight="false" outlineLevel="0" collapsed="false">
      <c r="B132" s="128" t="s">
        <v>38</v>
      </c>
      <c r="C132" s="129" t="n">
        <f aca="false">-X_ail+m_ail</f>
        <v>-1892</v>
      </c>
      <c r="D132" s="129" t="n">
        <f aca="false">D_ail/2</f>
        <v>50</v>
      </c>
      <c r="E132" s="130" t="n">
        <f aca="false">-D132</f>
        <v>-50</v>
      </c>
      <c r="K132" s="126"/>
    </row>
    <row r="133" customFormat="false" ht="12.75" hidden="false" customHeight="false" outlineLevel="0" collapsed="false">
      <c r="B133" s="131" t="s">
        <v>39</v>
      </c>
      <c r="C133" s="132" t="n">
        <f aca="false">-X_ail+m_ail-p_ail</f>
        <v>-1967</v>
      </c>
      <c r="D133" s="132" t="n">
        <f aca="false">D_ail/2+E_ail</f>
        <v>180</v>
      </c>
      <c r="E133" s="133" t="n">
        <f aca="false">-D133</f>
        <v>-180</v>
      </c>
      <c r="K133" s="126"/>
    </row>
    <row r="134" customFormat="false" ht="12.75" hidden="false" customHeight="false" outlineLevel="0" collapsed="false">
      <c r="B134" s="131" t="s">
        <v>40</v>
      </c>
      <c r="C134" s="132" t="n">
        <f aca="false">-X_ail+m_ail-p_ail-n_ail</f>
        <v>-2117</v>
      </c>
      <c r="D134" s="132" t="n">
        <f aca="false">D_ail/2+E_ail</f>
        <v>180</v>
      </c>
      <c r="E134" s="133" t="n">
        <f aca="false">-D134</f>
        <v>-180</v>
      </c>
      <c r="K134" s="126"/>
    </row>
    <row r="135" customFormat="false" ht="12.75" hidden="false" customHeight="false" outlineLevel="0" collapsed="false">
      <c r="B135" s="131" t="s">
        <v>41</v>
      </c>
      <c r="C135" s="132" t="n">
        <f aca="false">-X_ail</f>
        <v>-2192</v>
      </c>
      <c r="D135" s="132" t="n">
        <f aca="false">D_ail/2</f>
        <v>50</v>
      </c>
      <c r="E135" s="133" t="n">
        <f aca="false">-D135</f>
        <v>-50</v>
      </c>
      <c r="K135" s="126"/>
    </row>
    <row r="136" customFormat="false" ht="12.75" hidden="false" customHeight="false" outlineLevel="0" collapsed="false">
      <c r="B136" s="134" t="s">
        <v>38</v>
      </c>
      <c r="C136" s="135" t="n">
        <f aca="false">-X_ail+m_ail</f>
        <v>-1892</v>
      </c>
      <c r="D136" s="135" t="n">
        <f aca="false">D_ail/2</f>
        <v>50</v>
      </c>
      <c r="E136" s="136" t="n">
        <f aca="false">-D136</f>
        <v>-50</v>
      </c>
      <c r="K136" s="126"/>
    </row>
    <row r="137" customFormat="false" ht="12.75" hidden="false" customHeight="false" outlineLevel="0" collapsed="false">
      <c r="B137" s="128" t="str">
        <f aca="false">IF(E_ail&gt;0,IF(Lang="Français","Envergure","Span"),"")</f>
        <v>Envergure</v>
      </c>
      <c r="C137" s="129" t="n">
        <f aca="false">MIN(-X_ail,-X_ail+m_ail-p_ail-n_ail)-Long_tot/30</f>
        <v>-2265.06666666667</v>
      </c>
      <c r="D137" s="137" t="n">
        <f aca="false">-D_ail/2-E_ail</f>
        <v>-180</v>
      </c>
      <c r="E137" s="138"/>
      <c r="K137" s="126"/>
    </row>
    <row r="138" customFormat="false" ht="12.75" hidden="false" customHeight="false" outlineLevel="0" collapsed="false">
      <c r="B138" s="131" t="s">
        <v>42</v>
      </c>
      <c r="C138" s="132" t="n">
        <f aca="false">MIN(-X_ail,-X_ail+m_ail-p_ail-n_ail)-Long_tot/30</f>
        <v>-2265.06666666667</v>
      </c>
      <c r="D138" s="139" t="n">
        <f aca="false">-D_ail/2-E_ail/2</f>
        <v>-115</v>
      </c>
      <c r="E138" s="138"/>
      <c r="K138" s="126"/>
    </row>
    <row r="139" customFormat="false" ht="12.75" hidden="false" customHeight="false" outlineLevel="0" collapsed="false">
      <c r="B139" s="134" t="s">
        <v>43</v>
      </c>
      <c r="C139" s="135" t="n">
        <f aca="false">MIN(-X_ail,-X_ail+m_ail-p_ail-n_ail)-Long_tot/30</f>
        <v>-2265.06666666667</v>
      </c>
      <c r="D139" s="140" t="n">
        <f aca="false">-D_ail/2</f>
        <v>-50</v>
      </c>
      <c r="E139" s="138"/>
      <c r="K139" s="126"/>
    </row>
    <row r="140" customFormat="false" ht="12.75" hidden="false" customHeight="false" outlineLevel="0" collapsed="false">
      <c r="B140" s="128" t="str">
        <f aca="false">IF(Lang="Français","Emplanture","Root edge")</f>
        <v>Emplanture</v>
      </c>
      <c r="C140" s="129" t="n">
        <f aca="false">-X_ail+m_ail</f>
        <v>-1892</v>
      </c>
      <c r="D140" s="137" t="n">
        <f aca="false">D_ail/2+E_ail+Long_tot/20</f>
        <v>289.6</v>
      </c>
      <c r="E140" s="138"/>
      <c r="K140" s="126"/>
    </row>
    <row r="141" customFormat="false" ht="12.75" hidden="false" customHeight="false" outlineLevel="0" collapsed="false">
      <c r="B141" s="131" t="s">
        <v>44</v>
      </c>
      <c r="C141" s="132" t="n">
        <f aca="false">-X_ail+m_ail/2</f>
        <v>-2042</v>
      </c>
      <c r="D141" s="139" t="n">
        <f aca="false">D_ail/2+E_ail+Long_tot/20</f>
        <v>289.6</v>
      </c>
      <c r="E141" s="138"/>
      <c r="K141" s="126"/>
    </row>
    <row r="142" customFormat="false" ht="12.75" hidden="false" customHeight="false" outlineLevel="0" collapsed="false">
      <c r="B142" s="134" t="s">
        <v>45</v>
      </c>
      <c r="C142" s="135" t="n">
        <f aca="false">-X_ail</f>
        <v>-2192</v>
      </c>
      <c r="D142" s="140" t="n">
        <f aca="false">D_ail/2+E_ail+Long_tot/20</f>
        <v>289.6</v>
      </c>
      <c r="E142" s="138"/>
      <c r="K142" s="126"/>
    </row>
    <row r="143" customFormat="false" ht="12.75" hidden="false" customHeight="false" outlineLevel="0" collapsed="false">
      <c r="B143" s="128" t="str">
        <f aca="false">IF(p_ail&lt;&gt;0,IF(Lang="Français","Flèche","Offset"),"")</f>
        <v>Flèche</v>
      </c>
      <c r="C143" s="129" t="n">
        <f aca="false">-X_ail+m_ail</f>
        <v>-1892</v>
      </c>
      <c r="D143" s="137" t="n">
        <f aca="false">-D_ail/2-E_ail-Long_tot/30</f>
        <v>-253.066666666667</v>
      </c>
      <c r="E143" s="138"/>
      <c r="K143" s="126"/>
    </row>
    <row r="144" customFormat="false" ht="12.75" hidden="false" customHeight="false" outlineLevel="0" collapsed="false">
      <c r="B144" s="131" t="s">
        <v>46</v>
      </c>
      <c r="C144" s="132" t="n">
        <f aca="false">-X_ail+m_ail-p_ail/2</f>
        <v>-1929.5</v>
      </c>
      <c r="D144" s="139" t="n">
        <f aca="false">-D_ail/2-E_ail-Long_tot/30</f>
        <v>-253.066666666667</v>
      </c>
      <c r="E144" s="138"/>
      <c r="K144" s="126"/>
    </row>
    <row r="145" customFormat="false" ht="12.75" hidden="false" customHeight="false" outlineLevel="0" collapsed="false">
      <c r="B145" s="134" t="s">
        <v>47</v>
      </c>
      <c r="C145" s="135" t="n">
        <f aca="false">-X_ail+m_ail-p_ail</f>
        <v>-1967</v>
      </c>
      <c r="D145" s="140" t="n">
        <f aca="false">-D_ail/2-E_ail-Long_tot/30</f>
        <v>-253.066666666667</v>
      </c>
      <c r="E145" s="138"/>
      <c r="K145" s="126"/>
    </row>
    <row r="146" customFormat="false" ht="12.75" hidden="false" customHeight="false" outlineLevel="0" collapsed="false">
      <c r="B146" s="128" t="str">
        <f aca="false">IF(n_ail&gt;0,IF(Lang="Français","Saumon","Tip edge"),"")</f>
        <v>Saumon</v>
      </c>
      <c r="C146" s="129" t="n">
        <f aca="false">-X_ail+m_ail-p_ail</f>
        <v>-1967</v>
      </c>
      <c r="D146" s="137" t="n">
        <f aca="false">-D_ail/2-E_ail-Long_tot/20</f>
        <v>-289.6</v>
      </c>
      <c r="E146" s="138"/>
      <c r="K146" s="126"/>
    </row>
    <row r="147" customFormat="false" ht="12.75" hidden="false" customHeight="false" outlineLevel="0" collapsed="false">
      <c r="B147" s="131" t="s">
        <v>48</v>
      </c>
      <c r="C147" s="132" t="n">
        <f aca="false">-X_ail+m_ail-p_ail-n_ail/2</f>
        <v>-2042</v>
      </c>
      <c r="D147" s="139" t="n">
        <f aca="false">-D_ail/2-E_ail-Long_tot/20</f>
        <v>-289.6</v>
      </c>
      <c r="E147" s="138"/>
      <c r="K147" s="126"/>
    </row>
    <row r="148" customFormat="false" ht="12.75" hidden="false" customHeight="false" outlineLevel="0" collapsed="false">
      <c r="B148" s="134" t="s">
        <v>49</v>
      </c>
      <c r="C148" s="135" t="n">
        <f aca="false">-X_ail+m_ail-p_ail-n_ail</f>
        <v>-2117</v>
      </c>
      <c r="D148" s="140" t="n">
        <f aca="false">-D_ail/2-E_ail-Long_tot/20</f>
        <v>-289.6</v>
      </c>
      <c r="E148" s="138"/>
      <c r="K148" s="126"/>
    </row>
    <row r="149" customFormat="false" ht="12.75" hidden="false" customHeight="false" outlineLevel="0" collapsed="false">
      <c r="B149" s="128" t="s">
        <v>50</v>
      </c>
      <c r="C149" s="129" t="n">
        <f aca="false">-XcgPlein</f>
        <v>-1289.88022715539</v>
      </c>
      <c r="D149" s="137" t="n">
        <v>0</v>
      </c>
      <c r="E149" s="127"/>
      <c r="K149" s="126"/>
    </row>
    <row r="150" customFormat="false" ht="12.75" hidden="false" customHeight="false" outlineLevel="0" collapsed="false">
      <c r="B150" s="134" t="s">
        <v>51</v>
      </c>
      <c r="C150" s="135" t="n">
        <f aca="false">-XcgVide</f>
        <v>-1209.83448913546</v>
      </c>
      <c r="D150" s="140" t="n">
        <v>0</v>
      </c>
      <c r="E150" s="127"/>
      <c r="K150" s="126"/>
    </row>
    <row r="151" customFormat="false" ht="12.75" hidden="false" customHeight="false" outlineLevel="0" collapsed="false">
      <c r="B151" s="128" t="s">
        <v>52</v>
      </c>
      <c r="C151" s="129" t="n">
        <f aca="false">-XCp</f>
        <v>-1595.42236096406</v>
      </c>
      <c r="D151" s="137" t="n">
        <v>0</v>
      </c>
      <c r="E151" s="127"/>
      <c r="K151" s="126"/>
    </row>
    <row r="152" customFormat="false" ht="12.75" hidden="false" customHeight="false" outlineLevel="0" collapsed="false">
      <c r="B152" s="134" t="s">
        <v>52</v>
      </c>
      <c r="C152" s="135" t="n">
        <f aca="false">-XCp</f>
        <v>-1595.42236096406</v>
      </c>
      <c r="D152" s="140" t="n">
        <f aca="false">Cn*D_ref/CritCnmin</f>
        <v>128.166079165878</v>
      </c>
      <c r="E152" s="127"/>
      <c r="K152" s="126"/>
    </row>
    <row r="153" customFormat="false" ht="12.75" hidden="false" customHeight="false" outlineLevel="0" collapsed="false">
      <c r="B153" s="131" t="s">
        <v>53</v>
      </c>
      <c r="C153" s="132" t="n">
        <f aca="false">-XCp0</f>
        <v>-1618.11098866274</v>
      </c>
      <c r="D153" s="139" t="n">
        <f aca="false">Cn0*D_ref/CritCnmin</f>
        <v>136.353358866956</v>
      </c>
      <c r="E153" s="127"/>
      <c r="K153" s="126"/>
    </row>
    <row r="154" customFormat="false" ht="12.75" hidden="false" customHeight="false" outlineLevel="0" collapsed="false">
      <c r="B154" s="131" t="s">
        <v>53</v>
      </c>
      <c r="C154" s="132" t="n">
        <f aca="false">-XCp0</f>
        <v>-1618.11098866274</v>
      </c>
      <c r="D154" s="139" t="n">
        <v>0</v>
      </c>
      <c r="E154" s="127"/>
      <c r="K154" s="126"/>
    </row>
    <row r="155" customFormat="false" ht="12.75" hidden="false" customHeight="false" outlineLevel="0" collapsed="false">
      <c r="B155" s="128" t="str">
        <f aca="false">IF(n_ail&gt;0,IF(Lang="Français","Marge Statique","Static Margin"),"")</f>
        <v>Marge Statique</v>
      </c>
      <c r="C155" s="129" t="n">
        <f aca="false">(-XcgPlein-XcgVide)/2</f>
        <v>-1249.85735814543</v>
      </c>
      <c r="D155" s="137" t="n">
        <f aca="false">-D_ail/2-E_ail-Long_tot/20</f>
        <v>-289.6</v>
      </c>
      <c r="E155" s="127"/>
      <c r="K155" s="126"/>
    </row>
    <row r="156" customFormat="false" ht="12.75" hidden="false" customHeight="false" outlineLevel="0" collapsed="false">
      <c r="B156" s="131" t="s">
        <v>54</v>
      </c>
      <c r="C156" s="132" t="n">
        <f aca="false">(C155+C157)/2</f>
        <v>-1422.63985955474</v>
      </c>
      <c r="D156" s="139" t="n">
        <f aca="false">-D_ail/2-E_ail-Long_tot/20</f>
        <v>-289.6</v>
      </c>
      <c r="E156" s="127"/>
      <c r="K156" s="126"/>
    </row>
    <row r="157" customFormat="false" ht="12.75" hidden="false" customHeight="false" outlineLevel="0" collapsed="false">
      <c r="B157" s="134" t="s">
        <v>55</v>
      </c>
      <c r="C157" s="135" t="n">
        <f aca="false">-XCp</f>
        <v>-1595.42236096406</v>
      </c>
      <c r="D157" s="140" t="n">
        <f aca="false">-D_ail/2-E_ail-Long_tot/20</f>
        <v>-289.6</v>
      </c>
      <c r="E157" s="127"/>
      <c r="K157" s="126"/>
    </row>
    <row r="158" customFormat="false" ht="12.75" hidden="false" customHeight="false" outlineLevel="0" collapsed="false">
      <c r="B158" s="128" t="s">
        <v>56</v>
      </c>
      <c r="C158" s="129" t="n">
        <f aca="false">IF(LEFT(Type_masquage,1)="M",0,-X_can+m_can)</f>
        <v>-450</v>
      </c>
      <c r="D158" s="129" t="n">
        <f aca="false">IF(LEFT(Type_masquage,1)="M",0,D_ail/2)</f>
        <v>50</v>
      </c>
      <c r="E158" s="130" t="n">
        <f aca="false">-D158</f>
        <v>-50</v>
      </c>
      <c r="K158" s="126"/>
    </row>
    <row r="159" customFormat="false" ht="12.75" hidden="false" customHeight="false" outlineLevel="0" collapsed="false">
      <c r="B159" s="131" t="s">
        <v>57</v>
      </c>
      <c r="C159" s="132" t="n">
        <f aca="false">IF(LEFT(Type_masquage,1)="M",0,-X_can+m_can-p_can)</f>
        <v>-450</v>
      </c>
      <c r="D159" s="132" t="n">
        <f aca="false">IF(LEFT(Type_masquage,1)="M",0,D_ail/2+E_can)</f>
        <v>95</v>
      </c>
      <c r="E159" s="133" t="n">
        <f aca="false">-D159</f>
        <v>-95</v>
      </c>
      <c r="K159" s="126"/>
    </row>
    <row r="160" customFormat="false" ht="12.75" hidden="false" customHeight="false" outlineLevel="0" collapsed="false">
      <c r="B160" s="131" t="s">
        <v>58</v>
      </c>
      <c r="C160" s="132" t="n">
        <f aca="false">IF(LEFT(Type_masquage,1)="M",0,-X_can+m_can-p_can-n_can)</f>
        <v>-600</v>
      </c>
      <c r="D160" s="132" t="n">
        <f aca="false">IF(LEFT(Type_masquage,1)="M",0,D_ail/2+E_can)</f>
        <v>95</v>
      </c>
      <c r="E160" s="133" t="n">
        <f aca="false">-D160</f>
        <v>-95</v>
      </c>
      <c r="K160" s="126"/>
    </row>
    <row r="161" customFormat="false" ht="12.75" hidden="false" customHeight="false" outlineLevel="0" collapsed="false">
      <c r="B161" s="131" t="s">
        <v>59</v>
      </c>
      <c r="C161" s="132" t="n">
        <f aca="false">IF(LEFT(Type_masquage,1)="M",0,-X_can)</f>
        <v>-600</v>
      </c>
      <c r="D161" s="132" t="n">
        <f aca="false">IF(LEFT(Type_masquage,1)="M",0,D_ail/2)</f>
        <v>50</v>
      </c>
      <c r="E161" s="133" t="n">
        <f aca="false">-D161</f>
        <v>-50</v>
      </c>
      <c r="K161" s="126"/>
    </row>
    <row r="162" customFormat="false" ht="12.75" hidden="false" customHeight="false" outlineLevel="0" collapsed="false">
      <c r="B162" s="134" t="s">
        <v>56</v>
      </c>
      <c r="C162" s="135" t="n">
        <f aca="false">IF(LEFT(Type_masquage,1)="M",0,-X_can+m_can)</f>
        <v>-450</v>
      </c>
      <c r="D162" s="135" t="n">
        <f aca="false">IF(LEFT(Type_masquage,1)="M",0,D_ail/2)</f>
        <v>50</v>
      </c>
      <c r="E162" s="136" t="n">
        <f aca="false">-D162</f>
        <v>-50</v>
      </c>
      <c r="K162" s="126"/>
    </row>
    <row r="163" customFormat="false" ht="12.75" hidden="false" customHeight="false" outlineLevel="0" collapsed="false">
      <c r="B163" s="128" t="s">
        <v>60</v>
      </c>
      <c r="C163" s="129" t="n">
        <f aca="false">IF(LEFT(Type_masquage,1)="B",-X_int+m_int,0)</f>
        <v>-1892</v>
      </c>
      <c r="D163" s="129" t="n">
        <f aca="false">IF(LEFT(Type_masquage,1)="B",D_int/2,0)</f>
        <v>50</v>
      </c>
      <c r="E163" s="130" t="n">
        <f aca="false">-D163</f>
        <v>-50</v>
      </c>
      <c r="K163" s="126"/>
    </row>
    <row r="164" customFormat="false" ht="12.75" hidden="false" customHeight="false" outlineLevel="0" collapsed="false">
      <c r="B164" s="131" t="s">
        <v>61</v>
      </c>
      <c r="C164" s="132" t="n">
        <f aca="false">IF(LEFT(Type_masquage,1)="B",-X_int+m_int-p_int,0)</f>
        <v>-1917.96153846154</v>
      </c>
      <c r="D164" s="132" t="n">
        <f aca="false">IF(LEFT(Type_masquage,1)="B",D_int/2+E_int,0)</f>
        <v>95</v>
      </c>
      <c r="E164" s="133" t="n">
        <f aca="false">-D164</f>
        <v>-95</v>
      </c>
      <c r="K164" s="126"/>
    </row>
    <row r="165" customFormat="false" ht="12.75" hidden="false" customHeight="false" outlineLevel="0" collapsed="false">
      <c r="B165" s="131" t="s">
        <v>62</v>
      </c>
      <c r="C165" s="132" t="n">
        <f aca="false">IF(LEFT(Type_masquage,1)="B",-X_int+m_int-p_int-n_int,0)</f>
        <v>-2166.03846153846</v>
      </c>
      <c r="D165" s="132" t="n">
        <f aca="false">IF(LEFT(Type_masquage,1)="B",D_int/2+E_int,0)</f>
        <v>95</v>
      </c>
      <c r="E165" s="133" t="n">
        <f aca="false">-D165</f>
        <v>-95</v>
      </c>
      <c r="K165" s="126"/>
    </row>
    <row r="166" customFormat="false" ht="12.75" hidden="false" customHeight="false" outlineLevel="0" collapsed="false">
      <c r="B166" s="131" t="s">
        <v>63</v>
      </c>
      <c r="C166" s="132" t="n">
        <f aca="false">IF(LEFT(Type_masquage,1)="B",-X_int,0)</f>
        <v>-2192</v>
      </c>
      <c r="D166" s="132" t="n">
        <f aca="false">IF(LEFT(Type_masquage,1)="B",D_int/2,0)</f>
        <v>50</v>
      </c>
      <c r="E166" s="133" t="n">
        <f aca="false">-D166</f>
        <v>-50</v>
      </c>
      <c r="K166" s="126"/>
    </row>
    <row r="167" customFormat="false" ht="12.75" hidden="false" customHeight="false" outlineLevel="0" collapsed="false">
      <c r="B167" s="134" t="s">
        <v>60</v>
      </c>
      <c r="C167" s="135" t="n">
        <f aca="false">IF(LEFT(Type_masquage,1)="B",-X_int+m_int,0)</f>
        <v>-1892</v>
      </c>
      <c r="D167" s="135" t="n">
        <f aca="false">IF(LEFT(Type_masquage,1)="B",D_int/2,0)</f>
        <v>50</v>
      </c>
      <c r="E167" s="136" t="n">
        <f aca="false">-D167</f>
        <v>-50</v>
      </c>
      <c r="K167" s="126"/>
    </row>
    <row r="168" customFormat="false" ht="12.75" hidden="false" customHeight="false" outlineLevel="0" collapsed="false">
      <c r="B168" s="117" t="s">
        <v>64</v>
      </c>
      <c r="C168" s="126" t="n">
        <f aca="false">-MAX(Long_tot, X_ail-m_ail+p_ail+n_ail, (E_ail+D_ail/2)*3.2)*1.01</f>
        <v>-2213.92</v>
      </c>
      <c r="D168" s="126" t="n">
        <f aca="false">MAX(E_ail+D_ail/2, Long_tot/3)</f>
        <v>730.666666666667</v>
      </c>
      <c r="E168" s="127"/>
      <c r="K168" s="126"/>
    </row>
    <row r="169" customFormat="false" ht="12.75" hidden="false" customHeight="false" outlineLevel="0" collapsed="false">
      <c r="B169" s="117" t="s">
        <v>64</v>
      </c>
      <c r="C169" s="126" t="n">
        <f aca="false">C168</f>
        <v>-2213.92</v>
      </c>
      <c r="D169" s="126" t="n">
        <f aca="false">-D168</f>
        <v>-730.666666666667</v>
      </c>
      <c r="E169" s="127"/>
      <c r="K169" s="126"/>
    </row>
    <row r="170" customFormat="false" ht="12.75" hidden="false" customHeight="false" outlineLevel="0" collapsed="false">
      <c r="B170" s="128" t="s">
        <v>65</v>
      </c>
      <c r="C170" s="129" t="n">
        <f aca="false">-XpropuRef+Long_propu</f>
        <v>-1704</v>
      </c>
      <c r="D170" s="137" t="n">
        <f aca="false">-Diam_propu/2</f>
        <v>-27</v>
      </c>
      <c r="E170" s="127"/>
      <c r="K170" s="126"/>
    </row>
    <row r="171" customFormat="false" ht="12.75" hidden="false" customHeight="false" outlineLevel="0" collapsed="false">
      <c r="B171" s="131" t="s">
        <v>66</v>
      </c>
      <c r="C171" s="132" t="n">
        <f aca="false">-XpropuRef+Long_propu</f>
        <v>-1704</v>
      </c>
      <c r="D171" s="139" t="n">
        <f aca="false">Diam_propu/2</f>
        <v>27</v>
      </c>
      <c r="E171" s="127"/>
      <c r="K171" s="126"/>
    </row>
    <row r="172" customFormat="false" ht="12.75" hidden="false" customHeight="false" outlineLevel="0" collapsed="false">
      <c r="B172" s="131" t="s">
        <v>67</v>
      </c>
      <c r="C172" s="132" t="n">
        <f aca="false">-XpropuRef</f>
        <v>-2192</v>
      </c>
      <c r="D172" s="139" t="n">
        <f aca="false">Diam_propu/2</f>
        <v>27</v>
      </c>
      <c r="E172" s="127"/>
      <c r="K172" s="126"/>
    </row>
    <row r="173" customFormat="false" ht="12.75" hidden="false" customHeight="false" outlineLevel="0" collapsed="false">
      <c r="B173" s="131" t="s">
        <v>68</v>
      </c>
      <c r="C173" s="132" t="n">
        <f aca="false">-XpropuRef</f>
        <v>-2192</v>
      </c>
      <c r="D173" s="139" t="n">
        <f aca="false">-Diam_propu/2</f>
        <v>-27</v>
      </c>
      <c r="E173" s="127"/>
      <c r="K173" s="126"/>
    </row>
    <row r="174" customFormat="false" ht="12.75" hidden="false" customHeight="false" outlineLevel="0" collapsed="false">
      <c r="B174" s="134" t="s">
        <v>69</v>
      </c>
      <c r="C174" s="135" t="n">
        <f aca="false">-XpropuRef+Long_propu</f>
        <v>-1704</v>
      </c>
      <c r="D174" s="140" t="n">
        <f aca="false">-Diam_propu/2</f>
        <v>-27</v>
      </c>
      <c r="E174" s="127"/>
      <c r="F174" s="128" t="s">
        <v>70</v>
      </c>
      <c r="G174" s="141" t="s">
        <v>71</v>
      </c>
      <c r="H174" s="142" t="s">
        <v>72</v>
      </c>
      <c r="K174" s="126"/>
    </row>
    <row r="175" customFormat="false" ht="12.75" hidden="false" customHeight="false" outlineLevel="0" collapsed="false">
      <c r="B175" s="128" t="s">
        <v>73</v>
      </c>
      <c r="C175" s="129" t="n">
        <v>0</v>
      </c>
      <c r="D175" s="129" t="n">
        <v>0</v>
      </c>
      <c r="E175" s="130" t="n">
        <f aca="false">-D175</f>
        <v>-0</v>
      </c>
      <c r="F175" s="131" t="n">
        <v>0</v>
      </c>
      <c r="G175" s="19" t="n">
        <v>0</v>
      </c>
      <c r="H175" s="143" t="n">
        <v>0</v>
      </c>
      <c r="K175" s="126"/>
    </row>
    <row r="176" customFormat="false" ht="12.75" hidden="false" customHeight="false" outlineLevel="0" collapsed="false">
      <c r="B176" s="131" t="s">
        <v>32</v>
      </c>
      <c r="C176" s="132" t="n">
        <f aca="false">-Long_ogive*0.1</f>
        <v>-4</v>
      </c>
      <c r="D176" s="132" t="n">
        <f aca="false">IF(LEFT(Forme_ogive,5)="Parab",H176,IF(LEFT(Forme_ogive,4)="Ogiv",G176,IF(LEFT(Forme_ogive,3)="Con",F176)))</f>
        <v>20</v>
      </c>
      <c r="E176" s="133" t="n">
        <f aca="false">-D176</f>
        <v>-20</v>
      </c>
      <c r="F176" s="131" t="n">
        <f aca="false">D_og/2*0.1</f>
        <v>4</v>
      </c>
      <c r="G176" s="19" t="n">
        <f aca="false">D_og/2*0.2</f>
        <v>8</v>
      </c>
      <c r="H176" s="143" t="n">
        <f aca="false">D_og/2*0.5</f>
        <v>20</v>
      </c>
      <c r="K176" s="126"/>
    </row>
    <row r="177" customFormat="false" ht="12.75" hidden="false" customHeight="false" outlineLevel="0" collapsed="false">
      <c r="B177" s="131" t="s">
        <v>32</v>
      </c>
      <c r="C177" s="132" t="n">
        <f aca="false">-Long_ogive/4</f>
        <v>-10</v>
      </c>
      <c r="D177" s="132" t="n">
        <f aca="false">IF(LEFT(Forme_ogive,5)="Parab",H177,IF(LEFT(Forme_ogive,4)="Ogiv",G177,IF(LEFT(Forme_ogive,3)="Con",F177)))</f>
        <v>28</v>
      </c>
      <c r="E177" s="133" t="n">
        <f aca="false">-D177</f>
        <v>-28</v>
      </c>
      <c r="F177" s="131" t="n">
        <f aca="false">D_og/2*1/4</f>
        <v>10</v>
      </c>
      <c r="G177" s="19" t="n">
        <f aca="false">D_og/2/2</f>
        <v>20</v>
      </c>
      <c r="H177" s="143" t="n">
        <f aca="false">D_og/2*0.7</f>
        <v>28</v>
      </c>
      <c r="K177" s="126"/>
    </row>
    <row r="178" customFormat="false" ht="12.75" hidden="false" customHeight="false" outlineLevel="0" collapsed="false">
      <c r="B178" s="131" t="s">
        <v>32</v>
      </c>
      <c r="C178" s="132" t="n">
        <f aca="false">-Long_ogive/2</f>
        <v>-20</v>
      </c>
      <c r="D178" s="132" t="n">
        <f aca="false">IF(LEFT(Forme_ogive,5)="Parab",H178,IF(LEFT(Forme_ogive,4)="Ogiv",G178,IF(LEFT(Forme_ogive,3)="Con",F178)))</f>
        <v>35.2</v>
      </c>
      <c r="E178" s="133" t="n">
        <f aca="false">-D178</f>
        <v>-35.2</v>
      </c>
      <c r="F178" s="131" t="n">
        <f aca="false">D_og/2/2</f>
        <v>20</v>
      </c>
      <c r="G178" s="19" t="n">
        <f aca="false">D_og/2*3/4</f>
        <v>30</v>
      </c>
      <c r="H178" s="143" t="n">
        <f aca="false">D_og/2*0.88</f>
        <v>35.2</v>
      </c>
      <c r="K178" s="126"/>
    </row>
    <row r="179" customFormat="false" ht="12.75" hidden="false" customHeight="false" outlineLevel="0" collapsed="false">
      <c r="B179" s="131" t="s">
        <v>32</v>
      </c>
      <c r="C179" s="132" t="n">
        <f aca="false">-Long_ogive*3/4</f>
        <v>-30</v>
      </c>
      <c r="D179" s="132" t="n">
        <f aca="false">IF(LEFT(Forme_ogive,5)="Parab",H179,IF(LEFT(Forme_ogive,4)="Ogiv",G179,IF(LEFT(Forme_ogive,3)="Con",F179)))</f>
        <v>38</v>
      </c>
      <c r="E179" s="133" t="n">
        <f aca="false">-D179</f>
        <v>-38</v>
      </c>
      <c r="F179" s="131" t="n">
        <f aca="false">D_og/2*3/4</f>
        <v>30</v>
      </c>
      <c r="G179" s="19" t="n">
        <f aca="false">D_og/2*0.9</f>
        <v>36</v>
      </c>
      <c r="H179" s="143" t="n">
        <f aca="false">D_og/2*0.95</f>
        <v>38</v>
      </c>
      <c r="K179" s="126"/>
    </row>
    <row r="180" customFormat="false" ht="12.75" hidden="false" customHeight="false" outlineLevel="0" collapsed="false">
      <c r="B180" s="134" t="s">
        <v>32</v>
      </c>
      <c r="C180" s="135" t="n">
        <f aca="false">-Long_ogive</f>
        <v>-40</v>
      </c>
      <c r="D180" s="135" t="n">
        <f aca="false">D_og/2</f>
        <v>40</v>
      </c>
      <c r="E180" s="136" t="n">
        <f aca="false">-D180</f>
        <v>-40</v>
      </c>
      <c r="F180" s="134" t="n">
        <f aca="false">D_og/2</f>
        <v>40</v>
      </c>
      <c r="G180" s="144" t="n">
        <f aca="false">D_og/2</f>
        <v>40</v>
      </c>
      <c r="H180" s="145" t="n">
        <f aca="false">D_og/2</f>
        <v>40</v>
      </c>
      <c r="K180" s="4"/>
    </row>
    <row r="181" customFormat="false" ht="12.75" hidden="false" customHeight="false" outlineLevel="0" collapsed="false">
      <c r="B181" s="117" t="s">
        <v>74</v>
      </c>
      <c r="C181" s="117" t="s">
        <v>75</v>
      </c>
      <c r="D181" s="128" t="s">
        <v>74</v>
      </c>
      <c r="E181" s="146" t="s">
        <v>75</v>
      </c>
      <c r="K181" s="117"/>
    </row>
    <row r="182" customFormat="false" ht="12.75" hidden="false" customHeight="false" outlineLevel="0" collapsed="false">
      <c r="B182" s="128" t="n">
        <v>0</v>
      </c>
      <c r="C182" s="141" t="n">
        <f aca="false">CritCnmin</f>
        <v>15</v>
      </c>
      <c r="D182" s="131" t="n">
        <v>0.5</v>
      </c>
      <c r="E182" s="147" t="n">
        <f aca="false">CritMsCnmin/D182</f>
        <v>80</v>
      </c>
      <c r="K182" s="117"/>
    </row>
    <row r="183" customFormat="false" ht="12.75" hidden="false" customHeight="false" outlineLevel="0" collapsed="false">
      <c r="B183" s="134" t="n">
        <v>7</v>
      </c>
      <c r="C183" s="144" t="n">
        <f aca="false">CritCnmin</f>
        <v>15</v>
      </c>
      <c r="D183" s="131" t="n">
        <v>1</v>
      </c>
      <c r="E183" s="147" t="n">
        <f aca="false">CritMsCnmin/D183</f>
        <v>40</v>
      </c>
      <c r="K183" s="117"/>
    </row>
    <row r="184" customFormat="false" ht="12.75" hidden="false" customHeight="false" outlineLevel="0" collapsed="false">
      <c r="B184" s="128" t="n">
        <v>0</v>
      </c>
      <c r="C184" s="141" t="n">
        <f aca="false">CritCnmax</f>
        <v>40</v>
      </c>
      <c r="D184" s="131" t="n">
        <v>2</v>
      </c>
      <c r="E184" s="147" t="n">
        <f aca="false">CritMsCnmin/D184</f>
        <v>20</v>
      </c>
      <c r="K184" s="117"/>
    </row>
    <row r="185" customFormat="false" ht="12.75" hidden="false" customHeight="false" outlineLevel="0" collapsed="false">
      <c r="B185" s="134" t="n">
        <v>7</v>
      </c>
      <c r="C185" s="144" t="n">
        <f aca="false">CritCnmax</f>
        <v>40</v>
      </c>
      <c r="D185" s="131" t="n">
        <v>3</v>
      </c>
      <c r="E185" s="147" t="n">
        <f aca="false">CritMsCnmin/D185</f>
        <v>13.3333333333333</v>
      </c>
      <c r="K185" s="117"/>
    </row>
    <row r="186" customFormat="false" ht="12.75" hidden="false" customHeight="false" outlineLevel="0" collapsed="false">
      <c r="B186" s="148" t="n">
        <f aca="false">CritMsmin</f>
        <v>2</v>
      </c>
      <c r="C186" s="141" t="n">
        <v>0</v>
      </c>
      <c r="D186" s="131" t="n">
        <v>5</v>
      </c>
      <c r="E186" s="147" t="n">
        <f aca="false">CritMsCnmin/D186</f>
        <v>8</v>
      </c>
      <c r="K186" s="117"/>
    </row>
    <row r="187" customFormat="false" ht="12.75" hidden="false" customHeight="false" outlineLevel="0" collapsed="false">
      <c r="B187" s="149" t="n">
        <f aca="false">CritMsmin</f>
        <v>2</v>
      </c>
      <c r="C187" s="144" t="n">
        <v>55</v>
      </c>
      <c r="D187" s="131" t="n">
        <v>7</v>
      </c>
      <c r="E187" s="147" t="n">
        <f aca="false">CritMsCnmin/D187</f>
        <v>5.71428571428571</v>
      </c>
      <c r="K187" s="117"/>
    </row>
    <row r="188" customFormat="false" ht="12.75" hidden="false" customHeight="false" outlineLevel="0" collapsed="false">
      <c r="B188" s="148" t="n">
        <f aca="false">CritMsmax</f>
        <v>6</v>
      </c>
      <c r="C188" s="141" t="n">
        <v>0</v>
      </c>
      <c r="D188" s="131" t="n">
        <v>1</v>
      </c>
      <c r="E188" s="147" t="n">
        <f aca="false">CritMsCnmax/D188</f>
        <v>100</v>
      </c>
      <c r="K188" s="117"/>
    </row>
    <row r="189" customFormat="false" ht="12.75" hidden="false" customHeight="false" outlineLevel="0" collapsed="false">
      <c r="B189" s="149" t="n">
        <f aca="false">CritMsmax</f>
        <v>6</v>
      </c>
      <c r="C189" s="144" t="n">
        <v>55</v>
      </c>
      <c r="D189" s="131" t="n">
        <v>2</v>
      </c>
      <c r="E189" s="147" t="n">
        <f aca="false">CritMsCnmax/D189</f>
        <v>50</v>
      </c>
      <c r="K189" s="117"/>
    </row>
    <row r="190" customFormat="false" ht="12.75" hidden="false" customHeight="false" outlineLevel="0" collapsed="false">
      <c r="B190" s="150" t="n">
        <f aca="false">MS_min</f>
        <v>3.05542133808662</v>
      </c>
      <c r="C190" s="151" t="n">
        <f aca="false">Cn</f>
        <v>19.2249118748816</v>
      </c>
      <c r="D190" s="131" t="n">
        <v>3</v>
      </c>
      <c r="E190" s="147" t="n">
        <f aca="false">CritMsCnmax/D190</f>
        <v>33.3333333333333</v>
      </c>
      <c r="K190" s="117"/>
    </row>
    <row r="191" customFormat="false" ht="12.75" hidden="false" customHeight="false" outlineLevel="0" collapsed="false">
      <c r="B191" s="152" t="n">
        <f aca="false">(XCp0-XcgPlein)/D_ref</f>
        <v>3.28230761507346</v>
      </c>
      <c r="C191" s="153" t="n">
        <f aca="false">Cn0</f>
        <v>20.4530038300434</v>
      </c>
      <c r="D191" s="131" t="n">
        <v>4</v>
      </c>
      <c r="E191" s="147" t="n">
        <f aca="false">CritMsCnmax/D191</f>
        <v>25</v>
      </c>
      <c r="K191" s="117"/>
    </row>
    <row r="192" customFormat="false" ht="12.75" hidden="false" customHeight="false" outlineLevel="0" collapsed="false">
      <c r="B192" s="152" t="n">
        <f aca="false">(XCp0-XcgVide)/D_ref</f>
        <v>4.08276499527281</v>
      </c>
      <c r="C192" s="153" t="n">
        <f aca="false">Cn0</f>
        <v>20.4530038300434</v>
      </c>
      <c r="D192" s="131" t="n">
        <v>6</v>
      </c>
      <c r="E192" s="147" t="n">
        <f aca="false">CritMsCnmax/D192</f>
        <v>16.6666666666667</v>
      </c>
      <c r="K192" s="117"/>
    </row>
    <row r="193" customFormat="false" ht="12.75" hidden="false" customHeight="false" outlineLevel="0" collapsed="false">
      <c r="B193" s="152" t="n">
        <f aca="false">(XCp-XcgVide)/D_ref</f>
        <v>3.85587871828597</v>
      </c>
      <c r="C193" s="153" t="n">
        <f aca="false">Cn</f>
        <v>19.2249118748816</v>
      </c>
      <c r="D193" s="134" t="n">
        <v>7</v>
      </c>
      <c r="E193" s="154" t="n">
        <f aca="false">CritMsCnmax/D193</f>
        <v>14.2857142857143</v>
      </c>
      <c r="K193" s="117"/>
    </row>
    <row r="194" customFormat="false" ht="12.75" hidden="false" customHeight="false" outlineLevel="0" collapsed="false">
      <c r="B194" s="152" t="n">
        <f aca="false">MS_min</f>
        <v>3.05542133808662</v>
      </c>
      <c r="C194" s="155" t="n">
        <f aca="false">Cn</f>
        <v>19.2249118748816</v>
      </c>
      <c r="D194" s="19"/>
      <c r="E194" s="156"/>
      <c r="K194" s="117"/>
    </row>
    <row r="195" customFormat="false" ht="12.75" hidden="false" customHeight="false" outlineLevel="0" collapsed="false">
      <c r="B195" s="128" t="n">
        <v>0</v>
      </c>
      <c r="C195" s="141" t="n">
        <f aca="false">(CritCnmin+CritCnmax)/2</f>
        <v>27.5</v>
      </c>
      <c r="D195" s="4"/>
      <c r="E195" s="157"/>
      <c r="K195" s="4"/>
    </row>
    <row r="196" customFormat="false" ht="12.75" hidden="false" customHeight="false" outlineLevel="0" collapsed="false">
      <c r="B196" s="131" t="n">
        <f aca="false">MAX(CritMsmin,CritMsCnmin/C196)</f>
        <v>2</v>
      </c>
      <c r="C196" s="19" t="n">
        <f aca="false">(CritCnmin+CritCnmax)/2</f>
        <v>27.5</v>
      </c>
      <c r="D196" s="4"/>
      <c r="E196" s="157"/>
      <c r="K196" s="4"/>
    </row>
    <row r="197" customFormat="false" ht="12.75" hidden="false" customHeight="false" outlineLevel="0" collapsed="false">
      <c r="B197" s="131" t="n">
        <f aca="false">MIN(CritMsmax,CritMsCnmax/C197)</f>
        <v>3.63636363636364</v>
      </c>
      <c r="C197" s="143" t="n">
        <f aca="false">(CritCnmin+CritCnmax)/2</f>
        <v>27.5</v>
      </c>
    </row>
    <row r="198" customFormat="false" ht="12.75" hidden="false" customHeight="false" outlineLevel="0" collapsed="false">
      <c r="B198" s="134" t="n">
        <v>7</v>
      </c>
      <c r="C198" s="145" t="n">
        <f aca="false">(CritCnmin+CritCnmax)/2</f>
        <v>27.5</v>
      </c>
    </row>
    <row r="199" customFormat="false" ht="12.75" hidden="false" customHeight="false" outlineLevel="0" collapsed="false">
      <c r="B199" s="128" t="n">
        <f aca="false">(CritMsmin+CritMsmax)/2</f>
        <v>4</v>
      </c>
      <c r="C199" s="158" t="n">
        <v>0</v>
      </c>
    </row>
    <row r="200" customFormat="false" ht="12.75" hidden="false" customHeight="false" outlineLevel="0" collapsed="false">
      <c r="B200" s="131" t="n">
        <f aca="false">(CritMsmin+CritMsmax)/2</f>
        <v>4</v>
      </c>
      <c r="C200" s="159" t="n">
        <f aca="false">MAX(CritCnmin,CritMsCnmin/B200)</f>
        <v>15</v>
      </c>
    </row>
    <row r="201" customFormat="false" ht="12.75" hidden="false" customHeight="false" outlineLevel="0" collapsed="false">
      <c r="B201" s="131" t="n">
        <f aca="false">(CritMsmin+CritMsmax)/2</f>
        <v>4</v>
      </c>
      <c r="C201" s="159" t="n">
        <f aca="false">MIN(CritCnmax,CritMsCnmax/B201)</f>
        <v>25</v>
      </c>
    </row>
    <row r="202" customFormat="false" ht="12.75" hidden="false" customHeight="false" outlineLevel="0" collapsed="false">
      <c r="B202" s="134" t="n">
        <f aca="false">(CritMsmin+CritMsmax)/2</f>
        <v>4</v>
      </c>
      <c r="C202" s="160" t="n">
        <v>55</v>
      </c>
    </row>
    <row r="203" customFormat="false" ht="12.75" hidden="false" customHeight="false" outlineLevel="0" collapsed="false">
      <c r="D203" s="161"/>
    </row>
    <row r="204" customFormat="false" ht="12.75" hidden="false" customHeight="false" outlineLevel="0" collapsed="false">
      <c r="B204" s="162" t="s">
        <v>76</v>
      </c>
      <c r="C204" s="163" t="b">
        <f aca="false">(OR(C205:C210))</f>
        <v>1</v>
      </c>
      <c r="D204" s="161"/>
    </row>
    <row r="205" customFormat="false" ht="12.75" hidden="false" customHeight="false" outlineLevel="0" collapsed="false">
      <c r="B205" s="123" t="s">
        <v>77</v>
      </c>
      <c r="C205" s="164" t="b">
        <f aca="false">AND(Type_propu="H2O",RIGHT(Type_fusee,1)=" ")</f>
        <v>0</v>
      </c>
      <c r="D205" s="161"/>
    </row>
    <row r="206" customFormat="false" ht="12.75" hidden="false" customHeight="false" outlineLevel="0" collapsed="false">
      <c r="B206" s="123" t="s">
        <v>78</v>
      </c>
      <c r="C206" s="164" t="b">
        <f aca="false">AND(Type_propu="Fusex",RIGHT(Type_fusee,1)=".")</f>
        <v>1</v>
      </c>
      <c r="D206" s="161"/>
    </row>
    <row r="207" customFormat="false" ht="12.75" hidden="false" customHeight="false" outlineLevel="0" collapsed="false">
      <c r="B207" s="123" t="s">
        <v>79</v>
      </c>
      <c r="C207" s="164" t="b">
        <f aca="false">LEFT(Type_propu,5)=LEFT(Type_fusee,5)</f>
        <v>0</v>
      </c>
      <c r="D207" s="161"/>
    </row>
    <row r="208" customFormat="false" ht="12.75" hidden="false" customHeight="false" outlineLevel="0" collapsed="false">
      <c r="B208" s="123" t="s">
        <v>80</v>
      </c>
      <c r="C208" s="164" t="b">
        <f aca="false">AND(RIGHT(Type_propu,1)="N",LEFT(Type_fusee,4)="Mini")</f>
        <v>0</v>
      </c>
      <c r="D208" s="161"/>
    </row>
    <row r="209" customFormat="false" ht="12.75" hidden="false" customHeight="false" outlineLevel="0" collapsed="false">
      <c r="B209" s="123" t="s">
        <v>81</v>
      </c>
      <c r="C209" s="164" t="b">
        <f aca="false">AND(LEFT(Type_propu,5)="MiniR",LEFT(Type_fusee,1)="R")</f>
        <v>0</v>
      </c>
    </row>
    <row r="210" customFormat="false" ht="12.75" hidden="false" customHeight="false" outlineLevel="0" collapsed="false">
      <c r="B210" s="123" t="s">
        <v>82</v>
      </c>
      <c r="C210" s="164" t="b">
        <f aca="false">AND(LEFT(Type_propu,4)="Mini",LEFT(Type_fusee,1)=",")</f>
        <v>0</v>
      </c>
    </row>
    <row r="223" customFormat="false" ht="12.75" hidden="false" customHeight="false" outlineLevel="0" collapsed="false">
      <c r="A223" s="1" t="s">
        <v>83</v>
      </c>
    </row>
    <row r="226" customFormat="false" ht="12.75" hidden="false" customHeight="false" outlineLevel="0" collapsed="false">
      <c r="A226" s="1" t="s">
        <v>84</v>
      </c>
    </row>
    <row r="228" customFormat="false" ht="12.75" hidden="false" customHeight="false" outlineLevel="0" collapsed="false">
      <c r="A228" s="1" t="s">
        <v>85</v>
      </c>
    </row>
    <row r="230" customFormat="false" ht="12.75" hidden="false" customHeight="false" outlineLevel="0" collapsed="false">
      <c r="A230" s="1" t="s">
        <v>86</v>
      </c>
    </row>
    <row r="232" customFormat="false" ht="12.75" hidden="false" customHeight="false" outlineLevel="0" collapsed="false">
      <c r="A232" s="1" t="s">
        <v>87</v>
      </c>
    </row>
    <row r="233" customFormat="false" ht="12.75" hidden="false" customHeight="false" outlineLevel="0" collapsed="false">
      <c r="A233" s="1" t="s">
        <v>88</v>
      </c>
    </row>
    <row r="234" customFormat="false" ht="12.75" hidden="false" customHeight="false" outlineLevel="0" collapsed="false">
      <c r="A234" s="1" t="s">
        <v>89</v>
      </c>
    </row>
    <row r="235" customFormat="false" ht="12.75" hidden="false" customHeight="false" outlineLevel="0" collapsed="false">
      <c r="A235" s="1" t="s">
        <v>90</v>
      </c>
    </row>
    <row r="236" customFormat="false" ht="12.75" hidden="false" customHeight="false" outlineLevel="0" collapsed="false">
      <c r="A236" s="1" t="s">
        <v>91</v>
      </c>
    </row>
    <row r="237" customFormat="false" ht="12.75" hidden="false" customHeight="false" outlineLevel="0" collapsed="false">
      <c r="A237" s="1" t="s">
        <v>92</v>
      </c>
    </row>
    <row r="238" customFormat="false" ht="12.75" hidden="false" customHeight="false" outlineLevel="0" collapsed="false">
      <c r="A238" s="1" t="s">
        <v>93</v>
      </c>
    </row>
    <row r="239" customFormat="false" ht="12.75" hidden="false" customHeight="false" outlineLevel="0" collapsed="false">
      <c r="A239" s="1" t="s">
        <v>94</v>
      </c>
    </row>
    <row r="240" customFormat="false" ht="12.75" hidden="false" customHeight="false" outlineLevel="0" collapsed="false">
      <c r="A240" s="1" t="s">
        <v>95</v>
      </c>
    </row>
    <row r="241" customFormat="false" ht="12.75" hidden="false" customHeight="false" outlineLevel="0" collapsed="false">
      <c r="A241" s="1" t="s">
        <v>93</v>
      </c>
    </row>
    <row r="242" customFormat="false" ht="12.75" hidden="false" customHeight="false" outlineLevel="0" collapsed="false">
      <c r="A242" s="1" t="s">
        <v>96</v>
      </c>
    </row>
    <row r="244" customFormat="false" ht="12.75" hidden="false" customHeight="false" outlineLevel="0" collapsed="false">
      <c r="A244" s="1" t="s">
        <v>97</v>
      </c>
    </row>
    <row r="246" customFormat="false" ht="12.75" hidden="false" customHeight="false" outlineLevel="0" collapsed="false">
      <c r="A246" s="1" t="s">
        <v>98</v>
      </c>
    </row>
    <row r="248" customFormat="false" ht="12.75" hidden="false" customHeight="false" outlineLevel="0" collapsed="false">
      <c r="A248" s="1" t="s">
        <v>99</v>
      </c>
    </row>
    <row r="249" customFormat="false" ht="12.75" hidden="false" customHeight="false" outlineLevel="0" collapsed="false">
      <c r="A249" s="1" t="s">
        <v>100</v>
      </c>
    </row>
    <row r="250" customFormat="false" ht="12.75" hidden="false" customHeight="false" outlineLevel="0" collapsed="false">
      <c r="A250" s="1" t="s">
        <v>101</v>
      </c>
    </row>
    <row r="251" customFormat="false" ht="12.75" hidden="false" customHeight="false" outlineLevel="0" collapsed="false">
      <c r="A251" s="1" t="s">
        <v>102</v>
      </c>
    </row>
    <row r="252" customFormat="false" ht="12.75" hidden="false" customHeight="false" outlineLevel="0" collapsed="false">
      <c r="A252" s="1" t="s">
        <v>103</v>
      </c>
    </row>
    <row r="254" customFormat="false" ht="12.75" hidden="false" customHeight="false" outlineLevel="0" collapsed="false">
      <c r="A254" s="1" t="s">
        <v>104</v>
      </c>
    </row>
    <row r="255" customFormat="false" ht="12.75" hidden="false" customHeight="false" outlineLevel="0" collapsed="false">
      <c r="A255" s="1" t="s">
        <v>105</v>
      </c>
    </row>
    <row r="256" customFormat="false" ht="12.75" hidden="false" customHeight="false" outlineLevel="0" collapsed="false">
      <c r="A256" s="1" t="s">
        <v>106</v>
      </c>
    </row>
    <row r="257" customFormat="false" ht="12.75" hidden="false" customHeight="false" outlineLevel="0" collapsed="false">
      <c r="A257" s="1" t="s">
        <v>107</v>
      </c>
    </row>
    <row r="258" customFormat="false" ht="12.75" hidden="false" customHeight="false" outlineLevel="0" collapsed="false">
      <c r="A258" s="1" t="s">
        <v>108</v>
      </c>
    </row>
    <row r="261" customFormat="false" ht="12.75" hidden="false" customHeight="false" outlineLevel="0" collapsed="false">
      <c r="A261" s="1" t="s">
        <v>109</v>
      </c>
    </row>
    <row r="262" customFormat="false" ht="12.75" hidden="false" customHeight="false" outlineLevel="0" collapsed="false">
      <c r="A262" s="1" t="s">
        <v>110</v>
      </c>
    </row>
    <row r="263" customFormat="false" ht="12.75" hidden="false" customHeight="false" outlineLevel="0" collapsed="false">
      <c r="A263" s="1" t="s">
        <v>111</v>
      </c>
    </row>
    <row r="264" customFormat="false" ht="12.75" hidden="false" customHeight="false" outlineLevel="0" collapsed="false">
      <c r="A264" s="1" t="s">
        <v>112</v>
      </c>
    </row>
    <row r="265" customFormat="false" ht="12.75" hidden="false" customHeight="false" outlineLevel="0" collapsed="false">
      <c r="A265" s="1" t="s">
        <v>113</v>
      </c>
    </row>
    <row r="267" customFormat="false" ht="12.75" hidden="false" customHeight="false" outlineLevel="0" collapsed="false">
      <c r="A267" s="1" t="s">
        <v>106</v>
      </c>
    </row>
    <row r="268" customFormat="false" ht="12.75" hidden="false" customHeight="false" outlineLevel="0" collapsed="false">
      <c r="A268" s="1" t="s">
        <v>107</v>
      </c>
    </row>
    <row r="269" customFormat="false" ht="12.75" hidden="false" customHeight="false" outlineLevel="0" collapsed="false">
      <c r="A269" s="1" t="s">
        <v>114</v>
      </c>
    </row>
    <row r="272" customFormat="false" ht="12.75" hidden="false" customHeight="false" outlineLevel="0" collapsed="false">
      <c r="A272" s="1" t="s">
        <v>115</v>
      </c>
    </row>
    <row r="273" customFormat="false" ht="12.75" hidden="false" customHeight="false" outlineLevel="0" collapsed="false">
      <c r="A273" s="1" t="s">
        <v>116</v>
      </c>
    </row>
    <row r="275" customFormat="false" ht="12.75" hidden="false" customHeight="false" outlineLevel="0" collapsed="false">
      <c r="A275" s="1" t="s">
        <v>117</v>
      </c>
    </row>
    <row r="277" customFormat="false" ht="12.75" hidden="false" customHeight="false" outlineLevel="0" collapsed="false">
      <c r="A277" s="1" t="s">
        <v>114</v>
      </c>
    </row>
    <row r="280" customFormat="false" ht="12.75" hidden="false" customHeight="false" outlineLevel="0" collapsed="false">
      <c r="A280" s="1" t="s">
        <v>118</v>
      </c>
    </row>
    <row r="281" customFormat="false" ht="12.75" hidden="false" customHeight="false" outlineLevel="0" collapsed="false">
      <c r="A281" s="1" t="s">
        <v>119</v>
      </c>
    </row>
    <row r="282" customFormat="false" ht="12.75" hidden="false" customHeight="false" outlineLevel="0" collapsed="false">
      <c r="A282" s="1" t="s">
        <v>120</v>
      </c>
    </row>
    <row r="283" customFormat="false" ht="12.75" hidden="false" customHeight="false" outlineLevel="0" collapsed="false">
      <c r="A283" s="1" t="s">
        <v>121</v>
      </c>
    </row>
    <row r="284" customFormat="false" ht="12.75" hidden="false" customHeight="false" outlineLevel="0" collapsed="false">
      <c r="A284" s="1" t="s">
        <v>114</v>
      </c>
    </row>
    <row r="285" customFormat="false" ht="12.75" hidden="false" customHeight="false" outlineLevel="0" collapsed="false">
      <c r="A285" s="1" t="s">
        <v>122</v>
      </c>
    </row>
    <row r="287" customFormat="false" ht="12.75" hidden="false" customHeight="false" outlineLevel="0" collapsed="false">
      <c r="A287" s="1" t="s">
        <v>123</v>
      </c>
    </row>
    <row r="288" customFormat="false" ht="12.75" hidden="false" customHeight="false" outlineLevel="0" collapsed="false">
      <c r="A288" s="1" t="s">
        <v>120</v>
      </c>
    </row>
    <row r="289" customFormat="false" ht="12.75" hidden="false" customHeight="false" outlineLevel="0" collapsed="false">
      <c r="A289" s="1" t="s">
        <v>124</v>
      </c>
    </row>
    <row r="291" customFormat="false" ht="12.75" hidden="false" customHeight="false" outlineLevel="0" collapsed="false">
      <c r="A291" s="1" t="s">
        <v>114</v>
      </c>
    </row>
    <row r="294" customFormat="false" ht="12.75" hidden="false" customHeight="false" outlineLevel="0" collapsed="false">
      <c r="A294" s="1" t="s">
        <v>125</v>
      </c>
    </row>
    <row r="295" customFormat="false" ht="12.75" hidden="false" customHeight="false" outlineLevel="0" collapsed="false">
      <c r="A295" s="1" t="s">
        <v>126</v>
      </c>
    </row>
    <row r="296" customFormat="false" ht="12.75" hidden="false" customHeight="false" outlineLevel="0" collapsed="false">
      <c r="A296" s="1" t="s">
        <v>127</v>
      </c>
    </row>
    <row r="298" customFormat="false" ht="12.75" hidden="false" customHeight="false" outlineLevel="0" collapsed="false">
      <c r="A298" s="1" t="s">
        <v>114</v>
      </c>
    </row>
    <row r="301" customFormat="false" ht="12.75" hidden="false" customHeight="false" outlineLevel="0" collapsed="false">
      <c r="A301" s="1" t="s">
        <v>128</v>
      </c>
    </row>
    <row r="302" customFormat="false" ht="12.75" hidden="false" customHeight="false" outlineLevel="0" collapsed="false">
      <c r="A302" s="1" t="s">
        <v>129</v>
      </c>
    </row>
    <row r="304" customFormat="false" ht="12.75" hidden="false" customHeight="false" outlineLevel="0" collapsed="false">
      <c r="A304" s="1" t="s">
        <v>130</v>
      </c>
    </row>
    <row r="305" customFormat="false" ht="12.75" hidden="false" customHeight="false" outlineLevel="0" collapsed="false">
      <c r="A305" s="1" t="s">
        <v>131</v>
      </c>
    </row>
    <row r="306" customFormat="false" ht="12.75" hidden="false" customHeight="false" outlineLevel="0" collapsed="false">
      <c r="A306" s="1" t="s">
        <v>114</v>
      </c>
    </row>
    <row r="309" customFormat="false" ht="12.75" hidden="false" customHeight="false" outlineLevel="0" collapsed="false">
      <c r="A309" s="1" t="s">
        <v>128</v>
      </c>
    </row>
    <row r="310" customFormat="false" ht="12.75" hidden="false" customHeight="false" outlineLevel="0" collapsed="false">
      <c r="A310" s="1" t="s">
        <v>132</v>
      </c>
    </row>
    <row r="311" customFormat="false" ht="12.75" hidden="false" customHeight="false" outlineLevel="0" collapsed="false">
      <c r="A311" s="1" t="s">
        <v>128</v>
      </c>
    </row>
    <row r="312" customFormat="false" ht="12.75" hidden="false" customHeight="false" outlineLevel="0" collapsed="false">
      <c r="A312" s="1" t="s">
        <v>133</v>
      </c>
    </row>
    <row r="314" customFormat="false" ht="12.75" hidden="false" customHeight="false" outlineLevel="0" collapsed="false">
      <c r="A314" s="1" t="s">
        <v>134</v>
      </c>
    </row>
    <row r="316" customFormat="false" ht="12.75" hidden="false" customHeight="false" outlineLevel="0" collapsed="false">
      <c r="A316" s="1" t="s">
        <v>114</v>
      </c>
    </row>
    <row r="319" customFormat="false" ht="12.75" hidden="false" customHeight="false" outlineLevel="0" collapsed="false">
      <c r="A319" s="1" t="s">
        <v>128</v>
      </c>
    </row>
    <row r="320" customFormat="false" ht="12.75" hidden="false" customHeight="false" outlineLevel="0" collapsed="false">
      <c r="A320" s="1" t="s">
        <v>135</v>
      </c>
    </row>
    <row r="321" customFormat="false" ht="12.75" hidden="false" customHeight="false" outlineLevel="0" collapsed="false">
      <c r="A321" s="1" t="s">
        <v>136</v>
      </c>
    </row>
    <row r="322" customFormat="false" ht="12.75" hidden="false" customHeight="false" outlineLevel="0" collapsed="false">
      <c r="A322" s="1" t="s">
        <v>137</v>
      </c>
    </row>
    <row r="324" customFormat="false" ht="12.75" hidden="false" customHeight="false" outlineLevel="0" collapsed="false">
      <c r="A324" s="1" t="s">
        <v>114</v>
      </c>
    </row>
    <row r="326" customFormat="false" ht="12.75" hidden="false" customHeight="false" outlineLevel="0" collapsed="false">
      <c r="A326" s="1" t="s">
        <v>138</v>
      </c>
    </row>
    <row r="329" customFormat="false" ht="12.75" hidden="false" customHeight="false" outlineLevel="0" collapsed="false">
      <c r="A329" s="1" t="s">
        <v>139</v>
      </c>
    </row>
    <row r="330" customFormat="false" ht="12.75" hidden="false" customHeight="false" outlineLevel="0" collapsed="false">
      <c r="A330" s="1" t="s">
        <v>140</v>
      </c>
    </row>
    <row r="331" customFormat="false" ht="12.75" hidden="false" customHeight="false" outlineLevel="0" collapsed="false">
      <c r="A331" s="1" t="s">
        <v>141</v>
      </c>
    </row>
    <row r="332" customFormat="false" ht="12.75" hidden="false" customHeight="false" outlineLevel="0" collapsed="false">
      <c r="A332" s="1" t="s">
        <v>142</v>
      </c>
    </row>
    <row r="333" customFormat="false" ht="12.75" hidden="false" customHeight="false" outlineLevel="0" collapsed="false">
      <c r="A333" s="1" t="s">
        <v>143</v>
      </c>
    </row>
    <row r="334" customFormat="false" ht="12.75" hidden="false" customHeight="false" outlineLevel="0" collapsed="false">
      <c r="A334" s="1" t="s">
        <v>144</v>
      </c>
    </row>
    <row r="335" customFormat="false" ht="12.75" hidden="false" customHeight="false" outlineLevel="0" collapsed="false">
      <c r="A335" s="1" t="s">
        <v>145</v>
      </c>
    </row>
    <row r="336" customFormat="false" ht="12.75" hidden="false" customHeight="false" outlineLevel="0" collapsed="false">
      <c r="A336" s="1" t="s">
        <v>89</v>
      </c>
    </row>
    <row r="337" customFormat="false" ht="12.75" hidden="false" customHeight="false" outlineLevel="0" collapsed="false">
      <c r="A337" s="1" t="s">
        <v>146</v>
      </c>
    </row>
    <row r="340" customFormat="false" ht="12.75" hidden="false" customHeight="false" outlineLevel="0" collapsed="false">
      <c r="A340" s="1" t="s">
        <v>147</v>
      </c>
    </row>
    <row r="342" customFormat="false" ht="12.75" hidden="false" customHeight="false" outlineLevel="0" collapsed="false">
      <c r="A342" s="1" t="s">
        <v>148</v>
      </c>
    </row>
    <row r="343" customFormat="false" ht="12.75" hidden="false" customHeight="false" outlineLevel="0" collapsed="false">
      <c r="A343" s="1" t="s">
        <v>149</v>
      </c>
    </row>
    <row r="344" customFormat="false" ht="12.75" hidden="false" customHeight="false" outlineLevel="0" collapsed="false">
      <c r="A344" s="1" t="s">
        <v>150</v>
      </c>
    </row>
    <row r="345" customFormat="false" ht="12.75" hidden="false" customHeight="false" outlineLevel="0" collapsed="false">
      <c r="A345" s="1" t="s">
        <v>151</v>
      </c>
    </row>
    <row r="346" customFormat="false" ht="12.75" hidden="false" customHeight="false" outlineLevel="0" collapsed="false">
      <c r="A346" s="1" t="s">
        <v>152</v>
      </c>
    </row>
    <row r="347" customFormat="false" ht="12.75" hidden="false" customHeight="false" outlineLevel="0" collapsed="false">
      <c r="A347" s="1" t="s">
        <v>89</v>
      </c>
    </row>
    <row r="348" customFormat="false" ht="12.75" hidden="false" customHeight="false" outlineLevel="0" collapsed="false">
      <c r="A348" s="1" t="s">
        <v>153</v>
      </c>
    </row>
    <row r="349" customFormat="false" ht="12.75" hidden="false" customHeight="false" outlineLevel="0" collapsed="false">
      <c r="A349" s="1" t="s">
        <v>154</v>
      </c>
    </row>
    <row r="350" customFormat="false" ht="12.75" hidden="false" customHeight="false" outlineLevel="0" collapsed="false">
      <c r="A350" s="1" t="s">
        <v>155</v>
      </c>
    </row>
    <row r="352" customFormat="false" ht="12.75" hidden="false" customHeight="false" outlineLevel="0" collapsed="false">
      <c r="A352" s="1" t="s">
        <v>114</v>
      </c>
    </row>
    <row r="355" customFormat="false" ht="12.75" hidden="false" customHeight="false" outlineLevel="0" collapsed="false">
      <c r="A355" s="1" t="s">
        <v>138</v>
      </c>
    </row>
    <row r="361" customFormat="false" ht="12.75" hidden="false" customHeight="false" outlineLevel="0" collapsed="false">
      <c r="A361" s="1" t="s">
        <v>156</v>
      </c>
    </row>
  </sheetData>
  <sheetProtection sheet="true" password="c6ac"/>
  <mergeCells count="56">
    <mergeCell ref="C2:D3"/>
    <mergeCell ref="M2:P2"/>
    <mergeCell ref="L3:M3"/>
    <mergeCell ref="C4:D4"/>
    <mergeCell ref="M4:P4"/>
    <mergeCell ref="C5:D5"/>
    <mergeCell ref="M5:N5"/>
    <mergeCell ref="O5:P5"/>
    <mergeCell ref="C6:D6"/>
    <mergeCell ref="M6:N6"/>
    <mergeCell ref="O6:P6"/>
    <mergeCell ref="C7:D7"/>
    <mergeCell ref="M7:N7"/>
    <mergeCell ref="O7:P7"/>
    <mergeCell ref="C8:D8"/>
    <mergeCell ref="M8:N8"/>
    <mergeCell ref="O8:P8"/>
    <mergeCell ref="C9:D9"/>
    <mergeCell ref="M9:N9"/>
    <mergeCell ref="O9:P9"/>
    <mergeCell ref="C10:D10"/>
    <mergeCell ref="N11:O11"/>
    <mergeCell ref="N12:O12"/>
    <mergeCell ref="C13:D13"/>
    <mergeCell ref="N13:O13"/>
    <mergeCell ref="C14:D14"/>
    <mergeCell ref="N14:O14"/>
    <mergeCell ref="N15:O15"/>
    <mergeCell ref="C16:D16"/>
    <mergeCell ref="C17:D17"/>
    <mergeCell ref="M17:N17"/>
    <mergeCell ref="O17:P17"/>
    <mergeCell ref="C18:D18"/>
    <mergeCell ref="M18:N18"/>
    <mergeCell ref="O18:P18"/>
    <mergeCell ref="C19:D19"/>
    <mergeCell ref="M19:N19"/>
    <mergeCell ref="O19:P19"/>
    <mergeCell ref="C20:D20"/>
    <mergeCell ref="M20:N20"/>
    <mergeCell ref="O20:P20"/>
    <mergeCell ref="C21:D21"/>
    <mergeCell ref="M21:N21"/>
    <mergeCell ref="O21:P21"/>
    <mergeCell ref="C22:D22"/>
    <mergeCell ref="M22:N22"/>
    <mergeCell ref="O22:P22"/>
    <mergeCell ref="C23:D23"/>
    <mergeCell ref="M23:N23"/>
    <mergeCell ref="O23:P23"/>
    <mergeCell ref="M24:N24"/>
    <mergeCell ref="O24:P24"/>
    <mergeCell ref="C26:D26"/>
    <mergeCell ref="H26:I26"/>
    <mergeCell ref="H27:I27"/>
    <mergeCell ref="H33:I34"/>
  </mergeCells>
  <conditionalFormatting sqref="I28">
    <cfRule type="expression" priority="2" aboveAverage="0" equalAverage="0" bottom="0" percent="0" rank="0" text="" dxfId="0">
      <formula>OR(Cn0&lt;CritCnmin,Cn0&gt;CritCnmax)</formula>
    </cfRule>
  </conditionalFormatting>
  <conditionalFormatting sqref="D17">
    <cfRule type="expression" priority="3" aboveAverage="0" equalAverage="0" bottom="0" percent="0" rank="0" text="" dxfId="1">
      <formula>D202</formula>
    </cfRule>
  </conditionalFormatting>
  <conditionalFormatting sqref="C29 C27">
    <cfRule type="cellIs" priority="4" operator="equal" aboveAverage="0" equalAverage="0" bottom="0" percent="0" rank="0" text="" dxfId="2">
      <formula>109</formula>
    </cfRule>
  </conditionalFormatting>
  <conditionalFormatting sqref="C28">
    <cfRule type="cellIs" priority="5" operator="equal" aboveAverage="0" equalAverage="0" bottom="0" percent="0" rank="0" text="" dxfId="3">
      <formula>59</formula>
    </cfRule>
  </conditionalFormatting>
  <conditionalFormatting sqref="C30">
    <cfRule type="cellIs" priority="6" operator="equal" aboveAverage="0" equalAverage="0" bottom="0" percent="0" rank="0" text="" dxfId="4">
      <formula>99</formula>
    </cfRule>
  </conditionalFormatting>
  <conditionalFormatting sqref="C23:D23 C14 C34">
    <cfRule type="cellIs" priority="7" operator="equal" aboveAverage="0" equalAverage="0" bottom="0" percent="0" rank="0" text="" dxfId="5">
      <formula>59</formula>
    </cfRule>
  </conditionalFormatting>
  <conditionalFormatting sqref="C22:D22">
    <cfRule type="cellIs" priority="8" operator="equal" aboveAverage="0" equalAverage="0" bottom="0" percent="0" rank="0" text="" dxfId="6">
      <formula>199</formula>
    </cfRule>
  </conditionalFormatting>
  <conditionalFormatting sqref="C13:D13 C18 C33">
    <cfRule type="cellIs" priority="9" operator="equal" aboveAverage="0" equalAverage="0" bottom="0" percent="0" rank="0" text="" dxfId="7">
      <formula>1001</formula>
    </cfRule>
  </conditionalFormatting>
  <conditionalFormatting sqref="C12">
    <cfRule type="cellIs" priority="10" operator="equal" aboveAverage="0" equalAverage="0" bottom="0" percent="0" rank="0" text="" dxfId="8">
      <formula>639</formula>
    </cfRule>
  </conditionalFormatting>
  <conditionalFormatting sqref="C11">
    <cfRule type="cellIs" priority="11" operator="equal" aboveAverage="0" equalAverage="0" bottom="0" percent="0" rank="0" text="" dxfId="9">
      <formula>359</formula>
    </cfRule>
    <cfRule type="expression" priority="12" aboveAverage="0" equalAverage="0" bottom="0" percent="0" rank="0" text="" dxfId="10">
      <formula>OR(MasseSans&lt;MpropuVide, MasseSans&gt;20*MpropuPlein)</formula>
    </cfRule>
  </conditionalFormatting>
  <conditionalFormatting sqref="N36">
    <cfRule type="expression" priority="13" aboveAverage="0" equalAverage="0" bottom="0" percent="0" rank="0" text="" dxfId="11">
      <formula>ROUND(SUM(C2:P25)+SUM(C27:P35),0)=8637</formula>
    </cfRule>
  </conditionalFormatting>
  <conditionalFormatting sqref="B14:D14 B34:C34">
    <cfRule type="expression" priority="14" aboveAverage="0" equalAverage="0" bottom="0" percent="0" rank="0" text="" dxfId="12">
      <formula>AND(IF(RIGHT(Nb_diam,1)=",",1),IF(LEFT(Type_masquage,1)="M",1))</formula>
    </cfRule>
  </conditionalFormatting>
  <conditionalFormatting sqref="M5:P5">
    <cfRule type="expression" priority="15" aboveAverage="0" equalAverage="0" bottom="0" percent="0" rank="0" text="" dxfId="13">
      <formula>IF(RIGHT(Nb_diam,1)=",",1)</formula>
    </cfRule>
  </conditionalFormatting>
  <conditionalFormatting sqref="I30">
    <cfRule type="expression" priority="16" aboveAverage="0" equalAverage="0" bottom="0" percent="0" rank="0" text="" dxfId="14">
      <formula>OR(MS_Cn_max&lt;CritMsCnmin,MS_Cn_max&gt;CritMsCnmax)</formula>
    </cfRule>
  </conditionalFormatting>
  <conditionalFormatting sqref="H30">
    <cfRule type="expression" priority="17" aboveAverage="0" equalAverage="0" bottom="0" percent="0" rank="0" text="" dxfId="15">
      <formula>OR(MS_Cn_min&lt;CritMsCnmin,MS_Cn_min&gt;CritMsCnmax)</formula>
    </cfRule>
  </conditionalFormatting>
  <conditionalFormatting sqref="I29">
    <cfRule type="expression" priority="18" aboveAverage="0" equalAverage="0" bottom="0" percent="0" rank="0" text="" dxfId="16">
      <formula>OR(MS_max&lt;CritMsmin,MS_max&gt;CritMsmax)</formula>
    </cfRule>
  </conditionalFormatting>
  <conditionalFormatting sqref="H29">
    <cfRule type="expression" priority="19" aboveAverage="0" equalAverage="0" bottom="0" percent="0" rank="0" text="" dxfId="17">
      <formula>OR(MS_min&lt;CritMsmin,MS_min&gt;CritMsmax)</formula>
    </cfRule>
  </conditionalFormatting>
  <conditionalFormatting sqref="H28">
    <cfRule type="expression" priority="20" aboveAverage="0" equalAverage="0" bottom="0" percent="0" rank="0" text="" dxfId="18">
      <formula>OR(Cn&lt;CritCnmin,Cn&gt;CritCnmax)</formula>
    </cfRule>
  </conditionalFormatting>
  <conditionalFormatting sqref="H27:I27">
    <cfRule type="expression" priority="21" aboveAverage="0" equalAverage="0" bottom="0" percent="0" rank="0" text="" dxfId="19">
      <formula>OR(Finesse&lt;CritFinessemin,Finesse&gt;CritFinessemax)</formula>
    </cfRule>
  </conditionalFormatting>
  <conditionalFormatting sqref="L6:P9">
    <cfRule type="expression" priority="22" aboveAverage="0" equalAverage="0" bottom="0" percent="0" rank="0" text="" dxfId="20">
      <formula>IF(RIGHT(Nb_diam,1)=",",1)</formula>
    </cfRule>
  </conditionalFormatting>
  <conditionalFormatting sqref="H33:I34">
    <cfRule type="expression" priority="23" aboveAverage="0" equalAverage="0" bottom="0" percent="0" rank="0" text="" dxfId="21">
      <formula>$H$33="STABLE"</formula>
    </cfRule>
  </conditionalFormatting>
  <conditionalFormatting sqref="L23:P24">
    <cfRule type="expression" priority="24" aboveAverage="0" equalAverage="0" bottom="0" percent="0" rank="0" text="" dxfId="22">
      <formula>IF(RIGHT(Nb_diam,1)=",",1)</formula>
    </cfRule>
  </conditionalFormatting>
  <conditionalFormatting sqref="D25:E25 D27:E34 B35:E35 L20:P22">
    <cfRule type="expression" priority="25" aboveAverage="0" equalAverage="0" bottom="0" percent="0" rank="0" text="" dxfId="23">
      <formula>IF(LEFT(Type_masquage,1)="M",1)</formula>
    </cfRule>
  </conditionalFormatting>
  <conditionalFormatting sqref="O36 M36">
    <cfRule type="expression" priority="26" aboveAverage="0" equalAverage="0" bottom="0" percent="0" rank="0" text="" dxfId="24">
      <formula>$M$36="propu NOK"</formula>
    </cfRule>
  </conditionalFormatting>
  <conditionalFormatting sqref="C17">
    <cfRule type="expression" priority="27" aboveAverage="0" equalAverage="0" bottom="0" percent="0" rank="0" text="" dxfId="25">
      <formula>C204</formula>
    </cfRule>
  </conditionalFormatting>
  <conditionalFormatting sqref="L38:M38">
    <cfRule type="expression" priority="28" aboveAverage="0" equalAverage="0" bottom="0" percent="0" rank="0" text="" dxfId="26">
      <formula>OR(SUM($C$27:$C$32)=273, $H$33&lt;&gt;"STABLE")</formula>
    </cfRule>
  </conditionalFormatting>
  <dataValidations count="13">
    <dataValidation allowBlank="true" error="Tapez un entier entre 3 et 6." errorStyle="stop" operator="between" showDropDown="false" showErrorMessage="true" showInputMessage="true" sqref="C32:D32" type="whole">
      <formula1>3</formula1>
      <formula2>6</formula2>
    </dataValidation>
    <dataValidation allowBlank="true" error="Tapez uniquement la longueur, sans l'unité." errorStyle="stop" operator="notEqual" showDropDown="false" showErrorMessage="true" showInputMessage="true" sqref="C29:D29" type="decimal">
      <formula1>1E+100</formula1>
      <formula2>0</formula2>
    </dataValidation>
    <dataValidation allowBlank="true" error="Tapez uniquement la longueur, sans l'unité." errorStyle="stop" operator="greaterThanOrEqual" showDropDown="false" showErrorMessage="true" showInputMessage="true" sqref="M6:O9 C27:D28 C30:D31 C33:D34" type="decimal">
      <formula1>0</formula1>
      <formula2>0</formula2>
    </dataValidation>
    <dataValidation allowBlank="false" errorStyle="stop" operator="between" showDropDown="false" showErrorMessage="true" showInputMessage="true" sqref="C26:D26" type="list">
      <formula1>Menu_Empennage</formula1>
      <formula2>0</formula2>
    </dataValidation>
    <dataValidation allowBlank="false" errorStyle="stop" operator="between" showDropDown="false" showErrorMessage="true" showInputMessage="true" sqref="C17:D17" type="list">
      <formula1>Liste_propu</formula1>
      <formula2>0</formula2>
    </dataValidation>
    <dataValidation allowBlank="false" errorStyle="stop" operator="between" showDropDown="false" showErrorMessage="true" showInputMessage="true" sqref="M2" type="list">
      <formula1>Menu_Lang</formula1>
      <formula2>0</formula2>
    </dataValidation>
    <dataValidation allowBlank="false" error="Tapez uniquement la masse, sans l'unité." errorStyle="stop" errorTitle="Masse de la Fusée" operator="between" showDropDown="false" showErrorMessage="true" showInputMessage="true" sqref="C11" type="decimal">
      <formula1>0</formula1>
      <formula2>50000</formula2>
    </dataValidation>
    <dataValidation allowBlank="false" error="Tapez uniquement la longueur, sans l'unité." errorStyle="stop" operator="greaterThan" showDropDown="false" showErrorMessage="true" showInputMessage="true" sqref="C12:C13 D13 C22:D23" type="decimal">
      <formula1>0</formula1>
      <formula2>0</formula2>
    </dataValidation>
    <dataValidation allowBlank="false" errorStyle="stop" operator="between" showDropDown="false" showErrorMessage="true" showInputMessage="true" sqref="D11:D12" type="list">
      <formula1>Menu_with_motor</formula1>
      <formula2>0</formula2>
    </dataValidation>
    <dataValidation allowBlank="false" errorStyle="stop" operator="between" showDropDown="false" showErrorMessage="true" showInputMessage="true" sqref="C10:D10" type="list">
      <formula1>Menu_Type</formula1>
      <formula2>0</formula2>
    </dataValidation>
    <dataValidation allowBlank="true" error="Tapez uniquement la longueur, sans l'unité." errorStyle="stop" operator="greaterThan" showDropDown="false" showErrorMessage="true" showInputMessage="true" sqref="C18" type="decimal">
      <formula1>0</formula1>
      <formula2>0</formula2>
    </dataValidation>
    <dataValidation allowBlank="false" errorStyle="stop" operator="between" showDropDown="false" showErrorMessage="true" showInputMessage="true" sqref="C21:D21" type="list">
      <formula1>Menu_Ogive</formula1>
      <formula2>0</formula2>
    </dataValidation>
    <dataValidation allowBlank="false" errorStyle="stop" operator="between" showDropDown="false" showErrorMessage="true" showInputMessage="true" sqref="M4" type="list">
      <formula1>Menu_Transitions</formula1>
      <formula2>0</formula2>
    </dataValidation>
  </dataValidations>
  <hyperlinks>
    <hyperlink ref="M38" location="Trajecto!C25" display="Trajecto"/>
  </hyperlinks>
  <printOptions headings="false" gridLines="false" gridLinesSet="true" horizontalCentered="true" verticalCentered="true"/>
  <pageMargins left="0.0784722222222222" right="0.0784722222222222" top="0.0784722222222222" bottom="0.0784722222222222"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R199"/>
  <sheetViews>
    <sheetView showFormulas="false" showGridLines="false" showRowColHeaders="true" showZeros="true" rightToLeft="false" tabSelected="false" showOutlineSymbols="true" defaultGridColor="true" view="normal" topLeftCell="B1" colorId="64" zoomScale="100" zoomScaleNormal="100" zoomScalePageLayoutView="100" workbookViewId="0">
      <selection pane="topLeft" activeCell="D26" activeCellId="0" sqref="D26"/>
    </sheetView>
  </sheetViews>
  <sheetFormatPr defaultColWidth="11.36328125" defaultRowHeight="12" zeroHeight="false" outlineLevelRow="0" outlineLevelCol="0"/>
  <cols>
    <col collapsed="false" customWidth="true" hidden="false" outlineLevel="0" max="1" min="1" style="165" width="2.18"/>
    <col collapsed="false" customWidth="true" hidden="false" outlineLevel="0" max="2" min="2" style="165" width="16.27"/>
    <col collapsed="false" customWidth="false" hidden="false" outlineLevel="0" max="4" min="3" style="165" width="11.36"/>
    <col collapsed="false" customWidth="true" hidden="false" outlineLevel="0" max="5" min="5" style="165" width="2.73"/>
    <col collapsed="false" customWidth="true" hidden="false" outlineLevel="0" max="7" min="6" style="165" width="12.82"/>
    <col collapsed="false" customWidth="true" hidden="false" outlineLevel="0" max="13" min="8" style="165" width="10.73"/>
    <col collapsed="false" customWidth="true" hidden="false" outlineLevel="0" max="15" min="14" style="165" width="2.18"/>
    <col collapsed="false" customWidth="true" hidden="false" outlineLevel="0" max="17" min="16" style="165" width="14.27"/>
    <col collapsed="false" customWidth="false" hidden="false" outlineLevel="0" max="16384" min="18" style="165" width="11.36"/>
  </cols>
  <sheetData>
    <row r="1" customFormat="false" ht="12.75" hidden="false" customHeight="false" outlineLevel="0" collapsed="false">
      <c r="A1" s="166"/>
      <c r="B1" s="167"/>
      <c r="C1" s="168"/>
      <c r="D1" s="167"/>
      <c r="E1" s="169"/>
      <c r="F1" s="169"/>
      <c r="G1" s="169"/>
      <c r="H1" s="169"/>
      <c r="I1" s="169"/>
      <c r="J1" s="169"/>
      <c r="K1" s="169"/>
      <c r="L1" s="169"/>
      <c r="M1" s="169"/>
      <c r="N1" s="170"/>
    </row>
    <row r="2" customFormat="false" ht="12.75" hidden="false" customHeight="true" outlineLevel="0" collapsed="false">
      <c r="A2" s="171"/>
      <c r="B2" s="172"/>
      <c r="C2" s="173" t="s">
        <v>157</v>
      </c>
      <c r="D2" s="173"/>
      <c r="E2" s="174"/>
      <c r="F2" s="175"/>
      <c r="G2" s="174"/>
      <c r="H2" s="174"/>
      <c r="I2" s="174"/>
      <c r="J2" s="176"/>
      <c r="K2" s="174"/>
      <c r="L2" s="174"/>
      <c r="M2" s="174"/>
      <c r="N2" s="177"/>
    </row>
    <row r="3" customFormat="false" ht="12.75" hidden="false" customHeight="true" outlineLevel="0" collapsed="false">
      <c r="A3" s="171"/>
      <c r="B3" s="172"/>
      <c r="C3" s="173"/>
      <c r="D3" s="173"/>
      <c r="E3" s="178"/>
      <c r="F3" s="178"/>
      <c r="G3" s="178"/>
      <c r="H3" s="179"/>
      <c r="I3" s="178"/>
      <c r="J3" s="176"/>
      <c r="K3" s="174"/>
      <c r="L3" s="174"/>
      <c r="M3" s="174"/>
      <c r="N3" s="177"/>
    </row>
    <row r="4" customFormat="false" ht="12.75" hidden="false" customHeight="true" outlineLevel="0" collapsed="false">
      <c r="A4" s="171"/>
      <c r="B4" s="172"/>
      <c r="C4" s="180" t="str">
        <f aca="false">IF(Lang="Français","Trajectographie de fusée",IF(Lang="English","Rocket Trajectography",""))</f>
        <v>Trajectographie de fusée</v>
      </c>
      <c r="D4" s="180"/>
      <c r="E4" s="178"/>
      <c r="F4" s="178"/>
      <c r="G4" s="178"/>
      <c r="H4" s="179"/>
      <c r="I4" s="178"/>
      <c r="J4" s="176"/>
      <c r="K4" s="174"/>
      <c r="L4" s="174"/>
      <c r="M4" s="174"/>
      <c r="N4" s="177"/>
    </row>
    <row r="5" customFormat="false" ht="12.75" hidden="false" customHeight="true" outlineLevel="0" collapsed="false">
      <c r="A5" s="171"/>
      <c r="B5" s="172"/>
      <c r="C5" s="174"/>
      <c r="D5" s="174"/>
      <c r="E5" s="178"/>
      <c r="F5" s="178"/>
      <c r="G5" s="174"/>
      <c r="H5" s="174"/>
      <c r="I5" s="178"/>
      <c r="J5" s="176"/>
      <c r="K5" s="174"/>
      <c r="L5" s="174"/>
      <c r="M5" s="174"/>
      <c r="N5" s="177"/>
    </row>
    <row r="6" customFormat="false" ht="12.75" hidden="false" customHeight="true" outlineLevel="0" collapsed="false">
      <c r="A6" s="171"/>
      <c r="B6" s="19"/>
      <c r="C6" s="181" t="str">
        <f aca="false">IF(Lang="Français","Remplir les cases jaunes",IF(Lang="English","Fill-in yellow cells only",""))</f>
        <v>Remplir les cases jaunes</v>
      </c>
      <c r="D6" s="181"/>
      <c r="E6" s="178"/>
      <c r="F6" s="178"/>
      <c r="G6" s="174"/>
      <c r="H6" s="174"/>
      <c r="I6" s="178"/>
      <c r="J6" s="176"/>
      <c r="K6" s="174"/>
      <c r="L6" s="174"/>
      <c r="M6" s="174"/>
      <c r="N6" s="177"/>
    </row>
    <row r="7" customFormat="false" ht="12.75" hidden="false" customHeight="false" outlineLevel="0" collapsed="false">
      <c r="A7" s="171"/>
      <c r="B7" s="182"/>
      <c r="C7" s="183" t="str">
        <f aca="false">IF(Lang="Français","Fusée",IF(Lang="English","Rocket",""))</f>
        <v>Fusée</v>
      </c>
      <c r="D7" s="183"/>
      <c r="E7" s="178"/>
      <c r="F7" s="178"/>
      <c r="G7" s="174"/>
      <c r="H7" s="174"/>
      <c r="I7" s="178"/>
      <c r="J7" s="174"/>
      <c r="K7" s="174"/>
      <c r="L7" s="174"/>
      <c r="M7" s="174"/>
      <c r="N7" s="184"/>
    </row>
    <row r="8" customFormat="false" ht="12.75" hidden="false" customHeight="true" outlineLevel="0" collapsed="false">
      <c r="A8" s="171"/>
      <c r="B8" s="185" t="str">
        <f aca="false">IF(Lang="Français","Nom",IF(Lang="English","Name",""))</f>
        <v>Nom</v>
      </c>
      <c r="C8" s="186" t="str">
        <f aca="false">Nom</f>
        <v>Ma fusée</v>
      </c>
      <c r="D8" s="186"/>
      <c r="E8" s="179"/>
      <c r="F8" s="179"/>
      <c r="G8" s="174"/>
      <c r="H8" s="174"/>
      <c r="I8" s="178"/>
      <c r="J8" s="176"/>
      <c r="K8" s="174"/>
      <c r="L8" s="174"/>
      <c r="M8" s="174"/>
      <c r="N8" s="177"/>
    </row>
    <row r="9" customFormat="false" ht="12.75" hidden="false" customHeight="true" outlineLevel="0" collapsed="false">
      <c r="A9" s="187"/>
      <c r="B9" s="185" t="s">
        <v>6</v>
      </c>
      <c r="C9" s="186" t="str">
        <f aca="false">Club</f>
        <v>Mon club</v>
      </c>
      <c r="D9" s="186"/>
      <c r="E9" s="178"/>
      <c r="F9" s="188"/>
      <c r="G9" s="174"/>
      <c r="H9" s="174"/>
      <c r="I9" s="178"/>
      <c r="J9" s="174"/>
      <c r="K9" s="174"/>
      <c r="L9" s="174"/>
      <c r="M9" s="174"/>
      <c r="N9" s="184"/>
    </row>
    <row r="10" customFormat="false" ht="12.75" hidden="false" customHeight="true" outlineLevel="0" collapsed="false">
      <c r="A10" s="187"/>
      <c r="B10" s="185" t="str">
        <f aca="false">IF(Lang="Français","Masse totale",IF(Lang="English","Total Mass",""))</f>
        <v>Masse totale</v>
      </c>
      <c r="C10" s="189" t="n">
        <f aca="false">MassePlein</f>
        <v>9.685</v>
      </c>
      <c r="D10" s="189"/>
      <c r="E10" s="178"/>
      <c r="F10" s="188"/>
      <c r="G10" s="174"/>
      <c r="H10" s="174"/>
      <c r="I10" s="178"/>
      <c r="J10" s="174"/>
      <c r="K10" s="174"/>
      <c r="L10" s="174"/>
      <c r="M10" s="174"/>
      <c r="N10" s="184"/>
    </row>
    <row r="11" customFormat="false" ht="12.75" hidden="false" customHeight="true" outlineLevel="0" collapsed="false">
      <c r="A11" s="187"/>
      <c r="B11" s="190" t="str">
        <f aca="false">IF(Lang="Français","Propulseur",IF(Lang="English","Motor",""))</f>
        <v>Propulseur</v>
      </c>
      <c r="C11" s="191" t="str">
        <f aca="false">Propu</f>
        <v>Barasinga (Pro54-5G C)</v>
      </c>
      <c r="D11" s="191"/>
      <c r="E11" s="178"/>
      <c r="F11" s="188"/>
      <c r="G11" s="174"/>
      <c r="H11" s="174"/>
      <c r="I11" s="178"/>
      <c r="J11" s="174"/>
      <c r="K11" s="174"/>
      <c r="L11" s="174"/>
      <c r="M11" s="174"/>
      <c r="N11" s="184"/>
    </row>
    <row r="12" customFormat="false" ht="12.75" hidden="false" customHeight="true" outlineLevel="0" collapsed="false">
      <c r="A12" s="187"/>
      <c r="B12" s="174"/>
      <c r="C12" s="174"/>
      <c r="D12" s="174"/>
      <c r="E12" s="178"/>
      <c r="F12" s="188"/>
      <c r="G12" s="174"/>
      <c r="H12" s="174"/>
      <c r="I12" s="178"/>
      <c r="J12" s="174"/>
      <c r="K12" s="174"/>
      <c r="L12" s="174"/>
      <c r="M12" s="174"/>
      <c r="N12" s="184"/>
    </row>
    <row r="13" customFormat="false" ht="12.75" hidden="false" customHeight="true" outlineLevel="0" collapsed="false">
      <c r="A13" s="187"/>
      <c r="B13" s="192"/>
      <c r="C13" s="183" t="str">
        <f aca="false">IF(Lang="Français","Traînée Aérdynamique",IF(Lang="English","Drag",""))</f>
        <v>Traînée Aérdynamique</v>
      </c>
      <c r="D13" s="183"/>
      <c r="E13" s="178"/>
      <c r="F13" s="174"/>
      <c r="G13" s="174"/>
      <c r="H13" s="174"/>
      <c r="I13" s="178"/>
      <c r="J13" s="174"/>
      <c r="K13" s="174"/>
      <c r="L13" s="174"/>
      <c r="M13" s="174"/>
      <c r="N13" s="184"/>
    </row>
    <row r="14" customFormat="false" ht="12.75" hidden="false" customHeight="true" outlineLevel="0" collapsed="false">
      <c r="A14" s="187"/>
      <c r="B14" s="185" t="s">
        <v>158</v>
      </c>
      <c r="C14" s="193" t="n">
        <f aca="false">(PI()*D_ref^2/4+E_ail*ep_ail*Q_ail)/10^6</f>
        <v>0.00889398163397448</v>
      </c>
      <c r="D14" s="193"/>
      <c r="E14" s="178"/>
      <c r="F14" s="174"/>
      <c r="G14" s="174"/>
      <c r="H14" s="174"/>
      <c r="I14" s="178"/>
      <c r="J14" s="174"/>
      <c r="K14" s="174"/>
      <c r="L14" s="174"/>
      <c r="M14" s="174"/>
      <c r="N14" s="184"/>
    </row>
    <row r="15" customFormat="false" ht="12.75" hidden="false" customHeight="true" outlineLevel="0" collapsed="false">
      <c r="A15" s="187"/>
      <c r="B15" s="194" t="s">
        <v>159</v>
      </c>
      <c r="C15" s="195" t="n">
        <v>0.5</v>
      </c>
      <c r="D15" s="195"/>
      <c r="E15" s="178"/>
      <c r="F15" s="174"/>
      <c r="G15" s="174"/>
      <c r="H15" s="174"/>
      <c r="I15" s="178"/>
      <c r="J15" s="174"/>
      <c r="K15" s="174"/>
      <c r="L15" s="174"/>
      <c r="M15" s="174"/>
      <c r="N15" s="184"/>
    </row>
    <row r="16" customFormat="false" ht="12.75" hidden="false" customHeight="true" outlineLevel="0" collapsed="false">
      <c r="A16" s="187"/>
      <c r="B16" s="174"/>
      <c r="C16" s="174"/>
      <c r="D16" s="174"/>
      <c r="E16" s="178"/>
      <c r="F16" s="178"/>
      <c r="G16" s="174"/>
      <c r="H16" s="174"/>
      <c r="I16" s="178"/>
      <c r="J16" s="174"/>
      <c r="K16" s="174"/>
      <c r="L16" s="174"/>
      <c r="M16" s="174"/>
      <c r="N16" s="184"/>
    </row>
    <row r="17" customFormat="false" ht="12.75" hidden="false" customHeight="true" outlineLevel="0" collapsed="false">
      <c r="A17" s="187"/>
      <c r="B17" s="192"/>
      <c r="C17" s="183" t="str">
        <f aca="false">IF(Lang="Français","Rampe de Lancement",IF(Lang="English","Launch Pad",""))</f>
        <v>Rampe de Lancement</v>
      </c>
      <c r="D17" s="183"/>
      <c r="E17" s="178"/>
      <c r="F17" s="174"/>
      <c r="G17" s="174"/>
      <c r="H17" s="174"/>
      <c r="I17" s="178"/>
      <c r="J17" s="174"/>
      <c r="K17" s="174"/>
      <c r="L17" s="174"/>
      <c r="M17" s="174"/>
      <c r="N17" s="184"/>
    </row>
    <row r="18" customFormat="false" ht="12.75" hidden="false" customHeight="true" outlineLevel="0" collapsed="false">
      <c r="A18" s="187"/>
      <c r="B18" s="185" t="str">
        <f aca="false">IF(Lang="Français","Longueur",IF(Lang="English","Length",""))</f>
        <v>Longueur</v>
      </c>
      <c r="C18" s="196" t="n">
        <f aca="false">IF(RIGHT(Type_fusee,1)=".",4, IF(LEFT(Type_fusee,4)="Mini",2.5, IF(LEFT(Type_fusee,5)="Micro",1, IF(RIGHT(Type_fusee,1)=" ",0.1,IF(LEFT(Type_fusee,1)="R",3, 2.5)))))</f>
        <v>4</v>
      </c>
      <c r="D18" s="196"/>
      <c r="E18" s="178"/>
      <c r="F18" s="174"/>
      <c r="G18" s="174"/>
      <c r="H18" s="174"/>
      <c r="I18" s="178"/>
      <c r="J18" s="174"/>
      <c r="K18" s="174"/>
      <c r="L18" s="174"/>
      <c r="M18" s="174"/>
      <c r="N18" s="184"/>
    </row>
    <row r="19" customFormat="false" ht="12.75" hidden="false" customHeight="true" outlineLevel="0" collapsed="false">
      <c r="A19" s="187"/>
      <c r="B19" s="185" t="str">
        <f aca="false">IF(Lang="Français","Élévation",IF(Lang="English","Angle /horizon",""))</f>
        <v>Élévation</v>
      </c>
      <c r="C19" s="197" t="n">
        <v>80</v>
      </c>
      <c r="D19" s="197"/>
      <c r="E19" s="178"/>
      <c r="F19" s="174"/>
      <c r="G19" s="174"/>
      <c r="H19" s="174"/>
      <c r="I19" s="178"/>
      <c r="J19" s="174"/>
      <c r="K19" s="174"/>
      <c r="L19" s="174"/>
      <c r="M19" s="174"/>
      <c r="N19" s="184"/>
    </row>
    <row r="20" customFormat="false" ht="12.75" hidden="false" customHeight="true" outlineLevel="0" collapsed="false">
      <c r="A20" s="187"/>
      <c r="B20" s="185" t="s">
        <v>160</v>
      </c>
      <c r="C20" s="196" t="n">
        <v>0</v>
      </c>
      <c r="D20" s="196"/>
      <c r="E20" s="178"/>
      <c r="F20" s="178"/>
      <c r="G20" s="174"/>
      <c r="H20" s="174"/>
      <c r="I20" s="178"/>
      <c r="J20" s="174"/>
      <c r="K20" s="174"/>
      <c r="L20" s="174"/>
      <c r="M20" s="174"/>
      <c r="N20" s="184"/>
    </row>
    <row r="21" customFormat="false" ht="12.75" hidden="false" customHeight="true" outlineLevel="0" collapsed="false">
      <c r="A21" s="187"/>
      <c r="B21" s="174"/>
      <c r="C21" s="174"/>
      <c r="D21" s="174"/>
      <c r="E21" s="174"/>
      <c r="F21" s="198" t="str">
        <f aca="false">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G21" s="174"/>
      <c r="H21" s="174"/>
      <c r="I21" s="174"/>
      <c r="J21" s="174"/>
      <c r="K21" s="174"/>
      <c r="L21" s="174"/>
      <c r="M21" s="174"/>
      <c r="N21" s="184"/>
    </row>
    <row r="22" customFormat="false" ht="12.75" hidden="false" customHeight="false" outlineLevel="0" collapsed="false">
      <c r="A22" s="187"/>
      <c r="B22" s="174"/>
      <c r="C22" s="199" t="str">
        <f aca="false">IF(Lang="Français","DescenteSousParachute",IF(Lang="English","Over Parachute",""))</f>
        <v>DescenteSousParachute</v>
      </c>
      <c r="D22" s="199"/>
      <c r="E22" s="174"/>
      <c r="F22" s="200"/>
      <c r="G22" s="201" t="n">
        <f aca="true">TODAY()</f>
        <v>45115</v>
      </c>
      <c r="H22" s="202" t="str">
        <f aca="false">IF(Lang="Français","Temps",IF(Lang="English","Time",""))</f>
        <v>Temps</v>
      </c>
      <c r="I22" s="202" t="s">
        <v>161</v>
      </c>
      <c r="J22" s="202" t="str">
        <f aca="false">IF(Lang="Français","Portée x",IF(Lang="English","Range x",""))</f>
        <v>Portée x</v>
      </c>
      <c r="K22" s="202" t="str">
        <f aca="false">IF(Lang="Français","Vitesse",IF(Lang="English","Velocity",""))</f>
        <v>Vitesse</v>
      </c>
      <c r="L22" s="203" t="s">
        <v>162</v>
      </c>
      <c r="M22" s="204" t="s">
        <v>163</v>
      </c>
      <c r="N22" s="184"/>
    </row>
    <row r="23" customFormat="false" ht="12.75" hidden="false" customHeight="false" outlineLevel="0" collapsed="false">
      <c r="A23" s="187"/>
      <c r="B23" s="192"/>
      <c r="C23" s="205" t="str">
        <f aca="false">C7</f>
        <v>Fusée</v>
      </c>
      <c r="D23" s="206" t="s">
        <v>164</v>
      </c>
      <c r="E23" s="174"/>
      <c r="F23" s="207" t="str">
        <f aca="false">IF(Lang="Français","Sortie de Rampe",IF(Lang="English","Launch-Pad Exit",""))</f>
        <v>Sortie de Rampe</v>
      </c>
      <c r="G23" s="207"/>
      <c r="H23" s="208"/>
      <c r="I23" s="208"/>
      <c r="J23" s="208"/>
      <c r="K23" s="209" t="n">
        <f aca="false">INDEX(vit_xz,MATCH("Sortie de rampe",Event,0))</f>
        <v>25.0361140400673</v>
      </c>
      <c r="L23" s="210"/>
      <c r="M23" s="211"/>
      <c r="N23" s="184"/>
    </row>
    <row r="24" customFormat="false" ht="12.75" hidden="false" customHeight="false" outlineLevel="0" collapsed="false">
      <c r="A24" s="187"/>
      <c r="B24" s="212" t="str">
        <f aca="false">IF(Lang="Français","Masse",IF(Lang="English","Mass",""))</f>
        <v>Masse</v>
      </c>
      <c r="C24" s="213" t="n">
        <f aca="false">IF(Nb_sat="0 satellite",MasseVide,MasseVide-m_satellite)</f>
        <v>8.652</v>
      </c>
      <c r="D24" s="214" t="n">
        <f aca="false">IF(RIGHT(Type_fusee,1)=".",1,0.15)</f>
        <v>1</v>
      </c>
      <c r="E24" s="198" t="str">
        <f aca="false">IF(ABS(T_satellite-0.11-T_para)&lt;0.1,"Pb!","")</f>
        <v/>
      </c>
      <c r="F24" s="207" t="str">
        <f aca="false">IF(Lang="Français","Vit max &amp; Acc max",IF(Lang="English","Max Velocity &amp; Acc",""))</f>
        <v>Vit max &amp; Acc max</v>
      </c>
      <c r="G24" s="207"/>
      <c r="H24" s="208"/>
      <c r="I24" s="208"/>
      <c r="J24" s="208"/>
      <c r="K24" s="215" t="n">
        <f aca="false">MAX(vit_xz)</f>
        <v>176.528323408766</v>
      </c>
      <c r="L24" s="216" t="n">
        <f aca="false">MAX(acc_xz)</f>
        <v>82.5828910827605</v>
      </c>
      <c r="M24" s="211"/>
      <c r="N24" s="184"/>
    </row>
    <row r="25" customFormat="false" ht="12.75" hidden="false" customHeight="false" outlineLevel="0" collapsed="false">
      <c r="A25" s="187"/>
      <c r="B25" s="217" t="str">
        <f aca="false">IF(Lang="Français","Dépotage",IF(Lang="English","Delay",""))</f>
        <v>Dépotage</v>
      </c>
      <c r="C25" s="218" t="s">
        <v>165</v>
      </c>
      <c r="D25" s="219"/>
      <c r="E25" s="174"/>
      <c r="F25" s="220" t="str">
        <f aca="false">IF(Lang="Français","Largage du satellite",IF(Lang="English","Satellite separation",""))</f>
        <v>Largage du satellite</v>
      </c>
      <c r="G25" s="220"/>
      <c r="H25" s="221" t="n">
        <f aca="false">IF(T_satellite&lt;&gt;0,T_satellite,"")</f>
        <v>3.5</v>
      </c>
      <c r="I25" s="222" t="n">
        <f aca="false">IF(T_satellite&lt;&gt;0,INDEX(pos_z,MATCH("Satellite",Event_sat,0)),"")</f>
        <v>373.481588929917</v>
      </c>
      <c r="J25" s="223" t="n">
        <f aca="false">IF(T_satellite&lt;&gt;0,INDEX(pos_x,MATCH("Satellite",Event_sat,0)),"")</f>
        <v>84.4174345149504</v>
      </c>
      <c r="K25" s="224" t="n">
        <f aca="false">IF(T_satellite&lt;&gt;0,INDEX(vit_xz,MATCH("Satellite",Event_sat,0)),"")</f>
        <v>175.233862532624</v>
      </c>
      <c r="L25" s="225"/>
      <c r="M25" s="226" t="n">
        <f aca="false">1/2*Rho_moyen*1*V_ouv_sat^2*S_satellite</f>
        <v>1880.79802790878</v>
      </c>
      <c r="N25" s="184"/>
    </row>
    <row r="26" customFormat="false" ht="12.75" hidden="false" customHeight="false" outlineLevel="0" collapsed="false">
      <c r="A26" s="187"/>
      <c r="B26" s="227" t="str">
        <f aca="false">IF(Lang="Français","Ouverture para",IF(Lang="English","Opening time",""))</f>
        <v>Ouverture para</v>
      </c>
      <c r="C26" s="228" t="n">
        <v>16</v>
      </c>
      <c r="D26" s="228" t="n">
        <v>3.5</v>
      </c>
      <c r="E26" s="174"/>
      <c r="F26" s="207" t="s">
        <v>166</v>
      </c>
      <c r="G26" s="207"/>
      <c r="H26" s="229" t="n">
        <f aca="false">INDEX(t,MATCH("Apogée",Event,0))</f>
        <v>17.2999999999999</v>
      </c>
      <c r="I26" s="230" t="n">
        <f aca="false">INDEX(pos_z,MATCH("Apogée",Event,0))</f>
        <v>1422.92722994048</v>
      </c>
      <c r="J26" s="231" t="n">
        <f aca="false">INDEX(pos_x,MATCH("Apogée",Event,0))</f>
        <v>549.811237619521</v>
      </c>
      <c r="K26" s="232" t="n">
        <f aca="false">INDEX(vit_xz,MATCH("Apogée",Event,0))</f>
        <v>29.7850604961553</v>
      </c>
      <c r="L26" s="233"/>
      <c r="M26" s="211"/>
      <c r="N26" s="184"/>
    </row>
    <row r="27" customFormat="false" ht="12.75" hidden="false" customHeight="false" outlineLevel="0" collapsed="false">
      <c r="A27" s="187"/>
      <c r="B27" s="194" t="s">
        <v>167</v>
      </c>
      <c r="C27" s="234" t="n">
        <v>2</v>
      </c>
      <c r="D27" s="235" t="n">
        <f aca="false">IF(RIGHT(Type_fusee,1)=".",0.1,0.02)</f>
        <v>0.1</v>
      </c>
      <c r="E27" s="174"/>
      <c r="F27" s="236" t="str">
        <f aca="false">IF(Lang="Français","Ouverture parachute fusée",IF(Lang="English","Rocket parachute opening",""))</f>
        <v>Ouverture parachute fusée</v>
      </c>
      <c r="G27" s="236"/>
      <c r="H27" s="221" t="n">
        <f aca="false">T_para</f>
        <v>16</v>
      </c>
      <c r="I27" s="222" t="n">
        <f aca="false">INDEX(pos_z,MATCH("Para",Event_para,0))</f>
        <v>1414.34600412394</v>
      </c>
      <c r="J27" s="237" t="n">
        <f aca="false">INDEX(pos_x,MATCH("Para",Event_para,0))</f>
        <v>510.881361876531</v>
      </c>
      <c r="K27" s="224" t="n">
        <f aca="false">INDEX(vit_xz,MATCH("Para",Event_para,0))</f>
        <v>32.8119898389656</v>
      </c>
      <c r="L27" s="225"/>
      <c r="M27" s="226" t="n">
        <f aca="false">1/2*Rho_moyen*1*V_ouverture^2*S_para</f>
        <v>1318.86767956067</v>
      </c>
      <c r="N27" s="184"/>
      <c r="P27" s="238" t="str">
        <f aca="false">IF(V_para&lt;5, IF(Lang="Français","Parachute fusée trop grand !","Parachute too big!"), IF( V_para&gt;15, IF(Lang="Français","Parachute fusée trop petit !","Parachute too small!"), ""))</f>
        <v/>
      </c>
      <c r="R27" s="238" t="str">
        <f aca="false">IF(AND(Nb_sat="1 satellite", OR(V_satellite&lt;5)), IF(Lang="Français","Parachute satéllite trop grand !","Parachute too big"), IF(AND(Nb_sat="1 satellite",OR(V_satellite&gt;15)), IF(Lang="Français","Parachute satéllite trop petit !","Parachute too small!"), ""))</f>
        <v/>
      </c>
    </row>
    <row r="28" customFormat="false" ht="12.75" hidden="false" customHeight="false" outlineLevel="0" collapsed="false">
      <c r="A28" s="187"/>
      <c r="B28" s="194" t="s">
        <v>168</v>
      </c>
      <c r="C28" s="195" t="n">
        <v>1</v>
      </c>
      <c r="D28" s="195" t="n">
        <v>1</v>
      </c>
      <c r="E28" s="174"/>
      <c r="F28" s="239" t="str">
        <f aca="false">IF(Lang="Français","Impact balistique",IF(Lang="English","Balistic Impact",""))</f>
        <v>Impact balistique</v>
      </c>
      <c r="G28" s="239"/>
      <c r="H28" s="240" t="n">
        <f aca="false">INDEX(t,MATCH("Impact balistique",Event,0))</f>
        <v>35.7000000000002</v>
      </c>
      <c r="I28" s="241" t="s">
        <v>169</v>
      </c>
      <c r="J28" s="230" t="n">
        <f aca="false">INDEX(pos_x,MATCH("Impact balistique",Event,0))</f>
        <v>1017.12580762709</v>
      </c>
      <c r="K28" s="242" t="n">
        <f aca="false">K45</f>
        <v>138.159098222646</v>
      </c>
      <c r="L28" s="233"/>
      <c r="M28" s="243" t="n">
        <f aca="false">0.5*m_vide*K28^2</f>
        <v>82574.4129602509</v>
      </c>
      <c r="N28" s="184"/>
      <c r="P28" s="238" t="str">
        <f aca="false">IF( OR( V_para&lt;5, V_para&gt;15, AND(Nb_sat="1 satellite", OR(V_satellite&lt;5, V_satellite&gt;15))), IF(Lang="Français","La Vitesse de descente sous parachute doit être comprise entre 5 &amp; 15 m/s.","Fall Velocity with parachute must be between 5 &amp; 15 m/s."), "")</f>
        <v/>
      </c>
    </row>
    <row r="29" customFormat="false" ht="12.75" hidden="false" customHeight="false" outlineLevel="0" collapsed="false">
      <c r="A29" s="187"/>
      <c r="B29" s="194" t="str">
        <f aca="false">IF(Lang="Français","Vitesse du vent",IF(Lang="English","Wind speed",""))</f>
        <v>Vitesse du vent</v>
      </c>
      <c r="C29" s="244" t="n">
        <v>5</v>
      </c>
      <c r="D29" s="244" t="n">
        <f aca="false">V_vent</f>
        <v>5</v>
      </c>
      <c r="E29" s="198" t="str">
        <f aca="false">IF(AND(T_satellite=0,m_satellite&lt;&gt;0),"Erreur !","")</f>
        <v/>
      </c>
      <c r="F29" s="245"/>
      <c r="G29" s="246"/>
      <c r="H29" s="247"/>
      <c r="I29" s="248"/>
      <c r="K29" s="174"/>
      <c r="L29" s="174"/>
      <c r="M29" s="174"/>
      <c r="N29" s="184"/>
      <c r="P29" s="238" t="str">
        <f aca="false">IF(AND(Portee_balistique&gt;200,LEFT(Type_propu,4)="Mini"),IF(Lang="Français","Fusée trop lègère !","Rocket too light"),"")</f>
        <v/>
      </c>
    </row>
    <row r="30" customFormat="false" ht="12.75" hidden="false" customHeight="false" outlineLevel="0" collapsed="false">
      <c r="A30" s="187"/>
      <c r="B30" s="249" t="str">
        <f aca="false">IF(Lang="Français","Vitesse descente",IF(Lang="English","Fall velocity",""))</f>
        <v>Vitesse descente</v>
      </c>
      <c r="C30" s="209" t="n">
        <f aca="false">SQRT(2*m_vide*g/Rho_moyen/S_para/Cx_para)</f>
        <v>8.32385899516736</v>
      </c>
      <c r="D30" s="209" t="n">
        <f aca="false">SQRT(2*m_satellite*g/Rho_moyen/S_satellite/Cx_satellite)</f>
        <v>12.6555626230572</v>
      </c>
      <c r="E30" s="174"/>
      <c r="F30" s="198"/>
      <c r="G30" s="174"/>
      <c r="H30" s="174"/>
      <c r="I30" s="174"/>
      <c r="J30" s="174"/>
      <c r="K30" s="71"/>
      <c r="L30" s="174"/>
      <c r="M30" s="174"/>
      <c r="N30" s="184"/>
      <c r="P30" s="238" t="str">
        <f aca="false">IF(OR(AND(Vsortie_de_rampe&lt;20,LEFT(Type_fusee,1)="F"),AND(Vsortie_de_rampe&lt;18, OR(LEFT(Type_fusee,1)=",",LEFT(Type_fusee,4)="Mini",LEFT(Type_fusee,1)="R"))),IF(Lang="Français","Fusée trop lourde ou rampe trop courte !","Rocket too heavy or launch pad too small!"),"")</f>
        <v/>
      </c>
    </row>
    <row r="31" customFormat="false" ht="12.75" hidden="false" customHeight="false" outlineLevel="0" collapsed="false">
      <c r="A31" s="187"/>
      <c r="B31" s="249" t="str">
        <f aca="false">IF(Lang="Français","Durée descente",IF(Lang="English","Fall duration",""))</f>
        <v>Durée descente</v>
      </c>
      <c r="C31" s="250" t="n">
        <f aca="false">Alt_para/V_para</f>
        <v>169.91470001415</v>
      </c>
      <c r="D31" s="250" t="n">
        <f aca="false">IF(V_satellite&lt;&gt;0,Alt_sat/V_satellite,0)</f>
        <v>29.5112592030851</v>
      </c>
      <c r="E31" s="174"/>
      <c r="F31" s="174"/>
      <c r="G31" s="174"/>
      <c r="H31" s="31" t="str">
        <f aca="false">IF(Lang="Français","Pour localiser la fusée","To locate the rocket")</f>
        <v>Pour localiser la fusée</v>
      </c>
      <c r="I31" s="31"/>
      <c r="J31" s="251"/>
      <c r="L31" s="174"/>
      <c r="M31" s="174"/>
      <c r="N31" s="252"/>
      <c r="P31" s="238" t="str">
        <f aca="false">IF(Temps_culmi-T_para&gt;2,IF(Lang="Français","Ouverture parachute fusée précoce.","Early rocket parachute opening."),IF(Temps_culmi-T_para&lt;-2,IF(Lang="Français","Ouverture parachute fusée tardive.","Late rocket parachute opening."),""))</f>
        <v/>
      </c>
    </row>
    <row r="32" customFormat="false" ht="12.75" hidden="false" customHeight="false" outlineLevel="0" collapsed="false">
      <c r="A32" s="187"/>
      <c r="B32" s="249" t="str">
        <f aca="false">IF(Lang="Français","Durée du vol",IF(Lang="English","Fligth duration",""))</f>
        <v>Durée du vol</v>
      </c>
      <c r="C32" s="250" t="n">
        <f aca="false">T_para+Dt_para</f>
        <v>185.91470001415</v>
      </c>
      <c r="D32" s="250" t="n">
        <f aca="false">T_satellite+Dt_satellite</f>
        <v>33.0112592030851</v>
      </c>
      <c r="E32" s="174"/>
      <c r="F32" s="31" t="str">
        <f aca="false">IF(Lang="Français","Couleur fuselage/coiffe","Body/Nose color")</f>
        <v>Couleur fuselage/coiffe</v>
      </c>
      <c r="G32" s="31"/>
      <c r="H32" s="253" t="s">
        <v>170</v>
      </c>
      <c r="I32" s="253"/>
      <c r="J32" s="174"/>
      <c r="L32" s="174"/>
      <c r="M32" s="174"/>
      <c r="N32" s="254"/>
      <c r="P32" s="238" t="str">
        <f aca="false">IF(ABS(Temps_culmi-T_para)&gt;2,IF(Lang="Français","Attention, aux efforts sur le parachute lors de l'ouverture !","Becarefull to the opening chute efforts!"),"")</f>
        <v/>
      </c>
    </row>
    <row r="33" customFormat="false" ht="12.75" hidden="false" customHeight="false" outlineLevel="0" collapsed="false">
      <c r="A33" s="255"/>
      <c r="B33" s="249" t="str">
        <f aca="false">IF(Lang="Français","Déport latéral",IF(Lang="English","Lateral shift",""))</f>
        <v>Déport latéral</v>
      </c>
      <c r="C33" s="256" t="n">
        <f aca="false">Alt_para*V_vent/V_para</f>
        <v>849.573500070749</v>
      </c>
      <c r="D33" s="256" t="n">
        <f aca="false">IF(V_satellite&lt;&gt;0,Alt_sat*V_vent_sat/V_satellite,0)</f>
        <v>147.556296015426</v>
      </c>
      <c r="E33" s="192"/>
      <c r="F33" s="31" t="str">
        <f aca="false">IF(Lang="Français","Couleur parachute fusée","Rocket parachute color")</f>
        <v>Couleur parachute fusée</v>
      </c>
      <c r="G33" s="31"/>
      <c r="H33" s="253" t="s">
        <v>171</v>
      </c>
      <c r="I33" s="253"/>
      <c r="J33" s="192"/>
      <c r="K33" s="192"/>
      <c r="L33" s="192"/>
      <c r="M33" s="192"/>
      <c r="N33" s="257" t="str">
        <f aca="false">IF(Lang="Français","fichier initial","Initial file")</f>
        <v>fichier initial</v>
      </c>
    </row>
    <row r="34" customFormat="false" ht="12.75" hidden="false" customHeight="false" outlineLevel="0" collapsed="false">
      <c r="A34" s="187"/>
      <c r="B34" s="174"/>
      <c r="C34" s="174"/>
      <c r="D34" s="174"/>
      <c r="E34" s="174"/>
      <c r="F34" s="31" t="str">
        <f aca="false">IF(Lang="Français","Couleur parachute satellite","Satellite parachute color")</f>
        <v>Couleur parachute satellite</v>
      </c>
      <c r="G34" s="31"/>
      <c r="H34" s="253" t="s">
        <v>172</v>
      </c>
      <c r="I34" s="253"/>
      <c r="J34" s="174"/>
      <c r="K34" s="174"/>
      <c r="L34" s="174"/>
      <c r="M34" s="174"/>
      <c r="N34" s="258" t="str">
        <f aca="false">IF(ROUND(SUM(Propu!5:1228),0)=395253,"propu OK","propu NOK")</f>
        <v>propu OK</v>
      </c>
    </row>
    <row r="35" customFormat="false" ht="12.75" hidden="false" customHeight="false" outlineLevel="0" collapsed="false">
      <c r="A35" s="259"/>
      <c r="B35" s="260" t="str">
        <f aca="false">IF(Lang="Français","Commentaire libre :",IF(Lang="English","Free comment:",""))</f>
        <v>Commentaire libre :</v>
      </c>
      <c r="C35" s="261"/>
      <c r="D35" s="261"/>
      <c r="E35" s="261"/>
      <c r="F35" s="261"/>
      <c r="G35" s="261"/>
      <c r="H35" s="261"/>
      <c r="I35" s="261"/>
      <c r="J35" s="261"/>
      <c r="K35" s="261"/>
      <c r="L35" s="261"/>
      <c r="M35" s="261"/>
      <c r="N35" s="262" t="s">
        <v>23</v>
      </c>
    </row>
    <row r="38" customFormat="false" ht="12.75" hidden="false" customHeight="false" outlineLevel="0" collapsed="false">
      <c r="A38" s="263" t="str">
        <f aca="false">IF(Lang="Français","Calcul de la surface d'un parachute","Parachute surface calculation")</f>
        <v>Calcul de la surface d'un parachute</v>
      </c>
      <c r="B38" s="263"/>
      <c r="C38" s="263"/>
      <c r="D38" s="263"/>
      <c r="F38" s="263" t="str">
        <f aca="false">IF(Lang="Français","Résultats détaillés","Detailled results")</f>
        <v>Résultats détaillés</v>
      </c>
      <c r="G38" s="263"/>
      <c r="H38" s="264" t="str">
        <f aca="false">IF(Lang="Français","Temps",IF(Lang="English","Time",""))</f>
        <v>Temps</v>
      </c>
      <c r="I38" s="265" t="s">
        <v>161</v>
      </c>
      <c r="J38" s="265" t="str">
        <f aca="false">IF(Lang="Français","Portée x",IF(Lang="English","Range x",""))</f>
        <v>Portée x</v>
      </c>
      <c r="K38" s="265" t="str">
        <f aca="false">IF(Lang="Français","Vitesse",IF(Lang="English","Velocity",""))</f>
        <v>Vitesse</v>
      </c>
      <c r="L38" s="266" t="s">
        <v>162</v>
      </c>
      <c r="M38" s="265" t="s">
        <v>173</v>
      </c>
    </row>
    <row r="39" customFormat="false" ht="12.75" hidden="false" customHeight="false" outlineLevel="0" collapsed="false">
      <c r="A39" s="267"/>
      <c r="B39" s="174"/>
      <c r="C39" s="174"/>
      <c r="D39" s="268"/>
      <c r="F39" s="269"/>
      <c r="G39" s="270"/>
      <c r="H39" s="271" t="s">
        <v>174</v>
      </c>
      <c r="I39" s="272" t="s">
        <v>175</v>
      </c>
      <c r="J39" s="272" t="s">
        <v>175</v>
      </c>
      <c r="K39" s="272" t="s">
        <v>176</v>
      </c>
      <c r="L39" s="272" t="s">
        <v>177</v>
      </c>
      <c r="M39" s="272" t="s">
        <v>178</v>
      </c>
    </row>
    <row r="40" customFormat="false" ht="12.75" hidden="false" customHeight="false" outlineLevel="0" collapsed="false">
      <c r="A40" s="267"/>
      <c r="B40" s="174"/>
      <c r="C40" s="174"/>
      <c r="D40" s="268"/>
      <c r="F40" s="273" t="str">
        <f aca="false">IF(Lang="Français","Décollage",IF(Lang="English","Lift-Off",""))</f>
        <v>Décollage</v>
      </c>
      <c r="G40" s="273"/>
      <c r="H40" s="274" t="n">
        <v>0</v>
      </c>
      <c r="I40" s="274" t="n">
        <v>0</v>
      </c>
      <c r="J40" s="274" t="n">
        <v>0</v>
      </c>
      <c r="K40" s="274" t="n">
        <v>0</v>
      </c>
      <c r="L40" s="275" t="s">
        <v>11</v>
      </c>
      <c r="M40" s="276" t="n">
        <f aca="false">Beta_rampe</f>
        <v>80</v>
      </c>
    </row>
    <row r="41" customFormat="false" ht="12.75" hidden="false" customHeight="false" outlineLevel="0" collapsed="false">
      <c r="A41" s="267"/>
      <c r="B41" s="174"/>
      <c r="C41" s="174"/>
      <c r="D41" s="268"/>
      <c r="F41" s="207" t="str">
        <f aca="false">IF(Lang="Français","Sortie de Rampe",IF(Lang="English","Launch-Pad Exit",""))</f>
        <v>Sortie de Rampe</v>
      </c>
      <c r="G41" s="207"/>
      <c r="H41" s="208" t="n">
        <f aca="false">INDEX(t,MATCH("Sortie de rampe",Event,0))</f>
        <v>0.34</v>
      </c>
      <c r="I41" s="208" t="n">
        <f aca="false">INDEX(pos_z,MATCH("Sortie de rampe",Event,0))</f>
        <v>3.90010794476418</v>
      </c>
      <c r="J41" s="208" t="n">
        <f aca="false">INDEX(pos_x,MATCH("Sortie de rampe",Event,0))</f>
        <v>0.687655301068359</v>
      </c>
      <c r="K41" s="233" t="n">
        <f aca="false">INDEX(vit_xz,MATCH("Sortie de rampe",Event,0))</f>
        <v>25.0361140400673</v>
      </c>
      <c r="L41" s="210" t="n">
        <f aca="false">INDEX(acc_xz,MATCH("Sortie de rampe",Event,0))</f>
        <v>77.3945074132951</v>
      </c>
      <c r="M41" s="210" t="n">
        <f aca="false">INDEX(BetaD,MATCH("Sortie de rampe",Event,0))</f>
        <v>80</v>
      </c>
    </row>
    <row r="42" customFormat="false" ht="12.75" hidden="false" customHeight="false" outlineLevel="0" collapsed="false">
      <c r="A42" s="267"/>
      <c r="B42" s="277" t="str">
        <f aca="false">IF(Lang="Français","Longeur du bord","Side length")</f>
        <v>Longeur du bord</v>
      </c>
      <c r="C42" s="174"/>
      <c r="D42" s="268"/>
      <c r="F42" s="207" t="str">
        <f aca="false">IF(Lang="Français","Vit max &amp; Acc max",IF(Lang="English","Max Velocity &amp; Acc",""))</f>
        <v>Vit max &amp; Acc max</v>
      </c>
      <c r="G42" s="207"/>
      <c r="H42" s="208" t="s">
        <v>11</v>
      </c>
      <c r="I42" s="208" t="s">
        <v>11</v>
      </c>
      <c r="J42" s="208" t="s">
        <v>11</v>
      </c>
      <c r="K42" s="278" t="n">
        <f aca="false">MAX(vit_xz)</f>
        <v>176.528323408766</v>
      </c>
      <c r="L42" s="279" t="n">
        <f aca="false">MAX(acc_xz)</f>
        <v>82.5828910827605</v>
      </c>
      <c r="M42" s="233" t="s">
        <v>11</v>
      </c>
    </row>
    <row r="43" customFormat="false" ht="12.75" hidden="false" customHeight="false" outlineLevel="0" collapsed="false">
      <c r="A43" s="267"/>
      <c r="B43" s="280" t="n">
        <v>249</v>
      </c>
      <c r="C43" s="174"/>
      <c r="D43" s="268"/>
      <c r="F43" s="207" t="str">
        <f aca="false">IF(Lang="Français","Fin de Propulsion",IF(Lang="English","Motor Burn-Out",""))</f>
        <v>Fin de Propulsion</v>
      </c>
      <c r="G43" s="207"/>
      <c r="H43" s="210" t="n">
        <f aca="false">INDEX(t,MATCH("Fin de propulsion",Event,0))</f>
        <v>3.59999999999997</v>
      </c>
      <c r="I43" s="281" t="n">
        <f aca="false">INDEX(pos_z,MATCH("Fin de propulsion",Event,0))</f>
        <v>390.420991830062</v>
      </c>
      <c r="J43" s="281" t="n">
        <f aca="false">INDEX(pos_x,MATCH("Fin de propulsion",Event,0))</f>
        <v>88.5981585803684</v>
      </c>
      <c r="K43" s="282" t="n">
        <f aca="false">INDEX(vit_xz,MATCH("Fin de propulsion",Event,0))</f>
        <v>173.619426004923</v>
      </c>
      <c r="L43" s="210" t="n">
        <f aca="false">INDEX(acc_xz,MATCH("Fin de propulsion",Event,0))</f>
        <v>18.8184547127003</v>
      </c>
      <c r="M43" s="210" t="n">
        <f aca="false">INDEX(BetaD,MATCH("Fin de propulsion",Event,0))</f>
        <v>76.0974349512595</v>
      </c>
    </row>
    <row r="44" customFormat="false" ht="12.75" hidden="false" customHeight="false" outlineLevel="0" collapsed="false">
      <c r="A44" s="267"/>
      <c r="B44" s="277" t="str">
        <f aca="false">IF(Lang="Français","Largeur du coté","Side width")</f>
        <v>Largeur du coté</v>
      </c>
      <c r="C44" s="174"/>
      <c r="D44" s="268"/>
      <c r="F44" s="207" t="s">
        <v>166</v>
      </c>
      <c r="G44" s="207"/>
      <c r="H44" s="279" t="n">
        <f aca="false">INDEX(t,MATCH("Apogée",Event,0))</f>
        <v>17.2999999999999</v>
      </c>
      <c r="I44" s="278" t="n">
        <f aca="false">INDEX(pos_z,MATCH("Apogée",Event,0))</f>
        <v>1422.92722994048</v>
      </c>
      <c r="J44" s="282" t="n">
        <f aca="false">INDEX(pos_x,MATCH("Apogée",Event,0))</f>
        <v>549.811237619521</v>
      </c>
      <c r="K44" s="282" t="n">
        <f aca="false">INDEX(vit_xz,MATCH("Apogée",Event,0))</f>
        <v>29.7850604961553</v>
      </c>
      <c r="L44" s="233" t="n">
        <f aca="false">INDEX(acc_xz,MATCH("Apogée",Event,0))</f>
        <v>9.82260382907611</v>
      </c>
      <c r="M44" s="233" t="n">
        <f aca="false">INDEX(BetaD,MATCH("Apogée",Event,0))</f>
        <v>0.379424570530685</v>
      </c>
    </row>
    <row r="45" customFormat="false" ht="12.75" hidden="false" customHeight="false" outlineLevel="0" collapsed="false">
      <c r="A45" s="267"/>
      <c r="B45" s="283" t="n">
        <v>199</v>
      </c>
      <c r="C45" s="174"/>
      <c r="D45" s="268"/>
      <c r="F45" s="239" t="str">
        <f aca="false">IF(Lang="Français","Impact balistique",IF(Lang="English","Balistic Impact",""))</f>
        <v>Impact balistique</v>
      </c>
      <c r="G45" s="239"/>
      <c r="H45" s="233" t="n">
        <f aca="false">INDEX(t,MATCH("Impact balistique",Event,0))</f>
        <v>35.7000000000002</v>
      </c>
      <c r="I45" s="275" t="s">
        <v>179</v>
      </c>
      <c r="J45" s="278" t="n">
        <f aca="false">INDEX(pos_x,MATCH("Impact balistique",Event,0))</f>
        <v>1017.12580762709</v>
      </c>
      <c r="K45" s="282" t="n">
        <f aca="false">INDEX(vit_xz,MATCH("Impact balistique",Event,0))</f>
        <v>138.159098222646</v>
      </c>
      <c r="L45" s="233" t="n">
        <f aca="false">INDEX(acc_xz,MATCH("Impact balistique",Event,0))</f>
        <v>3.97734429826914</v>
      </c>
      <c r="M45" s="233" t="n">
        <f aca="false">INDEX(BetaD,MATCH("Impact balistique",Event,0))</f>
        <v>-82.1333065941947</v>
      </c>
    </row>
    <row r="46" customFormat="false" ht="12.75" hidden="false" customHeight="false" outlineLevel="0" collapsed="false">
      <c r="A46" s="267"/>
      <c r="B46" s="202" t="s">
        <v>167</v>
      </c>
      <c r="C46" s="174"/>
      <c r="D46" s="268"/>
      <c r="F46" s="236" t="str">
        <f aca="false">IF(Lang="Français","Ouverture parachute fusée",IF(Lang="English","Rocket parachute opening",""))</f>
        <v>Ouverture parachute fusée</v>
      </c>
      <c r="G46" s="236"/>
      <c r="H46" s="284" t="n">
        <f aca="false">T_para</f>
        <v>16</v>
      </c>
      <c r="I46" s="285" t="n">
        <f aca="false">INDEX(pos_z,MATCH("Para",Event_para,0))</f>
        <v>1414.34600412394</v>
      </c>
      <c r="J46" s="285" t="n">
        <f aca="false">INDEX(pos_x,MATCH("Para",Event_para,0))</f>
        <v>510.881361876531</v>
      </c>
      <c r="K46" s="285" t="n">
        <f aca="false">INDEX(vit_xz,MATCH("Para",Event_para,0))</f>
        <v>32.8119898389656</v>
      </c>
      <c r="L46" s="225" t="n">
        <f aca="false">INDEX(acc_xz,MATCH("Para",Event_para,0))</f>
        <v>9.94116607262656</v>
      </c>
      <c r="M46" s="284" t="n">
        <f aca="false">INDEX(BetaD,MATCH("Para",Event_para,0))</f>
        <v>23.3968152970743</v>
      </c>
    </row>
    <row r="47" customFormat="false" ht="12.75" hidden="false" customHeight="false" outlineLevel="0" collapsed="false">
      <c r="A47" s="267"/>
      <c r="B47" s="286" t="n">
        <f aca="false">(4*B43*B45+B43^2)/10^6</f>
        <v>0.260205</v>
      </c>
      <c r="C47" s="174"/>
      <c r="D47" s="268"/>
      <c r="F47" s="287" t="str">
        <f aca="false">IF(Lang="Français","Impact fusée sous para.",IF(Lang="English","Impact of rocket with para. ",""))</f>
        <v>Impact fusée sous para.</v>
      </c>
      <c r="G47" s="287"/>
      <c r="H47" s="288" t="n">
        <f aca="false">T_para+Dt_para</f>
        <v>185.91470001415</v>
      </c>
      <c r="I47" s="289" t="s">
        <v>179</v>
      </c>
      <c r="J47" s="290" t="str">
        <f aca="false">CONCATENATE(TEXT(X_para-Dx_para,"0")," | ",TEXT(X_para+Dx_para,"0"))</f>
        <v>-339 | 1360</v>
      </c>
      <c r="K47" s="291" t="n">
        <f aca="false">V_para</f>
        <v>8.32385899516736</v>
      </c>
      <c r="L47" s="292" t="n">
        <f aca="false">g</f>
        <v>9.81</v>
      </c>
      <c r="M47" s="292" t="s">
        <v>11</v>
      </c>
    </row>
    <row r="48" customFormat="false" ht="12.75" hidden="false" customHeight="false" outlineLevel="0" collapsed="false">
      <c r="A48" s="267"/>
      <c r="B48" s="174"/>
      <c r="C48" s="174"/>
      <c r="D48" s="268"/>
      <c r="F48" s="220" t="str">
        <f aca="false">IF(Lang="Français","Largage du satellite",IF(Lang="English","Satellite separation",""))</f>
        <v>Largage du satellite</v>
      </c>
      <c r="G48" s="220"/>
      <c r="H48" s="284" t="n">
        <f aca="false">IF(T_satellite&lt;&gt;0,T_satellite,"")</f>
        <v>3.5</v>
      </c>
      <c r="I48" s="285" t="n">
        <f aca="false">IF(T_satellite&lt;&gt;0,INDEX(pos_z,MATCH("Satellite",Event_sat,0)),"")</f>
        <v>373.481588929917</v>
      </c>
      <c r="J48" s="293" t="n">
        <f aca="false">IF(T_satellite&lt;&gt;0,INDEX(pos_x,MATCH("Satellite",Event_sat,0)),"")</f>
        <v>84.4174345149504</v>
      </c>
      <c r="K48" s="285" t="n">
        <f aca="false">IF(T_satellite&lt;&gt;0,INDEX(vit_xz,MATCH("Satellite",Event_sat,0)),"")</f>
        <v>175.233862532624</v>
      </c>
      <c r="L48" s="225" t="n">
        <f aca="false">IF(T_satellite&lt;&gt;0,INDEX(acc_xz,MATCH("Satellite",Event_sat,0)),"")</f>
        <v>12.936744401102</v>
      </c>
      <c r="M48" s="284" t="n">
        <f aca="false">IF(T_satellite&lt;&gt;0,INDEX(BetaD,MATCH("Satellite",Event_sat,0)),"")</f>
        <v>76.1746419397572</v>
      </c>
    </row>
    <row r="49" customFormat="false" ht="12.75" hidden="false" customHeight="false" outlineLevel="0" collapsed="false">
      <c r="A49" s="267"/>
      <c r="B49" s="174"/>
      <c r="C49" s="174"/>
      <c r="D49" s="268"/>
      <c r="F49" s="294" t="str">
        <f aca="false">IF(Lang="Français","Impact du satellite",IF(Lang="English","Satellite impact",""))</f>
        <v>Impact du satellite</v>
      </c>
      <c r="G49" s="294"/>
      <c r="H49" s="288" t="n">
        <f aca="false">IF(T_satellite&lt;&gt;0,T_satellite+Dt_satellite,"")</f>
        <v>33.0112592030851</v>
      </c>
      <c r="I49" s="290" t="str">
        <f aca="false">IF(T_satellite&lt;&gt;0,"~0","")</f>
        <v>~0</v>
      </c>
      <c r="J49" s="290" t="str">
        <f aca="false">IF(T_satellite&lt;&gt;0,CONCATENATE(TEXT(X_satellite-Dx_sat,"0")," | ",TEXT(X_satellite+Dx_sat,"0")),"")</f>
        <v>-63 | 232</v>
      </c>
      <c r="K49" s="290" t="n">
        <f aca="false">IF(T_satellite&lt;&gt;0,V_satellite,"")</f>
        <v>12.6555626230572</v>
      </c>
      <c r="L49" s="292" t="n">
        <f aca="false">IF(T_satellite&lt;&gt;0,g,"")</f>
        <v>9.81</v>
      </c>
      <c r="M49" s="295" t="str">
        <f aca="false">IF(T_satellite&lt;&gt;0,"-","")</f>
        <v>-</v>
      </c>
    </row>
    <row r="50" customFormat="false" ht="12.75" hidden="false" customHeight="false" outlineLevel="0" collapsed="false">
      <c r="A50" s="267"/>
      <c r="B50" s="277" t="str">
        <f aca="false">IF(Lang="Français","Rayon exterieur","Half-diameter ext")</f>
        <v>Rayon exterieur</v>
      </c>
      <c r="C50" s="174"/>
      <c r="D50" s="268"/>
    </row>
    <row r="51" customFormat="false" ht="12.75" hidden="false" customHeight="false" outlineLevel="0" collapsed="false">
      <c r="A51" s="267"/>
      <c r="B51" s="283" t="n">
        <v>299</v>
      </c>
      <c r="C51" s="174"/>
      <c r="D51" s="268"/>
    </row>
    <row r="52" customFormat="false" ht="12.75" hidden="false" customHeight="false" outlineLevel="0" collapsed="false">
      <c r="A52" s="267"/>
      <c r="B52" s="277" t="str">
        <f aca="false">IF(Lang="Français","Rayon intérieur","Half-diameter int")</f>
        <v>Rayon intérieur</v>
      </c>
      <c r="C52" s="174"/>
      <c r="D52" s="268"/>
    </row>
    <row r="53" customFormat="false" ht="12.75" hidden="false" customHeight="false" outlineLevel="0" collapsed="false">
      <c r="A53" s="267"/>
      <c r="B53" s="283" t="n">
        <v>29</v>
      </c>
      <c r="C53" s="174"/>
      <c r="D53" s="268"/>
    </row>
    <row r="54" customFormat="false" ht="12.75" hidden="false" customHeight="false" outlineLevel="0" collapsed="false">
      <c r="A54" s="267"/>
      <c r="B54" s="202" t="s">
        <v>167</v>
      </c>
      <c r="C54" s="174"/>
      <c r="D54" s="268"/>
    </row>
    <row r="55" customFormat="false" ht="12.75" hidden="false" customHeight="false" outlineLevel="0" collapsed="false">
      <c r="A55" s="267"/>
      <c r="B55" s="286" t="n">
        <f aca="false">PI()*(B51^2-B53^2)/10^6</f>
        <v>0.278219445401912</v>
      </c>
      <c r="C55" s="174"/>
      <c r="D55" s="268"/>
    </row>
    <row r="56" customFormat="false" ht="12" hidden="false" customHeight="false" outlineLevel="0" collapsed="false">
      <c r="A56" s="296"/>
      <c r="B56" s="297"/>
      <c r="C56" s="297"/>
      <c r="D56" s="298"/>
    </row>
    <row r="57" customFormat="false" ht="12" hidden="false" customHeight="false" outlineLevel="0" collapsed="false">
      <c r="B57" s="174"/>
      <c r="C57" s="174"/>
      <c r="D57" s="174"/>
    </row>
    <row r="58" customFormat="false" ht="12" hidden="false" customHeight="false" outlineLevel="0" collapsed="false">
      <c r="B58" s="174"/>
      <c r="C58" s="174"/>
      <c r="D58" s="174"/>
    </row>
    <row r="59" customFormat="false" ht="12" hidden="false" customHeight="false" outlineLevel="0" collapsed="false">
      <c r="A59" s="174"/>
      <c r="B59" s="174"/>
      <c r="C59" s="174"/>
      <c r="D59" s="174"/>
    </row>
    <row r="60" customFormat="false" ht="12" hidden="false" customHeight="false" outlineLevel="0" collapsed="false">
      <c r="B60" s="174"/>
      <c r="C60" s="174"/>
      <c r="D60" s="174"/>
    </row>
    <row r="61" customFormat="false" ht="12" hidden="false" customHeight="false" outlineLevel="0" collapsed="false">
      <c r="B61" s="174"/>
      <c r="C61" s="174"/>
      <c r="D61" s="174"/>
    </row>
    <row r="62" customFormat="false" ht="12" hidden="false" customHeight="false" outlineLevel="0" collapsed="false">
      <c r="B62" s="174"/>
    </row>
    <row r="63" customFormat="false" ht="12" hidden="false" customHeight="false" outlineLevel="0" collapsed="false">
      <c r="B63" s="174"/>
    </row>
    <row r="93" customFormat="false" ht="12.75" hidden="false" customHeight="false" outlineLevel="0" collapsed="false">
      <c r="B93" s="1" t="str">
        <f aca="false">IF(Lang="Français","Vitesse de descente sous parachute :",IF(Lang="English","Fall velocity over parachute:",""))</f>
        <v>Vitesse de descente sous parachute :</v>
      </c>
    </row>
    <row r="102" customFormat="false" ht="12.75" hidden="false" customHeight="false" outlineLevel="0" collapsed="false">
      <c r="B102" s="1" t="str">
        <f aca="false">IF(Lang="Français","Textes pour les listes déroulantes et graphiques :","Texts for drop-down lists &amp; graphics :")</f>
        <v>Textes pour les listes déroulantes et graphiques :</v>
      </c>
      <c r="F102" s="299" t="s">
        <v>165</v>
      </c>
      <c r="G102" s="165" t="s">
        <v>180</v>
      </c>
    </row>
    <row r="103" customFormat="false" ht="12" hidden="false" customHeight="false" outlineLevel="0" collapsed="false">
      <c r="F103" s="300" t="n">
        <f aca="false">Combustion+Depotage-9</f>
        <v>-9</v>
      </c>
      <c r="G103" s="301" t="s">
        <v>181</v>
      </c>
    </row>
    <row r="104" customFormat="false" ht="12" hidden="false" customHeight="false" outlineLevel="0" collapsed="false">
      <c r="B104" s="165" t="s">
        <v>164</v>
      </c>
      <c r="F104" s="300" t="n">
        <f aca="false">Combustion+Depotage-7</f>
        <v>-7</v>
      </c>
      <c r="G104" s="301" t="s">
        <v>182</v>
      </c>
    </row>
    <row r="105" customFormat="false" ht="12" hidden="false" customHeight="false" outlineLevel="0" collapsed="false">
      <c r="B105" s="165" t="s">
        <v>183</v>
      </c>
      <c r="F105" s="300" t="n">
        <f aca="false">Combustion+Depotage-5</f>
        <v>-5</v>
      </c>
      <c r="G105" s="301" t="s">
        <v>184</v>
      </c>
    </row>
    <row r="106" customFormat="false" ht="12" hidden="false" customHeight="false" outlineLevel="0" collapsed="false">
      <c r="B106" s="165" t="str">
        <f aca="false">IF(T_para&gt;0,IF(Lang="Français","Phase ascendante","Climbing phase"),"")</f>
        <v>Phase ascendante</v>
      </c>
      <c r="F106" s="300" t="n">
        <f aca="false">Combustion+Depotage-3</f>
        <v>-3</v>
      </c>
      <c r="G106" s="301" t="s">
        <v>185</v>
      </c>
    </row>
    <row r="107" customFormat="false" ht="12" hidden="false" customHeight="false" outlineLevel="0" collapsed="false">
      <c r="B107" s="165" t="str">
        <f aca="false">IF(Lang="Français","Descente balistique","Balistic fall")</f>
        <v>Descente balistique</v>
      </c>
      <c r="F107" s="300" t="n">
        <f aca="false">Combustion+Depotage</f>
        <v>0</v>
      </c>
      <c r="G107" s="301" t="s">
        <v>186</v>
      </c>
    </row>
    <row r="108" customFormat="false" ht="12" hidden="false" customHeight="false" outlineLevel="0" collapsed="false">
      <c r="B108" s="165" t="str">
        <f aca="false">IF(T_para&gt;0,IF(Lang="Français","Fusée sous parachute","Rocket under parachute"),"")</f>
        <v>Fusée sous parachute</v>
      </c>
      <c r="F108" s="302" t="str">
        <f aca="false">IF(Lang="Français","autre",IF(Lang="English","other",""))</f>
        <v>autre</v>
      </c>
    </row>
    <row r="109" customFormat="false" ht="12" hidden="false" customHeight="false" outlineLevel="0" collapsed="false">
      <c r="B109" s="165" t="str">
        <f aca="false">IF(AND(Nb_sat="1 satellite",T_satellite&gt;0),IF(Lang="Français","Satellite sous parachute","Satellite over parachute"),"")</f>
        <v/>
      </c>
    </row>
    <row r="110" customFormat="false" ht="12" hidden="false" customHeight="false" outlineLevel="0" collapsed="false">
      <c r="B110" s="165" t="str">
        <f aca="false">IF(Lang="Français","Trajectoire (x z)","Trajectory (x z)")</f>
        <v>Trajectoire (x z)</v>
      </c>
    </row>
    <row r="111" customFormat="false" ht="12" hidden="false" customHeight="false" outlineLevel="0" collapsed="false">
      <c r="B111" s="165" t="str">
        <f aca="false">IF(Lang="Français","Portée x [m]","Range x [m]")</f>
        <v>Portée x [m]</v>
      </c>
    </row>
    <row r="112" customFormat="false" ht="12" hidden="false" customHeight="false" outlineLevel="0" collapsed="false">
      <c r="B112" s="165" t="str">
        <f aca="false">IF(Lang="Français","Temps [s]","Time [s]")</f>
        <v>Temps [s]</v>
      </c>
    </row>
    <row r="113" customFormat="false" ht="12" hidden="false" customHeight="false" outlineLevel="0" collapsed="false">
      <c r="B113" s="165" t="str">
        <f aca="false">IF(Lang="Français","Altitude z  /  Temps","Altitude z  /  Time")</f>
        <v>Altitude z  /  Temps</v>
      </c>
      <c r="C113" s="303" t="n">
        <f aca="false">IF(OR(C25=F102,C25=F108),C26,C25)</f>
        <v>16</v>
      </c>
    </row>
    <row r="115" customFormat="false" ht="12" hidden="false" customHeight="false" outlineLevel="0" collapsed="false">
      <c r="B115" s="165" t="s">
        <v>187</v>
      </c>
    </row>
    <row r="117" customFormat="false" ht="12.75" hidden="false" customHeight="false" outlineLevel="0" collapsed="false">
      <c r="B117" s="1" t="str">
        <f aca="false">IF(Lang="Français","Données pour les graphiques :","Data for plots:")</f>
        <v>Données pour les graphiques :</v>
      </c>
      <c r="C117" s="304" t="s">
        <v>188</v>
      </c>
    </row>
    <row r="118" customFormat="false" ht="12" hidden="false" customHeight="false" outlineLevel="0" collapsed="false">
      <c r="C118" s="305" t="n">
        <f aca="false">MAX(Altitude_culmi,Portee_balistique)</f>
        <v>1422.92722994048</v>
      </c>
    </row>
    <row r="119" customFormat="false" ht="12" hidden="false" customHeight="false" outlineLevel="0" collapsed="false">
      <c r="B119" s="306" t="s">
        <v>188</v>
      </c>
      <c r="C119" s="307"/>
    </row>
    <row r="120" customFormat="false" ht="12" hidden="false" customHeight="false" outlineLevel="0" collapsed="false">
      <c r="B120" s="308" t="n">
        <f aca="false">MAX(Altitude_culmi,Portee_balistique)</f>
        <v>1422.92722994048</v>
      </c>
      <c r="C120" s="309" t="s">
        <v>189</v>
      </c>
    </row>
    <row r="121" customFormat="false" ht="12" hidden="false" customHeight="false" outlineLevel="0" collapsed="false">
      <c r="B121" s="307"/>
      <c r="C121" s="310" t="n">
        <f aca="false">Alt_para</f>
        <v>1414.34600412394</v>
      </c>
    </row>
    <row r="122" customFormat="false" ht="12" hidden="false" customHeight="false" outlineLevel="0" collapsed="false">
      <c r="B122" s="311" t="s">
        <v>190</v>
      </c>
      <c r="C122" s="310" t="n">
        <f aca="false">Alt_para/2</f>
        <v>707.173002061972</v>
      </c>
    </row>
    <row r="123" customFormat="false" ht="12" hidden="false" customHeight="false" outlineLevel="0" collapsed="false">
      <c r="B123" s="312" t="n">
        <f aca="false">X_para</f>
        <v>510.881361876531</v>
      </c>
      <c r="C123" s="310" t="n">
        <v>0</v>
      </c>
    </row>
    <row r="124" customFormat="false" ht="12" hidden="false" customHeight="false" outlineLevel="0" collapsed="false">
      <c r="B124" s="312" t="n">
        <f aca="false">X_para</f>
        <v>510.881361876531</v>
      </c>
      <c r="C124" s="310" t="n">
        <f aca="false">Alt_para/20</f>
        <v>70.7173002061972</v>
      </c>
    </row>
    <row r="125" customFormat="false" ht="12" hidden="false" customHeight="false" outlineLevel="0" collapsed="false">
      <c r="B125" s="312" t="n">
        <f aca="false">X_para</f>
        <v>510.881361876531</v>
      </c>
      <c r="C125" s="310" t="n">
        <v>0</v>
      </c>
    </row>
    <row r="126" customFormat="false" ht="12" hidden="false" customHeight="false" outlineLevel="0" collapsed="false">
      <c r="B126" s="312" t="n">
        <f aca="false">X_para+Alt_para/40</f>
        <v>546.24001197963</v>
      </c>
      <c r="C126" s="310" t="n">
        <f aca="false">Alt_para/20</f>
        <v>70.7173002061972</v>
      </c>
    </row>
    <row r="127" customFormat="false" ht="12" hidden="false" customHeight="false" outlineLevel="0" collapsed="false">
      <c r="B127" s="312" t="n">
        <f aca="false">X_para</f>
        <v>510.881361876531</v>
      </c>
      <c r="C127" s="313" t="n">
        <v>0</v>
      </c>
    </row>
    <row r="128" customFormat="false" ht="12" hidden="false" customHeight="false" outlineLevel="0" collapsed="false">
      <c r="B128" s="312" t="n">
        <f aca="false">X_para-Alt_para/40</f>
        <v>475.522711773432</v>
      </c>
      <c r="C128" s="304" t="s">
        <v>189</v>
      </c>
    </row>
    <row r="129" customFormat="false" ht="12" hidden="false" customHeight="false" outlineLevel="0" collapsed="false">
      <c r="B129" s="308" t="n">
        <f aca="false">X_para</f>
        <v>510.881361876531</v>
      </c>
      <c r="C129" s="310" t="n">
        <f aca="false">Alt_para</f>
        <v>1414.34600412394</v>
      </c>
      <c r="E129" s="314" t="n">
        <v>1</v>
      </c>
      <c r="F129" s="315" t="s">
        <v>191</v>
      </c>
    </row>
    <row r="130" customFormat="false" ht="12" hidden="false" customHeight="false" outlineLevel="0" collapsed="false">
      <c r="B130" s="306" t="s">
        <v>192</v>
      </c>
      <c r="C130" s="310" t="n">
        <f aca="false">(C129+C131)/2</f>
        <v>707.173002061972</v>
      </c>
      <c r="E130" s="267" t="n">
        <v>1</v>
      </c>
      <c r="F130" s="316" t="s">
        <v>193</v>
      </c>
    </row>
    <row r="131" customFormat="false" ht="12.75" hidden="false" customHeight="false" outlineLevel="0" collapsed="false">
      <c r="B131" s="317" t="n">
        <f aca="false">T_para</f>
        <v>16</v>
      </c>
      <c r="C131" s="310" t="n">
        <f aca="false">0</f>
        <v>0</v>
      </c>
      <c r="E131" s="267"/>
      <c r="F131" s="318" t="s">
        <v>194</v>
      </c>
    </row>
    <row r="132" customFormat="false" ht="12" hidden="false" customHeight="false" outlineLevel="0" collapsed="false">
      <c r="B132" s="317" t="n">
        <f aca="false">(B131+B133)/2</f>
        <v>100.957350007075</v>
      </c>
      <c r="C132" s="310" t="n">
        <f aca="false">Alt_para-V_para*(H47-T_para)+E129*sS*Altitude_culmi/H47*zZ_fus+E130*sS/2*Altitude_culmi/H47*tT_fus</f>
        <v>39.8095841240571</v>
      </c>
      <c r="E132" s="319" t="s">
        <v>195</v>
      </c>
      <c r="F132" s="320" t="n">
        <f aca="false">T_balistique/10</f>
        <v>3.57000000000002</v>
      </c>
    </row>
    <row r="133" customFormat="false" ht="12" hidden="false" customHeight="false" outlineLevel="0" collapsed="false">
      <c r="B133" s="317" t="n">
        <f aca="false">H47</f>
        <v>185.91470001415</v>
      </c>
      <c r="C133" s="310" t="n">
        <f aca="false">Alt_para-V_para*(H47-T_para)</f>
        <v>0</v>
      </c>
      <c r="E133" s="319" t="s">
        <v>196</v>
      </c>
      <c r="F133" s="320" t="n">
        <f aca="false">(H47-T_para)/H47</f>
        <v>0.913939026882854</v>
      </c>
    </row>
    <row r="134" customFormat="false" ht="12" hidden="false" customHeight="false" outlineLevel="0" collapsed="false">
      <c r="B134" s="317" t="n">
        <f aca="false">H47+E129*sS/2*zZ_fus-E130*sS*tT_fus</f>
        <v>184.436937688178</v>
      </c>
      <c r="C134" s="310" t="n">
        <f aca="false">Alt_para-V_para*(H47-T_para)+E129*sS*Altitude_culmi/H47*zZ_fus-E130*sS/2*Altitude_culmi/H47*tT_fus</f>
        <v>14.8375224307329</v>
      </c>
      <c r="E134" s="321" t="s">
        <v>197</v>
      </c>
      <c r="F134" s="322" t="n">
        <f aca="false">V_para*(H47-T_para)/Alt_para</f>
        <v>1</v>
      </c>
    </row>
    <row r="135" customFormat="false" ht="12" hidden="false" customHeight="false" outlineLevel="0" collapsed="false">
      <c r="B135" s="317" t="n">
        <f aca="false">H47</f>
        <v>185.91470001415</v>
      </c>
      <c r="C135" s="305" t="n">
        <f aca="false">Alt_para-V_para*(H47-T_para)</f>
        <v>0</v>
      </c>
    </row>
    <row r="136" customFormat="false" ht="12" hidden="false" customHeight="false" outlineLevel="0" collapsed="false">
      <c r="B136" s="317" t="n">
        <f aca="false">H47-E129*sS/2*zZ_fus-E130*sS*tT_fus</f>
        <v>180.866937688178</v>
      </c>
      <c r="C136" s="174"/>
    </row>
    <row r="137" customFormat="false" ht="12" hidden="false" customHeight="false" outlineLevel="0" collapsed="false">
      <c r="B137" s="323" t="n">
        <f aca="false">H47</f>
        <v>185.91470001415</v>
      </c>
      <c r="C137" s="309" t="s">
        <v>198</v>
      </c>
    </row>
    <row r="138" customFormat="false" ht="12" hidden="false" customHeight="false" outlineLevel="0" collapsed="false">
      <c r="B138" s="174"/>
      <c r="C138" s="310" t="n">
        <f aca="false">IF(Nb_sat="1 satellite",Alt_sat)</f>
        <v>0</v>
      </c>
    </row>
    <row r="139" customFormat="false" ht="12" hidden="false" customHeight="false" outlineLevel="0" collapsed="false">
      <c r="B139" s="311" t="s">
        <v>199</v>
      </c>
      <c r="C139" s="310" t="n">
        <f aca="false">IF(Nb_sat="1 satellite",Alt_sat*1/4)</f>
        <v>0</v>
      </c>
    </row>
    <row r="140" customFormat="false" ht="12" hidden="false" customHeight="false" outlineLevel="0" collapsed="false">
      <c r="B140" s="312" t="n">
        <f aca="false">IF(Nb_sat="1 satellite",X_satellite)</f>
        <v>0</v>
      </c>
      <c r="C140" s="310" t="n">
        <f aca="false">IF(Nb_sat="1 satellite",0)</f>
        <v>0</v>
      </c>
    </row>
    <row r="141" customFormat="false" ht="12" hidden="false" customHeight="false" outlineLevel="0" collapsed="false">
      <c r="B141" s="312" t="n">
        <f aca="false">IF(Nb_sat="1 satellite",X_satellite)</f>
        <v>0</v>
      </c>
      <c r="C141" s="310" t="n">
        <f aca="false">IF(Nb_sat="1 satellite",Alt_sat/20)</f>
        <v>0</v>
      </c>
    </row>
    <row r="142" customFormat="false" ht="12" hidden="false" customHeight="false" outlineLevel="0" collapsed="false">
      <c r="B142" s="312" t="n">
        <f aca="false">IF(Nb_sat="1 satellite",X_satellite)</f>
        <v>0</v>
      </c>
      <c r="C142" s="310" t="n">
        <f aca="false">IF(Nb_sat="1 satellite",0)</f>
        <v>0</v>
      </c>
    </row>
    <row r="143" customFormat="false" ht="12" hidden="false" customHeight="false" outlineLevel="0" collapsed="false">
      <c r="B143" s="312" t="n">
        <f aca="false">IF(Nb_sat="1 satellite",X_satellite+Alt_sat/40)</f>
        <v>0</v>
      </c>
      <c r="C143" s="310" t="n">
        <f aca="false">IF(Nb_sat="1 satellite",Alt_sat/20)</f>
        <v>0</v>
      </c>
    </row>
    <row r="144" customFormat="false" ht="12" hidden="false" customHeight="false" outlineLevel="0" collapsed="false">
      <c r="B144" s="312" t="n">
        <f aca="false">IF(Nb_sat="1 satellite",X_satellite)</f>
        <v>0</v>
      </c>
      <c r="C144" s="310" t="n">
        <f aca="false">IF(Nb_sat="1 satellite",0)</f>
        <v>0</v>
      </c>
    </row>
    <row r="145" customFormat="false" ht="12" hidden="false" customHeight="false" outlineLevel="0" collapsed="false">
      <c r="B145" s="312" t="n">
        <f aca="false">IF(Nb_sat="1 satellite",X_satellite-Alt_sat/40)</f>
        <v>0</v>
      </c>
      <c r="C145" s="304" t="s">
        <v>198</v>
      </c>
    </row>
    <row r="146" customFormat="false" ht="12" hidden="false" customHeight="false" outlineLevel="0" collapsed="false">
      <c r="B146" s="308" t="n">
        <f aca="false">IF(Nb_sat="1 satellite",X_satellite)</f>
        <v>0</v>
      </c>
      <c r="C146" s="310" t="n">
        <f aca="false">IF(Nb_sat="1 satellite",Alt_sat)</f>
        <v>0</v>
      </c>
      <c r="D146" s="299"/>
    </row>
    <row r="147" customFormat="false" ht="12" hidden="false" customHeight="false" outlineLevel="0" collapsed="false">
      <c r="B147" s="306" t="s">
        <v>200</v>
      </c>
      <c r="C147" s="310" t="n">
        <f aca="false">(C146+C148)/2</f>
        <v>0</v>
      </c>
      <c r="D147" s="299"/>
    </row>
    <row r="148" customFormat="false" ht="12" hidden="false" customHeight="false" outlineLevel="0" collapsed="false">
      <c r="B148" s="317" t="n">
        <f aca="false">IF(Nb_sat="1 satellite",T_satellite)</f>
        <v>0</v>
      </c>
      <c r="C148" s="310" t="n">
        <f aca="false">IF(Nb_sat="1 satellite",0)</f>
        <v>0</v>
      </c>
    </row>
    <row r="149" customFormat="false" ht="12" hidden="false" customHeight="false" outlineLevel="0" collapsed="false">
      <c r="B149" s="317" t="n">
        <f aca="false">(B148+B150)/2</f>
        <v>0</v>
      </c>
      <c r="C149" s="310" t="n">
        <f aca="false">IF(Nb_sat="1 satellite",Alt_sat-V_satellite*(H49-T_satellite)+E129*sS*Altitude_culmi/H49*zZ_sat+E130*sS/2*Altitude_culmi/H49*tT_sat)</f>
        <v>0</v>
      </c>
      <c r="D149" s="299"/>
    </row>
    <row r="150" customFormat="false" ht="12" hidden="false" customHeight="false" outlineLevel="0" collapsed="false">
      <c r="B150" s="317" t="n">
        <f aca="false">IF(Nb_sat="1 satellite",H49)</f>
        <v>0</v>
      </c>
      <c r="C150" s="310" t="n">
        <f aca="false">IF(Nb_sat="1 satellite",0)</f>
        <v>0</v>
      </c>
      <c r="E150" s="324" t="s">
        <v>196</v>
      </c>
      <c r="F150" s="325" t="n">
        <f aca="false">(T_balistique-T_satellite)/T_balistique</f>
        <v>0.901960784313726</v>
      </c>
    </row>
    <row r="151" customFormat="false" ht="12" hidden="false" customHeight="false" outlineLevel="0" collapsed="false">
      <c r="B151" s="317" t="n">
        <f aca="false">IF(Nb_sat="1 satellite",H49+E129*sS/2*zZ_sat-E130*sS*tT_sat)</f>
        <v>0</v>
      </c>
      <c r="C151" s="310" t="n">
        <f aca="false">IF(Nb_sat="1 satellite",Alt_sat-V_satellite*(H49-T_satellite)+E129*sS*Altitude_culmi/H49*zZ_sat-E130*sS/2*Altitude_culmi/H49*tT_sat)</f>
        <v>0</v>
      </c>
      <c r="E151" s="321" t="s">
        <v>197</v>
      </c>
      <c r="F151" s="322" t="n">
        <f aca="false">V_satellite*(T_balistique-T_satellite)/Alt_sat</f>
        <v>1.09110898245352</v>
      </c>
    </row>
    <row r="152" customFormat="false" ht="12" hidden="false" customHeight="false" outlineLevel="0" collapsed="false">
      <c r="B152" s="317" t="n">
        <f aca="false">IF(Nb_sat="1 satellite",H49)</f>
        <v>0</v>
      </c>
      <c r="C152" s="305" t="n">
        <f aca="false">IF(Nb_sat="1 satellite",0)</f>
        <v>0</v>
      </c>
    </row>
    <row r="153" customFormat="false" ht="12" hidden="false" customHeight="false" outlineLevel="0" collapsed="false">
      <c r="B153" s="317" t="n">
        <f aca="false">IF(Nb_sat="1 satellite",H49-sS/2*zZ_sat-E130*sS*tT_sat)</f>
        <v>0</v>
      </c>
    </row>
    <row r="154" customFormat="false" ht="12" hidden="false" customHeight="false" outlineLevel="0" collapsed="false">
      <c r="B154" s="323" t="n">
        <f aca="false">IF(Nb_sat="1 satellite",H49)</f>
        <v>0</v>
      </c>
      <c r="C154" s="326" t="s">
        <v>201</v>
      </c>
      <c r="D154" s="304" t="s">
        <v>202</v>
      </c>
    </row>
    <row r="155" customFormat="false" ht="12" hidden="false" customHeight="false" outlineLevel="0" collapsed="false">
      <c r="C155" s="327" t="n">
        <f aca="false">Alt_para/2</f>
        <v>707.173002061972</v>
      </c>
      <c r="D155" s="328" t="n">
        <f aca="false">X_para/4</f>
        <v>127.720340469133</v>
      </c>
    </row>
    <row r="156" customFormat="false" ht="12" hidden="false" customHeight="false" outlineLevel="0" collapsed="false">
      <c r="B156" s="306" t="s">
        <v>203</v>
      </c>
      <c r="C156" s="329" t="n">
        <f aca="false">Altitude_culmi/2</f>
        <v>711.463614970238</v>
      </c>
      <c r="D156" s="330" t="n">
        <f aca="false">X_culmi+(Portee_balistique-X_culmi)*2/3</f>
        <v>861.354284291233</v>
      </c>
    </row>
    <row r="157" customFormat="false" ht="12" hidden="false" customHeight="false" outlineLevel="0" collapsed="false">
      <c r="B157" s="331" t="n">
        <f aca="false">T_para/4</f>
        <v>4</v>
      </c>
    </row>
    <row r="158" customFormat="false" ht="12" hidden="false" customHeight="false" outlineLevel="0" collapsed="false">
      <c r="B158" s="332" t="n">
        <f aca="false">Temps_culmi + (T_balistique-Temps_culmi)/2</f>
        <v>26.5000000000001</v>
      </c>
      <c r="C158" s="326" t="s">
        <v>204</v>
      </c>
      <c r="D158" s="333" t="s">
        <v>205</v>
      </c>
      <c r="E158" s="333"/>
      <c r="F158" s="334" t="s">
        <v>205</v>
      </c>
    </row>
    <row r="159" customFormat="false" ht="12" hidden="false" customHeight="false" outlineLevel="0" collapsed="false">
      <c r="C159" s="335" t="n">
        <v>0</v>
      </c>
      <c r="D159" s="327" t="n">
        <f aca="false">X_culmi+C159</f>
        <v>549.811237619521</v>
      </c>
      <c r="E159" s="327"/>
      <c r="F159" s="328" t="n">
        <f aca="false">X_culmi-C159</f>
        <v>549.811237619521</v>
      </c>
    </row>
    <row r="160" customFormat="false" ht="12" hidden="false" customHeight="false" outlineLevel="0" collapsed="false">
      <c r="B160" s="306" t="s">
        <v>206</v>
      </c>
      <c r="C160" s="335" t="n">
        <v>23</v>
      </c>
      <c r="D160" s="327" t="n">
        <f aca="false">X_culmi+C160</f>
        <v>572.811237619521</v>
      </c>
      <c r="E160" s="327"/>
      <c r="F160" s="328" t="n">
        <f aca="false">X_culmi-C160</f>
        <v>526.811237619521</v>
      </c>
    </row>
    <row r="161" customFormat="false" ht="12" hidden="false" customHeight="false" outlineLevel="0" collapsed="false">
      <c r="B161" s="331" t="e">
        <f aca="false">IF(AND(Altitude_culmi&gt;80, Altitude_culmi&lt;=350), 49, NA())</f>
        <v>#N/A</v>
      </c>
      <c r="C161" s="335" t="n">
        <v>23</v>
      </c>
      <c r="D161" s="327" t="n">
        <f aca="false">X_culmi+C161</f>
        <v>572.811237619521</v>
      </c>
      <c r="E161" s="327"/>
      <c r="F161" s="328" t="n">
        <f aca="false">X_culmi-C161</f>
        <v>526.811237619521</v>
      </c>
    </row>
    <row r="162" customFormat="false" ht="12" hidden="false" customHeight="false" outlineLevel="0" collapsed="false">
      <c r="B162" s="331" t="e">
        <f aca="false">IF(AND(Altitude_culmi&gt;80, Altitude_culmi&lt;=350), 49, NA())</f>
        <v>#N/A</v>
      </c>
      <c r="C162" s="335" t="n">
        <v>0</v>
      </c>
      <c r="D162" s="327" t="n">
        <f aca="false">X_culmi+C162</f>
        <v>549.811237619521</v>
      </c>
      <c r="E162" s="327"/>
      <c r="F162" s="328" t="n">
        <f aca="false">X_culmi-C162</f>
        <v>549.811237619521</v>
      </c>
    </row>
    <row r="163" customFormat="false" ht="12" hidden="false" customHeight="false" outlineLevel="0" collapsed="false">
      <c r="B163" s="331" t="e">
        <f aca="false">IF(AND(Altitude_culmi&gt;80, Altitude_culmi&lt;=350), 43, NA())</f>
        <v>#N/A</v>
      </c>
      <c r="C163" s="335" t="n">
        <v>23</v>
      </c>
      <c r="D163" s="327" t="n">
        <f aca="false">X_culmi+C163</f>
        <v>572.811237619521</v>
      </c>
      <c r="E163" s="327"/>
      <c r="F163" s="328" t="n">
        <f aca="false">X_culmi-C163</f>
        <v>526.811237619521</v>
      </c>
    </row>
    <row r="164" customFormat="false" ht="12" hidden="false" customHeight="false" outlineLevel="0" collapsed="false">
      <c r="B164" s="331" t="e">
        <f aca="false">IF(AND(Altitude_culmi&gt;80, Altitude_culmi&lt;=350), 43, NA())</f>
        <v>#N/A</v>
      </c>
      <c r="C164" s="335" t="n">
        <v>23</v>
      </c>
      <c r="D164" s="327" t="n">
        <f aca="false">X_culmi+C164</f>
        <v>572.811237619521</v>
      </c>
      <c r="E164" s="327"/>
      <c r="F164" s="328" t="n">
        <f aca="false">X_culmi-C164</f>
        <v>526.811237619521</v>
      </c>
    </row>
    <row r="165" customFormat="false" ht="12" hidden="false" customHeight="false" outlineLevel="0" collapsed="false">
      <c r="B165" s="331" t="e">
        <f aca="false">IF(AND(Altitude_culmi&gt;80, Altitude_culmi&lt;=350), 43, NA())</f>
        <v>#N/A</v>
      </c>
      <c r="C165" s="335" t="n">
        <v>8</v>
      </c>
      <c r="D165" s="327" t="n">
        <f aca="false">X_culmi+C165</f>
        <v>557.811237619521</v>
      </c>
      <c r="E165" s="327"/>
      <c r="F165" s="328" t="n">
        <f aca="false">X_culmi-C165</f>
        <v>541.811237619521</v>
      </c>
    </row>
    <row r="166" customFormat="false" ht="12" hidden="false" customHeight="false" outlineLevel="0" collapsed="false">
      <c r="B166" s="331" t="e">
        <f aca="false">IF(AND(Altitude_culmi&gt;80, Altitude_culmi&lt;=350), 0.5, NA())</f>
        <v>#N/A</v>
      </c>
      <c r="C166" s="335" t="n">
        <v>8</v>
      </c>
      <c r="D166" s="327" t="n">
        <f aca="false">X_culmi+C166</f>
        <v>557.811237619521</v>
      </c>
      <c r="E166" s="327"/>
      <c r="F166" s="328" t="n">
        <f aca="false">X_culmi-C166</f>
        <v>541.811237619521</v>
      </c>
    </row>
    <row r="167" customFormat="false" ht="12" hidden="false" customHeight="false" outlineLevel="0" collapsed="false">
      <c r="B167" s="331" t="e">
        <f aca="false">IF(AND(Altitude_culmi&gt;80, Altitude_culmi&lt;=350), 0.5, NA())</f>
        <v>#N/A</v>
      </c>
      <c r="C167" s="335" t="n">
        <v>23</v>
      </c>
      <c r="D167" s="327" t="n">
        <f aca="false">X_culmi+C167</f>
        <v>572.811237619521</v>
      </c>
      <c r="E167" s="327"/>
      <c r="F167" s="328" t="n">
        <f aca="false">X_culmi-C167</f>
        <v>526.811237619521</v>
      </c>
    </row>
    <row r="168" customFormat="false" ht="12" hidden="false" customHeight="false" outlineLevel="0" collapsed="false">
      <c r="B168" s="331" t="e">
        <f aca="false">IF(AND(Altitude_culmi&gt;80, Altitude_culmi&lt;=350), 27, NA())</f>
        <v>#N/A</v>
      </c>
      <c r="C168" s="335" t="n">
        <v>8</v>
      </c>
      <c r="D168" s="327" t="n">
        <f aca="false">X_culmi+C168</f>
        <v>557.811237619521</v>
      </c>
      <c r="E168" s="327"/>
      <c r="F168" s="328" t="n">
        <f aca="false">X_culmi-C168</f>
        <v>541.811237619521</v>
      </c>
    </row>
    <row r="169" customFormat="false" ht="12" hidden="false" customHeight="false" outlineLevel="0" collapsed="false">
      <c r="B169" s="331" t="e">
        <f aca="false">IF(AND(Altitude_culmi&gt;80, Altitude_culmi&lt;=350), 27, NA())</f>
        <v>#N/A</v>
      </c>
      <c r="C169" s="335" t="n">
        <v>7.6</v>
      </c>
      <c r="D169" s="327" t="n">
        <f aca="false">X_culmi+C169</f>
        <v>557.411237619521</v>
      </c>
      <c r="E169" s="327"/>
      <c r="F169" s="328" t="n">
        <f aca="false">X_culmi-C169</f>
        <v>542.211237619521</v>
      </c>
    </row>
    <row r="170" customFormat="false" ht="12" hidden="false" customHeight="false" outlineLevel="0" collapsed="false">
      <c r="B170" s="331" t="e">
        <f aca="false">IF(AND(Altitude_culmi&gt;80, Altitude_culmi&lt;=350), 27, NA())</f>
        <v>#N/A</v>
      </c>
      <c r="C170" s="335" t="n">
        <v>6.8</v>
      </c>
      <c r="D170" s="327" t="n">
        <f aca="false">X_culmi+C170</f>
        <v>556.611237619521</v>
      </c>
      <c r="E170" s="327"/>
      <c r="F170" s="328" t="n">
        <f aca="false">X_culmi-C170</f>
        <v>543.011237619521</v>
      </c>
    </row>
    <row r="171" customFormat="false" ht="12" hidden="false" customHeight="false" outlineLevel="0" collapsed="false">
      <c r="B171" s="331" t="e">
        <f aca="false">IF(AND(Altitude_culmi&gt;80, Altitude_culmi&lt;=350), 29, NA())</f>
        <v>#N/A</v>
      </c>
      <c r="C171" s="335" t="n">
        <v>6</v>
      </c>
      <c r="D171" s="327" t="n">
        <f aca="false">X_culmi+C171</f>
        <v>555.811237619521</v>
      </c>
      <c r="E171" s="327"/>
      <c r="F171" s="328" t="n">
        <f aca="false">X_culmi-C171</f>
        <v>543.811237619521</v>
      </c>
    </row>
    <row r="172" customFormat="false" ht="12" hidden="false" customHeight="false" outlineLevel="0" collapsed="false">
      <c r="B172" s="331" t="e">
        <f aca="false">IF(AND(Altitude_culmi&gt;80, Altitude_culmi&lt;=350), 31, NA())</f>
        <v>#N/A</v>
      </c>
      <c r="C172" s="335" t="n">
        <v>5</v>
      </c>
      <c r="D172" s="327" t="n">
        <f aca="false">X_culmi+C172</f>
        <v>554.811237619521</v>
      </c>
      <c r="E172" s="327"/>
      <c r="F172" s="328" t="n">
        <f aca="false">X_culmi-C172</f>
        <v>544.811237619521</v>
      </c>
    </row>
    <row r="173" customFormat="false" ht="12" hidden="false" customHeight="false" outlineLevel="0" collapsed="false">
      <c r="B173" s="331" t="e">
        <f aca="false">IF(AND(Altitude_culmi&gt;80, Altitude_culmi&lt;=350), 32, NA())</f>
        <v>#N/A</v>
      </c>
      <c r="C173" s="335" t="n">
        <v>3.8</v>
      </c>
      <c r="D173" s="327" t="n">
        <f aca="false">X_culmi+C173</f>
        <v>553.611237619521</v>
      </c>
      <c r="E173" s="327"/>
      <c r="F173" s="328" t="n">
        <f aca="false">X_culmi-C173</f>
        <v>546.011237619521</v>
      </c>
    </row>
    <row r="174" customFormat="false" ht="12" hidden="false" customHeight="false" outlineLevel="0" collapsed="false">
      <c r="B174" s="331" t="e">
        <f aca="false">IF(AND(Altitude_culmi&gt;80, Altitude_culmi&lt;=350), 33, NA())</f>
        <v>#N/A</v>
      </c>
      <c r="C174" s="336" t="n">
        <v>0</v>
      </c>
      <c r="D174" s="337" t="n">
        <f aca="false">X_culmi+C174</f>
        <v>549.811237619521</v>
      </c>
      <c r="E174" s="337"/>
      <c r="F174" s="330" t="n">
        <f aca="false">X_culmi-C174</f>
        <v>549.811237619521</v>
      </c>
    </row>
    <row r="175" customFormat="false" ht="12" hidden="false" customHeight="false" outlineLevel="0" collapsed="false">
      <c r="B175" s="331" t="e">
        <f aca="false">IF(AND(Altitude_culmi&gt;80, Altitude_culmi&lt;=350), 34, NA())</f>
        <v>#N/A</v>
      </c>
    </row>
    <row r="176" customFormat="false" ht="12" hidden="false" customHeight="false" outlineLevel="0" collapsed="false">
      <c r="B176" s="332" t="e">
        <f aca="false">IF(AND(Altitude_culmi&gt;80, Altitude_culmi&lt;=350), 35, NA())</f>
        <v>#N/A</v>
      </c>
      <c r="C176" s="326" t="s">
        <v>207</v>
      </c>
      <c r="D176" s="326" t="s">
        <v>208</v>
      </c>
      <c r="E176" s="326"/>
      <c r="F176" s="304" t="s">
        <v>208</v>
      </c>
    </row>
    <row r="177" customFormat="false" ht="12" hidden="false" customHeight="false" outlineLevel="0" collapsed="false">
      <c r="C177" s="335" t="n">
        <v>0</v>
      </c>
      <c r="D177" s="327" t="n">
        <f aca="false">X_culmi+C177</f>
        <v>549.811237619521</v>
      </c>
      <c r="E177" s="327"/>
      <c r="F177" s="328" t="n">
        <f aca="false">X_culmi-C177</f>
        <v>549.811237619521</v>
      </c>
    </row>
    <row r="178" customFormat="false" ht="12" hidden="false" customHeight="false" outlineLevel="0" collapsed="false">
      <c r="B178" s="306" t="s">
        <v>209</v>
      </c>
      <c r="C178" s="335" t="n">
        <v>0</v>
      </c>
      <c r="D178" s="327" t="n">
        <f aca="false">X_culmi+C178</f>
        <v>549.811237619521</v>
      </c>
      <c r="E178" s="327"/>
      <c r="F178" s="328" t="n">
        <f aca="false">X_culmi-C178</f>
        <v>549.811237619521</v>
      </c>
    </row>
    <row r="179" customFormat="false" ht="12" hidden="false" customHeight="false" outlineLevel="0" collapsed="false">
      <c r="B179" s="331" t="n">
        <f aca="false">IF(Altitude_culmi&gt;350, 324, NA())</f>
        <v>324</v>
      </c>
      <c r="C179" s="335" t="n">
        <v>10</v>
      </c>
      <c r="D179" s="327" t="n">
        <f aca="false">X_culmi+C179</f>
        <v>559.811237619521</v>
      </c>
      <c r="E179" s="327"/>
      <c r="F179" s="328" t="n">
        <f aca="false">X_culmi-C179</f>
        <v>539.811237619521</v>
      </c>
    </row>
    <row r="180" customFormat="false" ht="12" hidden="false" customHeight="false" outlineLevel="0" collapsed="false">
      <c r="B180" s="331" t="n">
        <f aca="false">IF(Altitude_culmi&gt;350, 300, NA())</f>
        <v>300</v>
      </c>
      <c r="C180" s="335" t="n">
        <v>0</v>
      </c>
      <c r="D180" s="327" t="n">
        <f aca="false">X_culmi+C180</f>
        <v>549.811237619521</v>
      </c>
      <c r="E180" s="327"/>
      <c r="F180" s="328" t="n">
        <f aca="false">X_culmi-C180</f>
        <v>549.811237619521</v>
      </c>
    </row>
    <row r="181" customFormat="false" ht="12" hidden="false" customHeight="false" outlineLevel="0" collapsed="false">
      <c r="B181" s="331" t="n">
        <f aca="false">IF(Altitude_culmi&gt;350, 280, NA())</f>
        <v>280</v>
      </c>
      <c r="C181" s="335" t="n">
        <v>10</v>
      </c>
      <c r="D181" s="327" t="n">
        <f aca="false">X_culmi+C181</f>
        <v>559.811237619521</v>
      </c>
      <c r="E181" s="327"/>
      <c r="F181" s="328" t="n">
        <f aca="false">X_culmi-C181</f>
        <v>539.811237619521</v>
      </c>
    </row>
    <row r="182" customFormat="false" ht="12" hidden="false" customHeight="false" outlineLevel="0" collapsed="false">
      <c r="B182" s="331" t="n">
        <f aca="false">IF(Altitude_culmi&gt;350, 280, NA())</f>
        <v>280</v>
      </c>
      <c r="C182" s="335" t="n">
        <v>13</v>
      </c>
      <c r="D182" s="327" t="n">
        <f aca="false">X_culmi+C182</f>
        <v>562.811237619521</v>
      </c>
      <c r="E182" s="327"/>
      <c r="F182" s="328" t="n">
        <f aca="false">X_culmi-C182</f>
        <v>536.811237619521</v>
      </c>
    </row>
    <row r="183" customFormat="false" ht="12" hidden="false" customHeight="false" outlineLevel="0" collapsed="false">
      <c r="B183" s="331" t="n">
        <f aca="false">IF(Altitude_culmi&gt;350, 280, NA())</f>
        <v>280</v>
      </c>
      <c r="C183" s="335" t="n">
        <v>17</v>
      </c>
      <c r="D183" s="327" t="n">
        <f aca="false">X_culmi+C183</f>
        <v>566.811237619521</v>
      </c>
      <c r="E183" s="327"/>
      <c r="F183" s="328" t="n">
        <f aca="false">X_culmi-C183</f>
        <v>532.811237619521</v>
      </c>
    </row>
    <row r="184" customFormat="false" ht="12" hidden="false" customHeight="false" outlineLevel="0" collapsed="false">
      <c r="B184" s="331" t="n">
        <f aca="false">IF(Altitude_culmi&gt;350, 200, NA())</f>
        <v>200</v>
      </c>
      <c r="C184" s="335" t="n">
        <v>20</v>
      </c>
      <c r="D184" s="327" t="n">
        <f aca="false">X_culmi+C184</f>
        <v>569.811237619521</v>
      </c>
      <c r="E184" s="327"/>
      <c r="F184" s="328" t="n">
        <f aca="false">X_culmi-C184</f>
        <v>529.811237619521</v>
      </c>
    </row>
    <row r="185" customFormat="false" ht="12" hidden="false" customHeight="false" outlineLevel="0" collapsed="false">
      <c r="B185" s="331" t="n">
        <f aca="false">IF(Altitude_culmi&gt;350, 160, NA())</f>
        <v>160</v>
      </c>
      <c r="C185" s="335" t="n">
        <v>25</v>
      </c>
      <c r="D185" s="327" t="n">
        <f aca="false">X_culmi+C185</f>
        <v>574.811237619521</v>
      </c>
      <c r="E185" s="327"/>
      <c r="F185" s="328" t="n">
        <f aca="false">X_culmi-C185</f>
        <v>524.811237619521</v>
      </c>
    </row>
    <row r="186" customFormat="false" ht="12" hidden="false" customHeight="false" outlineLevel="0" collapsed="false">
      <c r="B186" s="331" t="n">
        <f aca="false">IF(Altitude_culmi&gt;350, 115, NA())</f>
        <v>115</v>
      </c>
      <c r="C186" s="335" t="n">
        <v>30</v>
      </c>
      <c r="D186" s="327" t="n">
        <f aca="false">X_culmi+C186</f>
        <v>579.811237619521</v>
      </c>
      <c r="E186" s="327"/>
      <c r="F186" s="328" t="n">
        <f aca="false">X_culmi-C186</f>
        <v>519.811237619521</v>
      </c>
    </row>
    <row r="187" customFormat="false" ht="12" hidden="false" customHeight="false" outlineLevel="0" collapsed="false">
      <c r="B187" s="331" t="n">
        <f aca="false">IF(Altitude_culmi&gt;350, 90, NA())</f>
        <v>90</v>
      </c>
      <c r="C187" s="335" t="n">
        <v>36</v>
      </c>
      <c r="D187" s="327" t="n">
        <f aca="false">X_culmi+C187</f>
        <v>585.811237619521</v>
      </c>
      <c r="E187" s="327"/>
      <c r="F187" s="328" t="n">
        <f aca="false">X_culmi-C187</f>
        <v>513.811237619521</v>
      </c>
    </row>
    <row r="188" customFormat="false" ht="12" hidden="false" customHeight="false" outlineLevel="0" collapsed="false">
      <c r="B188" s="331" t="n">
        <f aca="false">IF(Altitude_culmi&gt;350, 57, NA())</f>
        <v>57</v>
      </c>
      <c r="C188" s="335" t="n">
        <v>48</v>
      </c>
      <c r="D188" s="327" t="n">
        <f aca="false">X_culmi+C188</f>
        <v>597.811237619521</v>
      </c>
      <c r="E188" s="327"/>
      <c r="F188" s="328" t="n">
        <f aca="false">X_culmi-C188</f>
        <v>501.811237619521</v>
      </c>
    </row>
    <row r="189" customFormat="false" ht="12" hidden="false" customHeight="false" outlineLevel="0" collapsed="false">
      <c r="B189" s="331" t="n">
        <f aca="false">IF(Altitude_culmi&gt;350, 40, NA())</f>
        <v>40</v>
      </c>
      <c r="C189" s="335" t="n">
        <v>62</v>
      </c>
      <c r="D189" s="327" t="n">
        <f aca="false">X_culmi+C189</f>
        <v>611.811237619521</v>
      </c>
      <c r="E189" s="327"/>
      <c r="F189" s="328" t="n">
        <f aca="false">X_culmi-C189</f>
        <v>487.811237619521</v>
      </c>
    </row>
    <row r="190" customFormat="false" ht="12" hidden="false" customHeight="false" outlineLevel="0" collapsed="false">
      <c r="B190" s="331" t="n">
        <f aca="false">IF(Altitude_culmi&gt;350, 20, NA())</f>
        <v>20</v>
      </c>
      <c r="C190" s="335" t="n">
        <v>37</v>
      </c>
      <c r="D190" s="327" t="n">
        <f aca="false">X_culmi+C190</f>
        <v>586.811237619521</v>
      </c>
      <c r="E190" s="327"/>
      <c r="F190" s="328" t="n">
        <f aca="false">X_culmi-C190</f>
        <v>512.811237619521</v>
      </c>
    </row>
    <row r="191" customFormat="false" ht="12" hidden="false" customHeight="false" outlineLevel="0" collapsed="false">
      <c r="B191" s="331" t="n">
        <f aca="false">IF(Altitude_culmi&gt;350, 0.5, NA())</f>
        <v>0.5</v>
      </c>
      <c r="C191" s="335" t="n">
        <v>30</v>
      </c>
      <c r="D191" s="327" t="n">
        <f aca="false">X_culmi+C191</f>
        <v>579.811237619521</v>
      </c>
      <c r="E191" s="327"/>
      <c r="F191" s="328" t="n">
        <f aca="false">X_culmi-C191</f>
        <v>519.811237619521</v>
      </c>
    </row>
    <row r="192" customFormat="false" ht="12" hidden="false" customHeight="false" outlineLevel="0" collapsed="false">
      <c r="B192" s="331" t="n">
        <f aca="false">IF(Altitude_culmi&gt;350, 0.5, NA())</f>
        <v>0.5</v>
      </c>
      <c r="C192" s="335" t="n">
        <v>15</v>
      </c>
      <c r="D192" s="327" t="n">
        <f aca="false">X_culmi+C192</f>
        <v>564.811237619521</v>
      </c>
      <c r="E192" s="327"/>
      <c r="F192" s="328" t="n">
        <f aca="false">X_culmi-C192</f>
        <v>534.811237619521</v>
      </c>
    </row>
    <row r="193" customFormat="false" ht="12" hidden="false" customHeight="false" outlineLevel="0" collapsed="false">
      <c r="B193" s="331" t="n">
        <f aca="false">IF(Altitude_culmi&gt;350, 15, NA())</f>
        <v>15</v>
      </c>
      <c r="C193" s="335" t="n">
        <v>0</v>
      </c>
      <c r="D193" s="327" t="n">
        <f aca="false">X_culmi+C193</f>
        <v>549.811237619521</v>
      </c>
      <c r="E193" s="327"/>
      <c r="F193" s="328" t="n">
        <f aca="false">X_culmi-C193</f>
        <v>549.811237619521</v>
      </c>
    </row>
    <row r="194" customFormat="false" ht="12" hidden="false" customHeight="false" outlineLevel="0" collapsed="false">
      <c r="B194" s="331" t="n">
        <f aca="false">IF(Altitude_culmi&gt;350, 30, NA())</f>
        <v>30</v>
      </c>
      <c r="C194" s="335" t="n">
        <v>0</v>
      </c>
      <c r="D194" s="327" t="n">
        <f aca="false">X_culmi+C194</f>
        <v>549.811237619521</v>
      </c>
      <c r="E194" s="327"/>
      <c r="F194" s="328" t="n">
        <f aca="false">X_culmi-C194</f>
        <v>549.811237619521</v>
      </c>
    </row>
    <row r="195" customFormat="false" ht="12" hidden="false" customHeight="false" outlineLevel="0" collapsed="false">
      <c r="B195" s="331" t="n">
        <f aca="false">IF(Altitude_culmi&gt;350, 37, NA())</f>
        <v>37</v>
      </c>
      <c r="C195" s="335" t="n">
        <v>17</v>
      </c>
      <c r="D195" s="327" t="n">
        <f aca="false">X_culmi+C195</f>
        <v>566.811237619521</v>
      </c>
      <c r="E195" s="327"/>
      <c r="F195" s="328" t="n">
        <f aca="false">X_culmi-C195</f>
        <v>532.811237619521</v>
      </c>
    </row>
    <row r="196" customFormat="false" ht="12" hidden="false" customHeight="false" outlineLevel="0" collapsed="false">
      <c r="B196" s="331" t="n">
        <f aca="false">IF(Altitude_culmi&gt;350, 67, NA())</f>
        <v>67</v>
      </c>
      <c r="C196" s="335" t="n">
        <v>11</v>
      </c>
      <c r="D196" s="327" t="n">
        <f aca="false">X_culmi+C196</f>
        <v>560.811237619521</v>
      </c>
      <c r="E196" s="327"/>
      <c r="F196" s="328" t="n">
        <f aca="false">X_culmi-C196</f>
        <v>538.811237619521</v>
      </c>
    </row>
    <row r="197" customFormat="false" ht="12" hidden="false" customHeight="false" outlineLevel="0" collapsed="false">
      <c r="B197" s="331" t="n">
        <f aca="false">IF(Altitude_culmi&gt;350, 67, NA())</f>
        <v>67</v>
      </c>
      <c r="C197" s="336" t="n">
        <v>0</v>
      </c>
      <c r="D197" s="337" t="n">
        <f aca="false">X_culmi+C197</f>
        <v>549.811237619521</v>
      </c>
      <c r="E197" s="337"/>
      <c r="F197" s="330" t="n">
        <f aca="false">X_culmi-C197</f>
        <v>549.811237619521</v>
      </c>
    </row>
    <row r="198" customFormat="false" ht="12" hidden="false" customHeight="false" outlineLevel="0" collapsed="false">
      <c r="B198" s="331" t="n">
        <f aca="false">IF(Altitude_culmi&gt;350, 100, NA())</f>
        <v>100</v>
      </c>
    </row>
    <row r="199" customFormat="false" ht="12" hidden="false" customHeight="false" outlineLevel="0" collapsed="false">
      <c r="B199" s="332" t="n">
        <f aca="false">IF(Altitude_culmi&gt;350, 100, NA())</f>
        <v>100</v>
      </c>
    </row>
  </sheetData>
  <sheetProtection sheet="true" password="c6ac"/>
  <protectedRanges>
    <protectedRange name="Plage1" sqref="C25"/>
  </protectedRanges>
  <mergeCells count="41">
    <mergeCell ref="C2:D3"/>
    <mergeCell ref="C4:D4"/>
    <mergeCell ref="C6:D6"/>
    <mergeCell ref="C7:D7"/>
    <mergeCell ref="C8:D8"/>
    <mergeCell ref="C9:D9"/>
    <mergeCell ref="C10:D10"/>
    <mergeCell ref="C11:D11"/>
    <mergeCell ref="C13:D13"/>
    <mergeCell ref="C14:D14"/>
    <mergeCell ref="C15:D15"/>
    <mergeCell ref="C17:D17"/>
    <mergeCell ref="C18:D18"/>
    <mergeCell ref="C19:D19"/>
    <mergeCell ref="C20:D20"/>
    <mergeCell ref="C22:D22"/>
    <mergeCell ref="F23:G23"/>
    <mergeCell ref="F24:G24"/>
    <mergeCell ref="F25:G25"/>
    <mergeCell ref="F26:G26"/>
    <mergeCell ref="F27:G27"/>
    <mergeCell ref="F28:G28"/>
    <mergeCell ref="H31:I31"/>
    <mergeCell ref="F32:G32"/>
    <mergeCell ref="H32:I32"/>
    <mergeCell ref="F33:G33"/>
    <mergeCell ref="H33:I33"/>
    <mergeCell ref="F34:G34"/>
    <mergeCell ref="H34:I34"/>
    <mergeCell ref="A38:D38"/>
    <mergeCell ref="F38:G38"/>
    <mergeCell ref="F40:G40"/>
    <mergeCell ref="F41:G41"/>
    <mergeCell ref="F42:G42"/>
    <mergeCell ref="F43:G43"/>
    <mergeCell ref="F44:G44"/>
    <mergeCell ref="F45:G45"/>
    <mergeCell ref="F46:G46"/>
    <mergeCell ref="F47:G47"/>
    <mergeCell ref="F48:G48"/>
    <mergeCell ref="F49:G49"/>
  </mergeCells>
  <conditionalFormatting sqref="D25">
    <cfRule type="expression" priority="2" aboveAverage="0" equalAverage="0" bottom="0" percent="0" rank="0" text="" dxfId="27">
      <formula>Nb_sat="0 satellite"</formula>
    </cfRule>
  </conditionalFormatting>
  <conditionalFormatting sqref="H27 H46">
    <cfRule type="expression" priority="3" aboveAverage="0" equalAverage="0" bottom="0" percent="0" rank="0" text="" dxfId="28">
      <formula>ABS(Temps_culmi-T_para)&gt;2</formula>
    </cfRule>
  </conditionalFormatting>
  <conditionalFormatting sqref="J28 J45">
    <cfRule type="expression" priority="4" aboveAverage="0" equalAverage="0" bottom="0" percent="0" rank="0" text="" dxfId="29">
      <formula>AND(Portee_balistique&gt;200,LEFT(Type_propu,4)="Mini")</formula>
    </cfRule>
  </conditionalFormatting>
  <conditionalFormatting sqref="H33:I33">
    <cfRule type="cellIs" priority="5" operator="equal" aboveAverage="0" equalAverage="0" bottom="0" percent="0" rank="0" text="" dxfId="30">
      <formula>"Rouge…"</formula>
    </cfRule>
  </conditionalFormatting>
  <conditionalFormatting sqref="H32:I32">
    <cfRule type="cellIs" priority="6" operator="equal" aboveAverage="0" equalAverage="0" bottom="0" percent="0" rank="0" text="" dxfId="31">
      <formula>"Brun/Orange…"</formula>
    </cfRule>
  </conditionalFormatting>
  <conditionalFormatting sqref="N33">
    <cfRule type="expression" priority="7" aboveAverage="0" equalAverage="0" bottom="0" percent="0" rank="0" text="" dxfId="32">
      <formula>ROUND(SUM(C23:L34),0)=1914</formula>
    </cfRule>
  </conditionalFormatting>
  <conditionalFormatting sqref="N34">
    <cfRule type="expression" priority="8" aboveAverage="0" equalAverage="0" bottom="0" percent="0" rank="0" text="" dxfId="33">
      <formula>$N$34="propu NOK"</formula>
    </cfRule>
  </conditionalFormatting>
  <conditionalFormatting sqref="F49:M49">
    <cfRule type="expression" priority="9" aboveAverage="0" equalAverage="0" bottom="0" percent="0" rank="0" text="" dxfId="34">
      <formula>Nb_sat="0 satellite"</formula>
    </cfRule>
  </conditionalFormatting>
  <conditionalFormatting sqref="F34:I34 F48:M48">
    <cfRule type="expression" priority="10" aboveAverage="0" equalAverage="0" bottom="0" percent="0" rank="0" text="" dxfId="35">
      <formula>Nb_sat="0 satellite"</formula>
    </cfRule>
  </conditionalFormatting>
  <conditionalFormatting sqref="F25">
    <cfRule type="expression" priority="11" aboveAverage="0" equalAverage="0" bottom="0" percent="0" rank="0" text="" dxfId="36">
      <formula>Nb_sat="0 satellite"</formula>
    </cfRule>
  </conditionalFormatting>
  <conditionalFormatting sqref="K40">
    <cfRule type="expression" priority="12" aboveAverage="0" equalAverage="0" bottom="0" percent="0" rank="0" text="" dxfId="37">
      <formula>AND( $K$21=0, OR( $I$21&gt;0, $J$21&gt;0 ) )</formula>
    </cfRule>
  </conditionalFormatting>
  <conditionalFormatting sqref="D24">
    <cfRule type="expression" priority="13" aboveAverage="0" equalAverage="0" bottom="0" percent="0" rank="0" text="" dxfId="38">
      <formula>Nb_sat="0 satellite"</formula>
    </cfRule>
  </conditionalFormatting>
  <conditionalFormatting sqref="D30">
    <cfRule type="expression" priority="14" aboveAverage="0" equalAverage="0" bottom="0" percent="0" rank="0" text="" dxfId="39">
      <formula>Nb_sat="0 satellite"</formula>
    </cfRule>
    <cfRule type="cellIs" priority="15" operator="notBetween" aboveAverage="0" equalAverage="0" bottom="0" percent="0" rank="0" text="" dxfId="40">
      <formula>5</formula>
      <formula>15</formula>
    </cfRule>
  </conditionalFormatting>
  <conditionalFormatting sqref="H25:M25">
    <cfRule type="expression" priority="16" aboveAverage="0" equalAverage="0" bottom="0" percent="0" rank="0" text="" dxfId="41">
      <formula>Nb_sat="0 satellite"</formula>
    </cfRule>
  </conditionalFormatting>
  <conditionalFormatting sqref="C30">
    <cfRule type="cellIs" priority="17" operator="notBetween" aboveAverage="0" equalAverage="0" bottom="0" percent="0" rank="0" text="" dxfId="42">
      <formula>5</formula>
      <formula>15</formula>
    </cfRule>
  </conditionalFormatting>
  <conditionalFormatting sqref="K23 K41">
    <cfRule type="expression" priority="18" aboveAverage="0" equalAverage="0" bottom="0" percent="0" rank="0" text="" dxfId="43">
      <formula>AND(Vsortie_de_rampe&lt;18, OR(LEFT(Type_fusee,1)=",",LEFT(Type_fusee,4)="Mini",LEFT(Type_fusee,1)="R"))</formula>
    </cfRule>
    <cfRule type="expression" priority="19" aboveAverage="0" equalAverage="0" bottom="0" percent="0" rank="0" text="" dxfId="44">
      <formula>AND(Vsortie_de_rampe&lt;20, RIGHT(Type_fusee,1)=".")</formula>
    </cfRule>
  </conditionalFormatting>
  <conditionalFormatting sqref="D26:D29 D31:D33">
    <cfRule type="expression" priority="20" aboveAverage="0" equalAverage="0" bottom="0" percent="0" rank="0" text="" dxfId="45">
      <formula>Nb_sat="0 satellite"</formula>
    </cfRule>
  </conditionalFormatting>
  <conditionalFormatting sqref="B26">
    <cfRule type="expression" priority="21" aboveAverage="0" equalAverage="0" bottom="0" percent="0" rank="0" text="" dxfId="46">
      <formula>NOT(OR(C25=F108,C25=F102,Nb_sat="1 satellite"))</formula>
    </cfRule>
  </conditionalFormatting>
  <conditionalFormatting sqref="C26">
    <cfRule type="expression" priority="22" aboveAverage="0" equalAverage="0" bottom="0" percent="0" rank="0" text="" dxfId="47">
      <formula>NOT(OR(C25=F108,C25=F102))</formula>
    </cfRule>
  </conditionalFormatting>
  <dataValidations count="14">
    <dataValidation allowBlank="false" errorStyle="stop" operator="greaterThanOrEqual" showDropDown="false" showErrorMessage="false" showInputMessage="false" sqref="C10:D10" type="none">
      <formula1>0</formula1>
      <formula2>0</formula2>
    </dataValidation>
    <dataValidation allowBlank="false" errorStyle="stop" operator="between" showDropDown="false" showErrorMessage="false" showInputMessage="false" sqref="C11:D11" type="none">
      <formula1>0</formula1>
      <formula2>0</formula2>
    </dataValidation>
    <dataValidation allowBlank="false" errorStyle="stop" operator="greaterThanOrEqual" showDropDown="false" showErrorMessage="true" showInputMessage="false" sqref="C26:D26 D27 C29 H40:K40" type="decimal">
      <formula1>0</formula1>
      <formula2>0</formula2>
    </dataValidation>
    <dataValidation allowBlank="true" errorStyle="stop" operator="between" showDropDown="false" showErrorMessage="true" showInputMessage="true" sqref="H50" type="list">
      <formula1>gao</formula1>
      <formula2>0</formula2>
    </dataValidation>
    <dataValidation allowBlank="false" errorStyle="stop" operator="greaterThanOrEqual" showDropDown="false" showErrorMessage="true" showInputMessage="false" sqref="C27 D29" type="none">
      <formula1>0</formula1>
      <formula2>0</formula2>
    </dataValidation>
    <dataValidation allowBlank="true" error="Le Cx du parachute est souvent compris entre 0 et 2.&#10;Cx of parachute might be between 0 a 2." errorStyle="warning" errorTitle="Cx para" operator="between" showDropDown="false" showErrorMessage="true" showInputMessage="false" sqref="C28:D28" type="decimal">
      <formula1>0</formula1>
      <formula2>2</formula2>
    </dataValidation>
    <dataValidation allowBlank="false" error="Le Cx est souvent compris entre 0,3 et 0,7.&#10;Cx may be between 0,3 &amp; 0,7." errorStyle="warning" errorTitle="Cx" operator="between" showDropDown="false" showErrorMessage="true" showInputMessage="false" sqref="C15:D15" type="decimal">
      <formula1>0.3</formula1>
      <formula2>0.7</formula2>
    </dataValidation>
    <dataValidation allowBlank="true" errorStyle="stop" operator="greaterThanOrEqual" showDropDown="false" showErrorMessage="true" showInputMessage="false" sqref="C18:D18" type="decimal">
      <formula1>0</formula1>
      <formula2>0</formula2>
    </dataValidation>
    <dataValidation allowBlank="true" error="Il est conseillé d'incliner à rampe entre 75° et 85° par rapport à l'horizontale.&#10;This Angle is recommended between 75° &amp; 85°." errorStyle="information" errorTitle="Angle de la rampe" operator="between" showDropDown="false" showErrorMessage="true" showInputMessage="true" sqref="C19:D19" type="decimal">
      <formula1>75</formula1>
      <formula2>85</formula2>
    </dataValidation>
    <dataValidation allowBlank="true" errorStyle="stop" operator="greaterThanOrEqual" showDropDown="false" showErrorMessage="true" showInputMessage="false" sqref="C20:D20" type="whole">
      <formula1>0</formula1>
      <formula2>0</formula2>
    </dataValidation>
    <dataValidation allowBlank="true" errorStyle="stop" operator="between" showDropDown="false" showErrorMessage="true" showInputMessage="false" sqref="M40" type="whole">
      <formula1>-360</formula1>
      <formula2>360</formula2>
    </dataValidation>
    <dataValidation allowBlank="false" errorStyle="stop" operator="between" showDropDown="false" showErrorMessage="true" showInputMessage="true" sqref="D23" type="list">
      <formula1>Menu_sat</formula1>
      <formula2>0</formula2>
    </dataValidation>
    <dataValidation allowBlank="false" errorStyle="stop" operator="greaterThanOrEqual" showDropDown="false" showErrorMessage="true" showInputMessage="false" sqref="B43 B45 B51 B53" type="whole">
      <formula1>0</formula1>
      <formula2>0</formula2>
    </dataValidation>
    <dataValidation allowBlank="false" errorStyle="stop" operator="between" showDropDown="false" showErrorMessage="true" showInputMessage="true" sqref="C25" type="list">
      <formula1>IF(Depotage&lt;&gt;0,IF(LEFT(Type_propu,5)="Micro",$F$108,$F$103:$F$108),$F$102)</formula1>
      <formula2>0</formula2>
    </dataValidation>
  </dataValidations>
  <hyperlinks>
    <hyperlink ref="B11" location="Stabilito!C17" display="#Stabilito!C17"/>
  </hyperlinks>
  <printOptions headings="false" gridLines="false" gridLinesSet="true" horizontalCentered="true" verticalCentered="true"/>
  <pageMargins left="0.0784722222222222" right="0.0784722222222222" top="0.0784722222222222" bottom="0.0784722222222222"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75:B14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796875" defaultRowHeight="12" zeroHeight="false" outlineLevelRow="0" outlineLevelCol="0"/>
  <sheetData>
    <row r="75" customFormat="false" ht="12" hidden="false" customHeight="false" outlineLevel="0" collapsed="false">
      <c r="B75" s="0" t="s">
        <v>210</v>
      </c>
    </row>
    <row r="76" customFormat="false" ht="12" hidden="false" customHeight="false" outlineLevel="0" collapsed="false">
      <c r="B76" s="0" t="str">
        <f aca="false">IF(Lang="Français","Ces courbes représentent la trajectoire de la fusée dans l'hypothèse d'une descente balistique (sans ouverture du parachute). ","These curves show the rocket trajectory in case of ballistic fall (without parachute).")</f>
        <v>Ces courbes représentent la trajectoire de la fusée dans l'hypothèse d'une descente balistique (sans ouverture du parachute). </v>
      </c>
    </row>
    <row r="77" customFormat="false" ht="12" hidden="false" customHeight="false" outlineLevel="0" collapsed="false">
      <c r="B77" s="0" t="str">
        <f aca="false">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customFormat="false" ht="12" hidden="false" customHeight="false" outlineLevel="0" collapsed="false">
      <c r="B78" s="0" t="str">
        <f aca="false">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customFormat="false" ht="12" hidden="false" customHeight="false" outlineLevel="0" collapsed="false">
      <c r="B79" s="0" t="str">
        <f aca="false">IF(Lang="Français","Exemples : Si Poussée = Poids, Vitesse constante, Acc nulle, Charge = 1G ; En chute libre, Acc = -1G, Charge = 0",IF(Lang="English","",""))</f>
        <v>Exemples : Si Poussée = Poids, Vitesse constante, Acc nulle, Charge = 1G ; En chute libre, Acc = -1G, Charge = 0</v>
      </c>
    </row>
    <row r="131" customFormat="false" ht="12.75" hidden="false" customHeight="false" outlineLevel="0" collapsed="false">
      <c r="B131" s="1" t="str">
        <f aca="false">IF(Lang="Français","Textes pour les graphiques :","Texts for graphics :")</f>
        <v>Textes pour les graphiques :</v>
      </c>
    </row>
    <row r="133" customFormat="false" ht="12" hidden="false" customHeight="false" outlineLevel="0" collapsed="false">
      <c r="B133" s="0" t="str">
        <f aca="false">IF(Lang="Français","Traînée",IF(Lang="English","Drag",""))</f>
        <v>Traînée</v>
      </c>
    </row>
    <row r="134" customFormat="false" ht="12" hidden="false" customHeight="false" outlineLevel="0" collapsed="false">
      <c r="B134" s="0" t="str">
        <f aca="false">IF(Lang="Français","Poussée",IF(Lang="English","Thrust",""))</f>
        <v>Poussée</v>
      </c>
    </row>
    <row r="135" customFormat="false" ht="12" hidden="false" customHeight="false" outlineLevel="0" collapsed="false">
      <c r="B135" s="0" t="str">
        <f aca="false">IF(Lang="Français","Poids",IF(Lang="English","Weight",""))</f>
        <v>Poids</v>
      </c>
    </row>
    <row r="137" customFormat="false" ht="12" hidden="false" customHeight="false" outlineLevel="0" collapsed="false">
      <c r="B137" s="0" t="str">
        <f aca="false">IF(Lang="Français","Accélération longitudinale",IF(Lang="English","Longitudinal Acceleration",""))</f>
        <v>Accélération longitudinale</v>
      </c>
    </row>
    <row r="138" customFormat="false" ht="12" hidden="false" customHeight="false" outlineLevel="0" collapsed="false">
      <c r="B138" s="0" t="str">
        <f aca="false">IF(Lang="Français","Charge vue par un capteur",IF(Lang="English","Load seen by a sensor",""))</f>
        <v>Charge vue par un capteur</v>
      </c>
    </row>
    <row r="140" customFormat="false" ht="12" hidden="false" customHeight="false" outlineLevel="0" collapsed="false">
      <c r="B140" s="0" t="str">
        <f aca="false">IF(Lang="Français","Vitesse",IF(Lang="English","Velocity",""))</f>
        <v>Vitesse</v>
      </c>
    </row>
    <row r="141" customFormat="false" ht="12" hidden="false" customHeight="false" outlineLevel="0" collapsed="false">
      <c r="B141" s="0" t="str">
        <f aca="false">IF(Lang="Français","Vitesse [m/s]",IF(Lang="English","Velocity [m/s]",""))</f>
        <v>Vitesse [m/s]</v>
      </c>
    </row>
    <row r="143" customFormat="false" ht="12" hidden="false" customHeight="false" outlineLevel="0" collapsed="false">
      <c r="B143" s="0" t="s">
        <v>160</v>
      </c>
    </row>
    <row r="144" customFormat="false" ht="12" hidden="false" customHeight="false" outlineLevel="0" collapsed="false">
      <c r="B144" s="0" t="str">
        <f aca="false">IF(Lang="Français","Portée",IF(Lang="English","Range",""))</f>
        <v>Portée</v>
      </c>
    </row>
    <row r="146" customFormat="false" ht="12" hidden="false" customHeight="false" outlineLevel="0" collapsed="false">
      <c r="B146" s="0" t="str">
        <f aca="false">IF(Lang="Français","Temps [s]",IF(Lang="English","Time [s]",""))</f>
        <v>Temps [s]</v>
      </c>
    </row>
  </sheetData>
  <sheetProtection sheet="true" password="c6ac"/>
  <printOptions headings="false" gridLines="false" gridLinesSet="true" horizontalCentered="true" verticalCentered="true"/>
  <pageMargins left="0.39375" right="0.39375" top="0.39375" bottom="0.393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Z346"/>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K6" activeCellId="0" sqref="K6"/>
    </sheetView>
  </sheetViews>
  <sheetFormatPr defaultColWidth="10.6796875" defaultRowHeight="12" zeroHeight="false" outlineLevelRow="0" outlineLevelCol="0"/>
  <cols>
    <col collapsed="false" customWidth="true" hidden="false" outlineLevel="0" max="1" min="1" style="0" width="22.63"/>
  </cols>
  <sheetData>
    <row r="1" customFormat="false" ht="12.75" hidden="false" customHeight="false" outlineLevel="0" collapsed="false">
      <c r="A1" s="338" t="str">
        <f aca="false">IF(Lang="Français","Moteur sélectionné","Selected motor")</f>
        <v>Moteur sélectionné</v>
      </c>
      <c r="B1" s="338" t="s">
        <v>211</v>
      </c>
    </row>
    <row r="2" customFormat="false" ht="12.75" hidden="false" customHeight="false" outlineLevel="0" collapsed="false">
      <c r="A2" s="339" t="str">
        <f aca="false">Propu</f>
        <v>Barasinga (Pro54-5G C)</v>
      </c>
      <c r="B2" s="339" t="n">
        <f aca="false">VLOOKUP(A2,A26:B314,2,FALSE())</f>
        <v>279</v>
      </c>
      <c r="C2" s="340" t="s">
        <v>212</v>
      </c>
      <c r="D2" s="341" t="n">
        <f aca="true">INDIRECT(ADDRESS(B2,4))</f>
        <v>2058.37</v>
      </c>
      <c r="E2" s="340" t="s">
        <v>213</v>
      </c>
      <c r="F2" s="342" t="n">
        <f aca="true">INDIRECT(ADDRESS(B2,6))</f>
        <v>203.120667315983</v>
      </c>
      <c r="G2" s="340" t="s">
        <v>214</v>
      </c>
      <c r="H2" s="343" t="n">
        <f aca="true">INDIRECT(ADDRESS(B2,8))</f>
        <v>1.685</v>
      </c>
      <c r="I2" s="340" t="s">
        <v>215</v>
      </c>
      <c r="J2" s="343" t="n">
        <f aca="true">INDIRECT(ADDRESS(B2,10))</f>
        <v>1.033</v>
      </c>
      <c r="K2" s="340" t="s">
        <v>216</v>
      </c>
      <c r="L2" s="343" t="n">
        <f aca="true">INDIRECT(ADDRESS(B2,12))</f>
        <v>0.652</v>
      </c>
      <c r="M2" s="340" t="s">
        <v>217</v>
      </c>
      <c r="N2" s="344" t="n">
        <f aca="true">INDIRECT(ADDRESS(B2,14))</f>
        <v>250</v>
      </c>
      <c r="O2" s="340" t="s">
        <v>218</v>
      </c>
      <c r="P2" s="344" t="n">
        <f aca="true">INDIRECT(ADDRESS(B2,16))</f>
        <v>240</v>
      </c>
      <c r="Q2" s="340" t="s">
        <v>219</v>
      </c>
      <c r="R2" s="344" t="n">
        <f aca="true">INDIRECT(ADDRESS(B2,18))</f>
        <v>488</v>
      </c>
      <c r="S2" s="340" t="s">
        <v>220</v>
      </c>
      <c r="T2" s="344" t="n">
        <f aca="true">INDIRECT(ADDRESS(B2,20))</f>
        <v>54</v>
      </c>
      <c r="U2" s="340" t="s">
        <v>8</v>
      </c>
      <c r="V2" s="345" t="str">
        <f aca="true">INDIRECT(ADDRESS(B2,22))</f>
        <v>Fusex</v>
      </c>
      <c r="W2" s="346" t="s">
        <v>221</v>
      </c>
      <c r="X2" s="347" t="n">
        <f aca="true">INDIRECT(ADDRESS(B2,24))</f>
        <v>0</v>
      </c>
      <c r="Y2" s="346" t="s">
        <v>222</v>
      </c>
      <c r="Z2" s="345" t="n">
        <f aca="true">INDIRECT(ADDRESS(B2,26))</f>
        <v>0</v>
      </c>
    </row>
    <row r="3" customFormat="false" ht="12" hidden="false" customHeight="false" outlineLevel="0" collapsed="false">
      <c r="A3" s="338" t="str">
        <f aca="false">IF(Lang="Français","Temps (en s)","Time (s)")</f>
        <v>Temps (en s)</v>
      </c>
      <c r="B3" s="348" t="n">
        <f aca="true">INDIRECT(ADDRESS($B2+1,COLUMN(B3)))</f>
        <v>0</v>
      </c>
      <c r="C3" s="349" t="n">
        <f aca="true">INDIRECT(ADDRESS($B2+1,COLUMN(C3)))</f>
        <v>0.05</v>
      </c>
      <c r="D3" s="349" t="n">
        <f aca="true">INDIRECT(ADDRESS($B2+1,COLUMN(D3)))</f>
        <v>0.5</v>
      </c>
      <c r="E3" s="349" t="n">
        <f aca="true">INDIRECT(ADDRESS($B2+1,COLUMN(E3)))</f>
        <v>1</v>
      </c>
      <c r="F3" s="349" t="n">
        <f aca="true">INDIRECT(ADDRESS($B2+1,COLUMN(F3)))</f>
        <v>1.5</v>
      </c>
      <c r="G3" s="349" t="n">
        <f aca="true">INDIRECT(ADDRESS($B2+1,COLUMN(G3)))</f>
        <v>2</v>
      </c>
      <c r="H3" s="349" t="n">
        <f aca="true">INDIRECT(ADDRESS($B2+1,COLUMN(H3)))</f>
        <v>2.5</v>
      </c>
      <c r="I3" s="349" t="n">
        <f aca="true">INDIRECT(ADDRESS($B2+1,COLUMN(I3)))</f>
        <v>2.97</v>
      </c>
      <c r="J3" s="349" t="n">
        <f aca="true">INDIRECT(ADDRESS($B2+1,COLUMN(J3)))</f>
        <v>3.2</v>
      </c>
      <c r="K3" s="349" t="n">
        <f aca="true">INDIRECT(ADDRESS($B2+1,COLUMN(K3)))</f>
        <v>3.47</v>
      </c>
      <c r="L3" s="349" t="n">
        <f aca="true">INDIRECT(ADDRESS($B2+1,COLUMN(L3)))</f>
        <v>3.59</v>
      </c>
      <c r="M3" s="349" t="n">
        <f aca="true">INDIRECT(ADDRESS($B2+1,COLUMN(M3)))</f>
        <v>3.59</v>
      </c>
      <c r="N3" s="349" t="n">
        <f aca="true">INDIRECT(ADDRESS($B2+1,COLUMN(N3)))</f>
        <v>3.59</v>
      </c>
      <c r="O3" s="349" t="n">
        <f aca="true">INDIRECT(ADDRESS($B2+1,COLUMN(O3)))</f>
        <v>3.59</v>
      </c>
      <c r="P3" s="349" t="n">
        <f aca="true">INDIRECT(ADDRESS($B2+1,COLUMN(P3)))</f>
        <v>3.59</v>
      </c>
      <c r="Q3" s="349" t="n">
        <f aca="true">INDIRECT(ADDRESS($B2+1,COLUMN(Q3)))</f>
        <v>3.59</v>
      </c>
      <c r="R3" s="349" t="n">
        <f aca="true">INDIRECT(ADDRESS($B2+1,COLUMN(R3)))</f>
        <v>3.59</v>
      </c>
      <c r="S3" s="349" t="n">
        <f aca="true">INDIRECT(ADDRESS($B2+1,COLUMN(S3)))</f>
        <v>3.59</v>
      </c>
      <c r="T3" s="349" t="n">
        <f aca="true">INDIRECT(ADDRESS($B2+1,COLUMN(T3)))</f>
        <v>3.59</v>
      </c>
      <c r="U3" s="349" t="n">
        <f aca="true">INDIRECT(ADDRESS($B2+1,COLUMN(U3)))</f>
        <v>3.59</v>
      </c>
      <c r="V3" s="349" t="n">
        <f aca="true">INDIRECT(ADDRESS($B2+1,COLUMN(V3)))</f>
        <v>3.59</v>
      </c>
      <c r="W3" s="349" t="n">
        <f aca="true">INDIRECT(ADDRESS($B2+1,COLUMN(W3)))</f>
        <v>3.59</v>
      </c>
      <c r="X3" s="349" t="n">
        <f aca="true">INDIRECT(ADDRESS($B2+1,COLUMN(X3)))</f>
        <v>3.59</v>
      </c>
      <c r="Y3" s="350" t="n">
        <f aca="true">INDIRECT(ADDRESS($B2+1,COLUMN(Y3)))</f>
        <v>1000</v>
      </c>
    </row>
    <row r="4" customFormat="false" ht="12.75" hidden="false" customHeight="false" outlineLevel="0" collapsed="false">
      <c r="A4" s="351" t="str">
        <f aca="false">IF(Lang="Français","Poussée (en N)","Thrust (N)")</f>
        <v>Poussée (en N)</v>
      </c>
      <c r="B4" s="352" t="n">
        <f aca="true">INDIRECT(ADDRESS($B2+2,COLUMN(B3)))</f>
        <v>0</v>
      </c>
      <c r="C4" s="353" t="n">
        <f aca="true">INDIRECT(ADDRESS($B2+2,COLUMN(C3)))</f>
        <v>893</v>
      </c>
      <c r="D4" s="353" t="n">
        <f aca="true">INDIRECT(ADDRESS($B2+2,COLUMN(D3)))</f>
        <v>798</v>
      </c>
      <c r="E4" s="353" t="n">
        <f aca="true">INDIRECT(ADDRESS($B2+2,COLUMN(E3)))</f>
        <v>739</v>
      </c>
      <c r="F4" s="353" t="n">
        <f aca="true">INDIRECT(ADDRESS($B2+2,COLUMN(F3)))</f>
        <v>659</v>
      </c>
      <c r="G4" s="353" t="n">
        <f aca="true">INDIRECT(ADDRESS($B2+2,COLUMN(G3)))</f>
        <v>586</v>
      </c>
      <c r="H4" s="353" t="n">
        <f aca="true">INDIRECT(ADDRESS($B2+2,COLUMN(H3)))</f>
        <v>513</v>
      </c>
      <c r="I4" s="353" t="n">
        <f aca="true">INDIRECT(ADDRESS($B2+2,COLUMN(I3)))</f>
        <v>417</v>
      </c>
      <c r="J4" s="353" t="n">
        <f aca="true">INDIRECT(ADDRESS($B2+2,COLUMN(J3)))</f>
        <v>225</v>
      </c>
      <c r="K4" s="353" t="n">
        <f aca="true">INDIRECT(ADDRESS($B2+2,COLUMN(K3)))</f>
        <v>67</v>
      </c>
      <c r="L4" s="353" t="n">
        <f aca="true">INDIRECT(ADDRESS($B2+2,COLUMN(L3)))</f>
        <v>0</v>
      </c>
      <c r="M4" s="353" t="n">
        <f aca="true">INDIRECT(ADDRESS($B2+2,COLUMN(M3)))</f>
        <v>0</v>
      </c>
      <c r="N4" s="353" t="n">
        <f aca="true">INDIRECT(ADDRESS($B2+2,COLUMN(N3)))</f>
        <v>0</v>
      </c>
      <c r="O4" s="353" t="n">
        <f aca="true">INDIRECT(ADDRESS($B2+2,COLUMN(O3)))</f>
        <v>0</v>
      </c>
      <c r="P4" s="353" t="n">
        <f aca="true">INDIRECT(ADDRESS($B2+2,COLUMN(P3)))</f>
        <v>0</v>
      </c>
      <c r="Q4" s="353" t="n">
        <f aca="true">INDIRECT(ADDRESS($B2+2,COLUMN(Q3)))</f>
        <v>0</v>
      </c>
      <c r="R4" s="353" t="n">
        <f aca="true">INDIRECT(ADDRESS($B2+2,COLUMN(R3)))</f>
        <v>0</v>
      </c>
      <c r="S4" s="353" t="n">
        <f aca="true">INDIRECT(ADDRESS($B2+2,COLUMN(S3)))</f>
        <v>0</v>
      </c>
      <c r="T4" s="353" t="n">
        <f aca="true">INDIRECT(ADDRESS($B2+2,COLUMN(T3)))</f>
        <v>0</v>
      </c>
      <c r="U4" s="353" t="n">
        <f aca="true">INDIRECT(ADDRESS($B2+2,COLUMN(U3)))</f>
        <v>0</v>
      </c>
      <c r="V4" s="353" t="n">
        <f aca="true">INDIRECT(ADDRESS($B2+2,COLUMN(V3)))</f>
        <v>0</v>
      </c>
      <c r="W4" s="353" t="n">
        <f aca="true">INDIRECT(ADDRESS($B2+2,COLUMN(W3)))</f>
        <v>0</v>
      </c>
      <c r="X4" s="353" t="n">
        <f aca="true">INDIRECT(ADDRESS($B2+2,COLUMN(X3)))</f>
        <v>0</v>
      </c>
      <c r="Y4" s="354" t="n">
        <f aca="true">INDIRECT(ADDRESS($B2+2,COLUMN(Y3)))</f>
        <v>0</v>
      </c>
    </row>
    <row r="5" customFormat="false" ht="12" hidden="false" customHeight="false" outlineLevel="0" collapsed="false">
      <c r="B5" s="355"/>
      <c r="C5" s="355"/>
      <c r="D5" s="355"/>
      <c r="E5" s="355"/>
      <c r="F5" s="355"/>
      <c r="G5" s="355"/>
      <c r="H5" s="355"/>
      <c r="I5" s="355"/>
      <c r="J5" s="355"/>
      <c r="K5" s="355"/>
      <c r="L5" s="355"/>
      <c r="M5" s="355"/>
      <c r="N5" s="355"/>
      <c r="O5" s="355"/>
      <c r="P5" s="355"/>
      <c r="Q5" s="355"/>
      <c r="R5" s="355"/>
      <c r="S5" s="355"/>
      <c r="T5" s="355"/>
      <c r="U5" s="355"/>
      <c r="V5" s="355"/>
      <c r="W5" s="355"/>
      <c r="X5" s="355"/>
      <c r="Y5" s="355"/>
    </row>
    <row r="6" customFormat="false" ht="12" hidden="false" customHeight="false" outlineLevel="0" collapsed="false">
      <c r="B6" s="355"/>
      <c r="C6" s="355"/>
      <c r="D6" s="355"/>
      <c r="E6" s="355"/>
      <c r="F6" s="355"/>
      <c r="G6" s="355"/>
      <c r="H6" s="355"/>
      <c r="I6" s="355"/>
      <c r="J6" s="355"/>
      <c r="K6" s="355"/>
      <c r="L6" s="355"/>
      <c r="M6" s="355"/>
      <c r="N6" s="355"/>
      <c r="O6" s="355"/>
      <c r="P6" s="355"/>
      <c r="Q6" s="355"/>
      <c r="R6" s="355"/>
      <c r="S6" s="355"/>
      <c r="T6" s="355"/>
      <c r="U6" s="355"/>
      <c r="V6" s="355"/>
      <c r="W6" s="355"/>
      <c r="X6" s="355"/>
      <c r="Y6" s="355"/>
    </row>
    <row r="7" customFormat="false" ht="12" hidden="false" customHeight="false" outlineLevel="0" collapsed="false">
      <c r="B7" s="355"/>
      <c r="C7" s="355"/>
      <c r="D7" s="355"/>
      <c r="E7" s="355"/>
      <c r="F7" s="355"/>
      <c r="G7" s="355"/>
      <c r="H7" s="355"/>
      <c r="I7" s="355"/>
      <c r="J7" s="355"/>
      <c r="K7" s="355"/>
      <c r="L7" s="355"/>
      <c r="M7" s="355"/>
    </row>
    <row r="8" customFormat="false" ht="12" hidden="false" customHeight="false" outlineLevel="0" collapsed="false">
      <c r="B8" s="355"/>
      <c r="C8" s="355"/>
      <c r="D8" s="355"/>
      <c r="E8" s="355"/>
      <c r="F8" s="355"/>
      <c r="G8" s="355"/>
      <c r="H8" s="355"/>
      <c r="I8" s="355"/>
      <c r="J8" s="355"/>
      <c r="K8" s="355"/>
      <c r="L8" s="355"/>
      <c r="M8" s="355"/>
    </row>
    <row r="9" customFormat="false" ht="12" hidden="false" customHeight="false" outlineLevel="0" collapsed="false">
      <c r="B9" s="355"/>
      <c r="C9" s="355"/>
      <c r="D9" s="355"/>
      <c r="E9" s="355"/>
      <c r="F9" s="355"/>
      <c r="G9" s="355"/>
      <c r="H9" s="355"/>
      <c r="I9" s="355"/>
      <c r="J9" s="355"/>
      <c r="K9" s="355"/>
      <c r="L9" s="355"/>
      <c r="M9" s="355"/>
    </row>
    <row r="10" customFormat="false" ht="12" hidden="false" customHeight="false" outlineLevel="0" collapsed="false">
      <c r="B10" s="355"/>
      <c r="C10" s="355"/>
      <c r="D10" s="355"/>
      <c r="E10" s="355"/>
      <c r="F10" s="355"/>
      <c r="G10" s="355"/>
      <c r="H10" s="355"/>
      <c r="I10" s="355"/>
      <c r="J10" s="355"/>
    </row>
    <row r="11" customFormat="false" ht="12" hidden="false" customHeight="false" outlineLevel="0" collapsed="false">
      <c r="B11" s="355"/>
      <c r="C11" s="355"/>
      <c r="D11" s="355"/>
      <c r="E11" s="355"/>
      <c r="F11" s="355"/>
      <c r="G11" s="355"/>
      <c r="H11" s="355"/>
      <c r="I11" s="355"/>
      <c r="J11" s="355"/>
    </row>
    <row r="12" customFormat="false" ht="12" hidden="false" customHeight="false" outlineLevel="0" collapsed="false">
      <c r="B12" s="355"/>
      <c r="C12" s="355"/>
      <c r="D12" s="355"/>
      <c r="E12" s="355"/>
      <c r="F12" s="355"/>
      <c r="G12" s="355"/>
      <c r="H12" s="355"/>
      <c r="I12" s="355"/>
      <c r="J12" s="355"/>
    </row>
    <row r="13" customFormat="false" ht="12" hidden="false" customHeight="false" outlineLevel="0" collapsed="false">
      <c r="B13" s="355"/>
      <c r="C13" s="355"/>
      <c r="D13" s="355"/>
      <c r="E13" s="355"/>
      <c r="F13" s="355"/>
      <c r="G13" s="355"/>
      <c r="H13" s="355"/>
      <c r="I13" s="355"/>
      <c r="J13" s="355"/>
    </row>
    <row r="14" customFormat="false" ht="12" hidden="false" customHeight="false" outlineLevel="0" collapsed="false">
      <c r="B14" s="355"/>
      <c r="C14" s="355"/>
      <c r="D14" s="355"/>
      <c r="E14" s="355"/>
      <c r="F14" s="355"/>
      <c r="G14" s="355"/>
      <c r="H14" s="355"/>
      <c r="I14" s="355"/>
      <c r="J14" s="355"/>
    </row>
    <row r="15" customFormat="false" ht="12" hidden="false" customHeight="false" outlineLevel="0" collapsed="false">
      <c r="B15" s="355"/>
      <c r="C15" s="355"/>
      <c r="D15" s="355"/>
      <c r="E15" s="355"/>
      <c r="F15" s="355"/>
      <c r="G15" s="355"/>
      <c r="H15" s="355"/>
      <c r="I15" s="355"/>
      <c r="J15" s="355"/>
      <c r="K15" s="355"/>
      <c r="L15" s="355"/>
      <c r="M15" s="355"/>
    </row>
    <row r="16" customFormat="false" ht="12" hidden="false" customHeight="false" outlineLevel="0" collapsed="false">
      <c r="B16" s="355"/>
      <c r="C16" s="355"/>
      <c r="D16" s="355"/>
      <c r="E16" s="355"/>
      <c r="F16" s="355"/>
      <c r="G16" s="355"/>
      <c r="H16" s="355"/>
      <c r="I16" s="355"/>
      <c r="J16" s="355"/>
      <c r="K16" s="355"/>
      <c r="L16" s="355"/>
      <c r="M16" s="355"/>
    </row>
    <row r="17" customFormat="false" ht="12" hidden="false" customHeight="false" outlineLevel="0" collapsed="false">
      <c r="B17" s="355"/>
      <c r="C17" s="355"/>
      <c r="D17" s="355"/>
      <c r="E17" s="355"/>
      <c r="F17" s="355"/>
      <c r="G17" s="355"/>
      <c r="H17" s="355"/>
      <c r="I17" s="355"/>
      <c r="J17" s="355"/>
      <c r="K17" s="355"/>
      <c r="L17" s="355"/>
      <c r="M17" s="355"/>
    </row>
    <row r="18" customFormat="false" ht="12" hidden="false" customHeight="false" outlineLevel="0" collapsed="false">
      <c r="B18" s="355"/>
      <c r="C18" s="355"/>
      <c r="D18" s="355"/>
      <c r="E18" s="355"/>
      <c r="F18" s="355"/>
      <c r="G18" s="355"/>
      <c r="H18" s="355"/>
      <c r="I18" s="355"/>
      <c r="J18" s="355"/>
      <c r="K18" s="355"/>
      <c r="L18" s="355"/>
      <c r="M18" s="355"/>
      <c r="N18" s="355"/>
      <c r="O18" s="355"/>
      <c r="P18" s="355"/>
      <c r="Q18" s="355"/>
      <c r="R18" s="355"/>
      <c r="S18" s="355"/>
      <c r="T18" s="355"/>
      <c r="U18" s="355"/>
      <c r="V18" s="355"/>
      <c r="W18" s="355"/>
      <c r="X18" s="355"/>
      <c r="Y18" s="355"/>
    </row>
    <row r="19" customFormat="false" ht="12" hidden="false" customHeight="false" outlineLevel="0" collapsed="false">
      <c r="B19" s="355"/>
      <c r="C19" s="355"/>
      <c r="D19" s="355"/>
      <c r="E19" s="355"/>
      <c r="F19" s="355"/>
      <c r="G19" s="355"/>
      <c r="H19" s="355"/>
      <c r="I19" s="355"/>
      <c r="J19" s="355"/>
      <c r="K19" s="355"/>
      <c r="L19" s="355"/>
      <c r="M19" s="355"/>
      <c r="N19" s="355"/>
      <c r="O19" s="355"/>
      <c r="P19" s="355"/>
      <c r="Q19" s="355"/>
      <c r="R19" s="355"/>
      <c r="S19" s="355"/>
      <c r="T19" s="355"/>
      <c r="U19" s="355"/>
      <c r="V19" s="355"/>
      <c r="W19" s="355"/>
      <c r="X19" s="355"/>
      <c r="Y19" s="355"/>
    </row>
    <row r="20" customFormat="false" ht="12" hidden="false" customHeight="false" outlineLevel="0" collapsed="false">
      <c r="B20" s="355"/>
      <c r="C20" s="355"/>
      <c r="D20" s="355"/>
      <c r="E20" s="355"/>
      <c r="F20" s="355"/>
      <c r="G20" s="355"/>
      <c r="H20" s="355"/>
      <c r="I20" s="355"/>
      <c r="J20" s="355"/>
      <c r="K20" s="355"/>
      <c r="L20" s="355"/>
      <c r="M20" s="355"/>
      <c r="N20" s="355"/>
      <c r="O20" s="355"/>
      <c r="P20" s="355"/>
      <c r="Q20" s="355"/>
      <c r="R20" s="355"/>
      <c r="S20" s="355"/>
      <c r="T20" s="355"/>
      <c r="U20" s="355"/>
      <c r="V20" s="355"/>
      <c r="W20" s="355"/>
      <c r="X20" s="355"/>
      <c r="Y20" s="355"/>
    </row>
    <row r="21" customFormat="false" ht="12" hidden="false" customHeight="false" outlineLevel="0" collapsed="false">
      <c r="B21" s="355"/>
      <c r="C21" s="355"/>
      <c r="D21" s="355"/>
      <c r="E21" s="355"/>
      <c r="F21" s="355"/>
      <c r="G21" s="355"/>
      <c r="H21" s="355"/>
      <c r="I21" s="355"/>
      <c r="J21" s="355"/>
      <c r="K21" s="355"/>
      <c r="L21" s="355"/>
      <c r="M21" s="355"/>
      <c r="N21" s="355"/>
      <c r="O21" s="355"/>
      <c r="P21" s="355"/>
      <c r="Q21" s="355"/>
      <c r="R21" s="355"/>
      <c r="S21" s="355"/>
      <c r="T21" s="355"/>
      <c r="U21" s="355"/>
      <c r="V21" s="355"/>
      <c r="W21" s="355"/>
      <c r="X21" s="355"/>
      <c r="Y21" s="355"/>
    </row>
    <row r="22" customFormat="false" ht="12" hidden="false" customHeight="false" outlineLevel="0" collapsed="false">
      <c r="B22" s="355"/>
      <c r="C22" s="355"/>
      <c r="D22" s="355"/>
      <c r="E22" s="355"/>
      <c r="F22" s="355"/>
      <c r="G22" s="355"/>
      <c r="H22" s="355"/>
      <c r="I22" s="355"/>
      <c r="J22" s="355"/>
      <c r="K22" s="355"/>
      <c r="L22" s="355"/>
      <c r="M22" s="355"/>
      <c r="N22" s="355"/>
      <c r="O22" s="355"/>
      <c r="P22" s="355"/>
      <c r="Q22" s="355"/>
      <c r="R22" s="355"/>
      <c r="S22" s="355"/>
      <c r="T22" s="355"/>
      <c r="U22" s="355"/>
      <c r="V22" s="355"/>
      <c r="W22" s="355"/>
      <c r="X22" s="355"/>
      <c r="Y22" s="355"/>
    </row>
    <row r="23" customFormat="false" ht="12" hidden="false" customHeight="false" outlineLevel="0" collapsed="false">
      <c r="B23" s="355"/>
      <c r="C23" s="355"/>
      <c r="D23" s="355"/>
      <c r="E23" s="355"/>
      <c r="F23" s="355"/>
      <c r="G23" s="355"/>
      <c r="H23" s="355"/>
      <c r="I23" s="355"/>
      <c r="J23" s="355"/>
      <c r="K23" s="355"/>
      <c r="L23" s="355"/>
      <c r="M23" s="355"/>
      <c r="N23" s="355"/>
      <c r="O23" s="355"/>
      <c r="P23" s="355"/>
      <c r="Q23" s="355"/>
      <c r="R23" s="355"/>
      <c r="S23" s="355"/>
      <c r="T23" s="355"/>
      <c r="U23" s="355"/>
      <c r="V23" s="355"/>
      <c r="W23" s="355"/>
      <c r="X23" s="355"/>
      <c r="Y23" s="355"/>
    </row>
    <row r="25" customFormat="false" ht="13.5" hidden="false" customHeight="false" outlineLevel="0" collapsed="false">
      <c r="A25" s="356" t="s">
        <v>223</v>
      </c>
    </row>
    <row r="26" customFormat="false" ht="13.5" hidden="false" customHeight="false" outlineLevel="0" collapsed="false">
      <c r="A26" s="357" t="s">
        <v>224</v>
      </c>
      <c r="B26" s="358" t="n">
        <f aca="false">ROW(A26)</f>
        <v>26</v>
      </c>
      <c r="C26" s="340" t="s">
        <v>212</v>
      </c>
      <c r="D26" s="341" t="n">
        <f aca="false">SUM(B29:Y29)</f>
        <v>9.845</v>
      </c>
      <c r="E26" s="340" t="s">
        <v>213</v>
      </c>
      <c r="F26" s="347" t="n">
        <f aca="false">D26/g/J26</f>
        <v>3.34522595990486</v>
      </c>
      <c r="G26" s="340" t="s">
        <v>214</v>
      </c>
      <c r="H26" s="359" t="n">
        <v>0.3</v>
      </c>
      <c r="I26" s="340" t="s">
        <v>225</v>
      </c>
      <c r="J26" s="343" t="n">
        <f aca="false">H26-L26</f>
        <v>0.3</v>
      </c>
      <c r="K26" s="340" t="s">
        <v>226</v>
      </c>
      <c r="L26" s="359" t="n">
        <v>0</v>
      </c>
      <c r="M26" s="340" t="s">
        <v>217</v>
      </c>
      <c r="N26" s="360" t="n">
        <f aca="false">0.2*R26</f>
        <v>60</v>
      </c>
      <c r="O26" s="340" t="s">
        <v>218</v>
      </c>
      <c r="P26" s="360" t="n">
        <v>150</v>
      </c>
      <c r="Q26" s="340" t="s">
        <v>219</v>
      </c>
      <c r="R26" s="360" t="n">
        <v>300</v>
      </c>
      <c r="S26" s="340" t="s">
        <v>220</v>
      </c>
      <c r="T26" s="360" t="n">
        <v>90</v>
      </c>
      <c r="U26" s="340" t="s">
        <v>8</v>
      </c>
      <c r="V26" s="361" t="s">
        <v>223</v>
      </c>
      <c r="W26" s="355"/>
      <c r="X26" s="355"/>
      <c r="Y26" s="355"/>
    </row>
    <row r="27" customFormat="false" ht="12" hidden="false" customHeight="false" outlineLevel="0" collapsed="false">
      <c r="A27" s="338" t="s">
        <v>227</v>
      </c>
      <c r="B27" s="362" t="n">
        <v>0</v>
      </c>
      <c r="C27" s="363" t="n">
        <v>0.001</v>
      </c>
      <c r="D27" s="363" t="n">
        <v>0.02</v>
      </c>
      <c r="E27" s="363" t="n">
        <v>0.038</v>
      </c>
      <c r="F27" s="363" t="n">
        <v>0.04</v>
      </c>
      <c r="G27" s="363" t="n">
        <v>0.04</v>
      </c>
      <c r="H27" s="363" t="n">
        <v>0.04</v>
      </c>
      <c r="I27" s="363" t="n">
        <v>0.04</v>
      </c>
      <c r="J27" s="363" t="n">
        <v>0.04</v>
      </c>
      <c r="K27" s="363" t="n">
        <v>0.04</v>
      </c>
      <c r="L27" s="363" t="n">
        <v>0.04</v>
      </c>
      <c r="M27" s="363" t="n">
        <v>0.04</v>
      </c>
      <c r="N27" s="363" t="n">
        <v>0.04</v>
      </c>
      <c r="O27" s="363" t="n">
        <v>0.04</v>
      </c>
      <c r="P27" s="363" t="n">
        <v>0.04</v>
      </c>
      <c r="Q27" s="363" t="n">
        <v>0.04</v>
      </c>
      <c r="R27" s="363" t="n">
        <v>0.04</v>
      </c>
      <c r="S27" s="363" t="n">
        <v>0.04</v>
      </c>
      <c r="T27" s="363" t="n">
        <v>0.04</v>
      </c>
      <c r="U27" s="363" t="n">
        <v>0.04</v>
      </c>
      <c r="V27" s="363" t="n">
        <v>0.04</v>
      </c>
      <c r="W27" s="363" t="n">
        <v>0.04</v>
      </c>
      <c r="X27" s="363" t="n">
        <v>0.04</v>
      </c>
      <c r="Y27" s="350" t="n">
        <v>1000</v>
      </c>
    </row>
    <row r="28" customFormat="false" ht="12" hidden="false" customHeight="false" outlineLevel="0" collapsed="false">
      <c r="A28" s="364" t="s">
        <v>228</v>
      </c>
      <c r="B28" s="365" t="n">
        <v>0</v>
      </c>
      <c r="C28" s="366" t="n">
        <v>310</v>
      </c>
      <c r="D28" s="366" t="n">
        <v>250</v>
      </c>
      <c r="E28" s="366" t="n">
        <v>212</v>
      </c>
      <c r="F28" s="366" t="n">
        <v>0</v>
      </c>
      <c r="G28" s="366" t="n">
        <v>0</v>
      </c>
      <c r="H28" s="366" t="n">
        <v>0</v>
      </c>
      <c r="I28" s="366" t="n">
        <v>0</v>
      </c>
      <c r="J28" s="366" t="n">
        <v>0</v>
      </c>
      <c r="K28" s="366" t="n">
        <v>0</v>
      </c>
      <c r="L28" s="366" t="n">
        <v>0</v>
      </c>
      <c r="M28" s="366" t="n">
        <v>0</v>
      </c>
      <c r="N28" s="366" t="n">
        <v>0</v>
      </c>
      <c r="O28" s="366" t="n">
        <v>0</v>
      </c>
      <c r="P28" s="366" t="n">
        <v>0</v>
      </c>
      <c r="Q28" s="366" t="n">
        <v>0</v>
      </c>
      <c r="R28" s="366" t="n">
        <v>0</v>
      </c>
      <c r="S28" s="366" t="n">
        <v>0</v>
      </c>
      <c r="T28" s="366" t="n">
        <v>0</v>
      </c>
      <c r="U28" s="366" t="n">
        <v>0</v>
      </c>
      <c r="V28" s="366" t="n">
        <v>0</v>
      </c>
      <c r="W28" s="366" t="n">
        <v>0</v>
      </c>
      <c r="X28" s="366" t="n">
        <v>0</v>
      </c>
      <c r="Y28" s="367" t="n">
        <v>0</v>
      </c>
    </row>
    <row r="29" customFormat="false" ht="12.75" hidden="false" customHeight="false" outlineLevel="0" collapsed="false">
      <c r="A29" s="351" t="s">
        <v>229</v>
      </c>
      <c r="B29" s="368" t="n">
        <f aca="false">(C28+B28)*(C27-B27)/2</f>
        <v>0.155</v>
      </c>
      <c r="C29" s="369" t="n">
        <f aca="false">(D28+C28)*(D27-C27)/2</f>
        <v>5.32</v>
      </c>
      <c r="D29" s="369" t="n">
        <f aca="false">(E28+D28)*(E27-D27)/2</f>
        <v>4.158</v>
      </c>
      <c r="E29" s="369" t="n">
        <f aca="false">(F28+E28)*(F27-E27)/2</f>
        <v>0.212</v>
      </c>
      <c r="F29" s="369" t="n">
        <f aca="false">(G28+F28)*(G27-F27)/2</f>
        <v>0</v>
      </c>
      <c r="G29" s="369" t="n">
        <f aca="false">(H28+G28)*(H27-G27)/2</f>
        <v>0</v>
      </c>
      <c r="H29" s="369" t="n">
        <f aca="false">(I28+H28)*(I27-H27)/2</f>
        <v>0</v>
      </c>
      <c r="I29" s="369" t="n">
        <f aca="false">(J28+I28)*(J27-I27)/2</f>
        <v>0</v>
      </c>
      <c r="J29" s="369" t="n">
        <f aca="false">(K28+J28)*(K27-J27)/2</f>
        <v>0</v>
      </c>
      <c r="K29" s="369" t="n">
        <f aca="false">(L28+K28)*(L27-K27)/2</f>
        <v>0</v>
      </c>
      <c r="L29" s="369" t="n">
        <f aca="false">(M28+L28)*(M27-L27)/2</f>
        <v>0</v>
      </c>
      <c r="M29" s="369" t="n">
        <f aca="false">(N28+M28)*(N27-M27)/2</f>
        <v>0</v>
      </c>
      <c r="N29" s="369" t="n">
        <f aca="false">(O28+N28)*(O27-N27)/2</f>
        <v>0</v>
      </c>
      <c r="O29" s="369" t="n">
        <f aca="false">(P28+O28)*(P27-O27)/2</f>
        <v>0</v>
      </c>
      <c r="P29" s="369" t="n">
        <f aca="false">(Q28+P28)*(Q27-P27)/2</f>
        <v>0</v>
      </c>
      <c r="Q29" s="369" t="n">
        <f aca="false">(R28+Q28)*(R27-Q27)/2</f>
        <v>0</v>
      </c>
      <c r="R29" s="369" t="n">
        <f aca="false">(S28+R28)*(S27-R27)/2</f>
        <v>0</v>
      </c>
      <c r="S29" s="369" t="n">
        <f aca="false">(T28+S28)*(T27-S27)/2</f>
        <v>0</v>
      </c>
      <c r="T29" s="369" t="n">
        <f aca="false">(U28+T28)*(U27-T27)/2</f>
        <v>0</v>
      </c>
      <c r="U29" s="369" t="n">
        <f aca="false">(V28+U28)*(V27-U27)/2</f>
        <v>0</v>
      </c>
      <c r="V29" s="369" t="n">
        <f aca="false">(W28+V28)*(W27-V27)/2</f>
        <v>0</v>
      </c>
      <c r="W29" s="369" t="n">
        <f aca="false">(X28+W28)*(X27-W27)/2</f>
        <v>0</v>
      </c>
      <c r="X29" s="369" t="n">
        <f aca="false">(Y28+X28)*(Y27-X27)/2</f>
        <v>0</v>
      </c>
      <c r="Y29" s="354"/>
    </row>
    <row r="30" customFormat="false" ht="12.75" hidden="false" customHeight="false" outlineLevel="0" collapsed="false">
      <c r="A30" s="355"/>
      <c r="L30" s="355"/>
      <c r="M30" s="355"/>
      <c r="N30" s="355"/>
      <c r="O30" s="355"/>
      <c r="P30" s="355"/>
      <c r="Q30" s="355"/>
      <c r="R30" s="355"/>
      <c r="S30" s="355"/>
      <c r="T30" s="355"/>
      <c r="U30" s="355"/>
      <c r="V30" s="355"/>
      <c r="W30" s="355"/>
      <c r="X30" s="355"/>
      <c r="Y30" s="355"/>
    </row>
    <row r="31" customFormat="false" ht="13.5" hidden="false" customHeight="false" outlineLevel="0" collapsed="false">
      <c r="A31" s="357" t="s">
        <v>230</v>
      </c>
      <c r="B31" s="358" t="n">
        <f aca="false">ROW(A31)</f>
        <v>31</v>
      </c>
      <c r="C31" s="340" t="s">
        <v>212</v>
      </c>
      <c r="D31" s="341" t="n">
        <f aca="false">SUM(B34:Y34)</f>
        <v>13.8145</v>
      </c>
      <c r="E31" s="340" t="s">
        <v>213</v>
      </c>
      <c r="F31" s="347" t="n">
        <f aca="false">D31/g/J31</f>
        <v>3.12934647185412</v>
      </c>
      <c r="G31" s="340" t="s">
        <v>214</v>
      </c>
      <c r="H31" s="359" t="n">
        <v>0.45</v>
      </c>
      <c r="I31" s="340" t="s">
        <v>225</v>
      </c>
      <c r="J31" s="343" t="n">
        <f aca="false">H31-L31</f>
        <v>0.45</v>
      </c>
      <c r="K31" s="340" t="s">
        <v>226</v>
      </c>
      <c r="L31" s="359" t="n">
        <v>0</v>
      </c>
      <c r="M31" s="340" t="s">
        <v>217</v>
      </c>
      <c r="N31" s="360" t="n">
        <f aca="false">0.3*R31</f>
        <v>90</v>
      </c>
      <c r="O31" s="340" t="s">
        <v>218</v>
      </c>
      <c r="P31" s="360" t="n">
        <v>150</v>
      </c>
      <c r="Q31" s="340" t="s">
        <v>219</v>
      </c>
      <c r="R31" s="360" t="n">
        <v>300</v>
      </c>
      <c r="S31" s="340" t="s">
        <v>220</v>
      </c>
      <c r="T31" s="360" t="n">
        <v>90</v>
      </c>
      <c r="U31" s="340" t="s">
        <v>8</v>
      </c>
      <c r="V31" s="361" t="s">
        <v>223</v>
      </c>
      <c r="W31" s="355"/>
      <c r="X31" s="355"/>
      <c r="Y31" s="355"/>
    </row>
    <row r="32" customFormat="false" ht="12" hidden="false" customHeight="false" outlineLevel="0" collapsed="false">
      <c r="A32" s="338" t="s">
        <v>227</v>
      </c>
      <c r="B32" s="362" t="n">
        <v>0</v>
      </c>
      <c r="C32" s="363" t="n">
        <v>0.001</v>
      </c>
      <c r="D32" s="363" t="n">
        <v>0.02</v>
      </c>
      <c r="E32" s="363" t="n">
        <v>0.04</v>
      </c>
      <c r="F32" s="363" t="n">
        <v>0.061</v>
      </c>
      <c r="G32" s="363" t="n">
        <v>0.062</v>
      </c>
      <c r="H32" s="363" t="n">
        <v>0.062</v>
      </c>
      <c r="I32" s="363" t="n">
        <v>0.062</v>
      </c>
      <c r="J32" s="363" t="n">
        <v>0.062</v>
      </c>
      <c r="K32" s="363" t="n">
        <v>0.062</v>
      </c>
      <c r="L32" s="363" t="n">
        <v>0.062</v>
      </c>
      <c r="M32" s="363" t="n">
        <v>0.062</v>
      </c>
      <c r="N32" s="363" t="n">
        <v>0.062</v>
      </c>
      <c r="O32" s="363" t="n">
        <v>0.062</v>
      </c>
      <c r="P32" s="363" t="n">
        <v>0.062</v>
      </c>
      <c r="Q32" s="363" t="n">
        <v>0.062</v>
      </c>
      <c r="R32" s="363" t="n">
        <v>0.062</v>
      </c>
      <c r="S32" s="363" t="n">
        <v>0.062</v>
      </c>
      <c r="T32" s="363" t="n">
        <v>0.062</v>
      </c>
      <c r="U32" s="363" t="n">
        <v>0.062</v>
      </c>
      <c r="V32" s="363" t="n">
        <v>0.062</v>
      </c>
      <c r="W32" s="363" t="n">
        <v>0.062</v>
      </c>
      <c r="X32" s="363" t="n">
        <v>0.062</v>
      </c>
      <c r="Y32" s="350" t="n">
        <v>1000</v>
      </c>
    </row>
    <row r="33" customFormat="false" ht="12" hidden="false" customHeight="false" outlineLevel="0" collapsed="false">
      <c r="A33" s="364" t="s">
        <v>228</v>
      </c>
      <c r="B33" s="365" t="n">
        <v>0</v>
      </c>
      <c r="C33" s="366" t="n">
        <v>310</v>
      </c>
      <c r="D33" s="366" t="n">
        <v>245</v>
      </c>
      <c r="E33" s="366" t="n">
        <v>200</v>
      </c>
      <c r="F33" s="366" t="n">
        <v>167</v>
      </c>
      <c r="G33" s="366" t="n">
        <v>0</v>
      </c>
      <c r="H33" s="366" t="n">
        <v>0</v>
      </c>
      <c r="I33" s="366" t="n">
        <v>0</v>
      </c>
      <c r="J33" s="366" t="n">
        <v>0</v>
      </c>
      <c r="K33" s="366" t="n">
        <v>0</v>
      </c>
      <c r="L33" s="366" t="n">
        <v>0</v>
      </c>
      <c r="M33" s="366" t="n">
        <v>0</v>
      </c>
      <c r="N33" s="366" t="n">
        <v>0</v>
      </c>
      <c r="O33" s="366" t="n">
        <v>0</v>
      </c>
      <c r="P33" s="366" t="n">
        <v>0</v>
      </c>
      <c r="Q33" s="366" t="n">
        <v>0</v>
      </c>
      <c r="R33" s="366" t="n">
        <v>0</v>
      </c>
      <c r="S33" s="366" t="n">
        <v>0</v>
      </c>
      <c r="T33" s="366" t="n">
        <v>0</v>
      </c>
      <c r="U33" s="366" t="n">
        <v>0</v>
      </c>
      <c r="V33" s="366" t="n">
        <v>0</v>
      </c>
      <c r="W33" s="366" t="n">
        <v>0</v>
      </c>
      <c r="X33" s="366" t="n">
        <v>0</v>
      </c>
      <c r="Y33" s="367" t="n">
        <v>0</v>
      </c>
    </row>
    <row r="34" customFormat="false" ht="12.75" hidden="false" customHeight="false" outlineLevel="0" collapsed="false">
      <c r="A34" s="351" t="s">
        <v>229</v>
      </c>
      <c r="B34" s="368" t="n">
        <f aca="false">(C33+B33)*(C32-B32)/2</f>
        <v>0.155</v>
      </c>
      <c r="C34" s="369" t="n">
        <f aca="false">(D33+C33)*(D32-C32)/2</f>
        <v>5.2725</v>
      </c>
      <c r="D34" s="369" t="n">
        <f aca="false">(E33+D33)*(E32-D32)/2</f>
        <v>4.45</v>
      </c>
      <c r="E34" s="369" t="n">
        <f aca="false">(F33+E33)*(F32-E32)/2</f>
        <v>3.8535</v>
      </c>
      <c r="F34" s="369" t="n">
        <f aca="false">(G33+F33)*(G32-F32)/2</f>
        <v>0.0835000000000001</v>
      </c>
      <c r="G34" s="369" t="n">
        <f aca="false">(H33+G33)*(H32-G32)/2</f>
        <v>0</v>
      </c>
      <c r="H34" s="369" t="n">
        <f aca="false">(I33+H33)*(I32-H32)/2</f>
        <v>0</v>
      </c>
      <c r="I34" s="369" t="n">
        <f aca="false">(J33+I33)*(J32-I32)/2</f>
        <v>0</v>
      </c>
      <c r="J34" s="369" t="n">
        <f aca="false">(K33+J33)*(K32-J32)/2</f>
        <v>0</v>
      </c>
      <c r="K34" s="369" t="n">
        <f aca="false">(L33+K33)*(L32-K32)/2</f>
        <v>0</v>
      </c>
      <c r="L34" s="369" t="n">
        <f aca="false">(M33+L33)*(M32-L32)/2</f>
        <v>0</v>
      </c>
      <c r="M34" s="369" t="n">
        <f aca="false">(N33+M33)*(N32-M32)/2</f>
        <v>0</v>
      </c>
      <c r="N34" s="369" t="n">
        <f aca="false">(O33+N33)*(O32-N32)/2</f>
        <v>0</v>
      </c>
      <c r="O34" s="369" t="n">
        <f aca="false">(P33+O33)*(P32-O32)/2</f>
        <v>0</v>
      </c>
      <c r="P34" s="369" t="n">
        <f aca="false">(Q33+P33)*(Q32-P32)/2</f>
        <v>0</v>
      </c>
      <c r="Q34" s="369" t="n">
        <f aca="false">(R33+Q33)*(R32-Q32)/2</f>
        <v>0</v>
      </c>
      <c r="R34" s="369" t="n">
        <f aca="false">(S33+R33)*(S32-R32)/2</f>
        <v>0</v>
      </c>
      <c r="S34" s="369" t="n">
        <f aca="false">(T33+S33)*(T32-S32)/2</f>
        <v>0</v>
      </c>
      <c r="T34" s="369" t="n">
        <f aca="false">(U33+T33)*(U32-T32)/2</f>
        <v>0</v>
      </c>
      <c r="U34" s="369" t="n">
        <f aca="false">(V33+U33)*(V32-U32)/2</f>
        <v>0</v>
      </c>
      <c r="V34" s="369" t="n">
        <f aca="false">(W33+V33)*(W32-V32)/2</f>
        <v>0</v>
      </c>
      <c r="W34" s="369" t="n">
        <f aca="false">(X33+W33)*(X32-W32)/2</f>
        <v>0</v>
      </c>
      <c r="X34" s="369" t="n">
        <f aca="false">(Y33+X33)*(Y32-X32)/2</f>
        <v>0</v>
      </c>
      <c r="Y34" s="354"/>
    </row>
    <row r="35" customFormat="false" ht="12.75" hidden="false" customHeight="false" outlineLevel="0" collapsed="false">
      <c r="B35" s="355"/>
      <c r="C35" s="355"/>
      <c r="D35" s="355"/>
      <c r="E35" s="355"/>
      <c r="F35" s="355"/>
      <c r="G35" s="355"/>
      <c r="H35" s="355"/>
      <c r="I35" s="355"/>
      <c r="J35" s="355"/>
      <c r="K35" s="355"/>
      <c r="L35" s="355"/>
      <c r="M35" s="355"/>
      <c r="N35" s="355"/>
      <c r="O35" s="355"/>
      <c r="P35" s="355"/>
      <c r="Q35" s="355"/>
      <c r="R35" s="355"/>
      <c r="S35" s="355"/>
      <c r="T35" s="355"/>
      <c r="U35" s="355"/>
      <c r="V35" s="355"/>
      <c r="W35" s="355"/>
      <c r="X35" s="355"/>
      <c r="Y35" s="355"/>
    </row>
    <row r="36" customFormat="false" ht="13.5" hidden="false" customHeight="false" outlineLevel="0" collapsed="false">
      <c r="A36" s="357" t="s">
        <v>231</v>
      </c>
      <c r="B36" s="358" t="n">
        <f aca="false">ROW(A36)</f>
        <v>36</v>
      </c>
      <c r="C36" s="340" t="s">
        <v>212</v>
      </c>
      <c r="D36" s="341" t="n">
        <f aca="false">SUM(B39:Y39)</f>
        <v>17.1445</v>
      </c>
      <c r="E36" s="340" t="s">
        <v>213</v>
      </c>
      <c r="F36" s="347" t="n">
        <f aca="false">D36/g/J36</f>
        <v>2.91275908936459</v>
      </c>
      <c r="G36" s="340" t="s">
        <v>214</v>
      </c>
      <c r="H36" s="359" t="n">
        <v>0.6</v>
      </c>
      <c r="I36" s="340" t="s">
        <v>225</v>
      </c>
      <c r="J36" s="343" t="n">
        <f aca="false">H36-L36</f>
        <v>0.6</v>
      </c>
      <c r="K36" s="340" t="s">
        <v>226</v>
      </c>
      <c r="L36" s="359" t="n">
        <v>0</v>
      </c>
      <c r="M36" s="340" t="s">
        <v>217</v>
      </c>
      <c r="N36" s="360" t="n">
        <f aca="false">0.4*R36</f>
        <v>120</v>
      </c>
      <c r="O36" s="340" t="s">
        <v>218</v>
      </c>
      <c r="P36" s="360" t="n">
        <v>150</v>
      </c>
      <c r="Q36" s="340" t="s">
        <v>219</v>
      </c>
      <c r="R36" s="360" t="n">
        <v>300</v>
      </c>
      <c r="S36" s="340" t="s">
        <v>220</v>
      </c>
      <c r="T36" s="360" t="n">
        <v>90</v>
      </c>
      <c r="U36" s="340" t="s">
        <v>8</v>
      </c>
      <c r="V36" s="361" t="s">
        <v>223</v>
      </c>
      <c r="W36" s="355"/>
      <c r="X36" s="355"/>
      <c r="Y36" s="355"/>
    </row>
    <row r="37" customFormat="false" ht="12" hidden="false" customHeight="false" outlineLevel="0" collapsed="false">
      <c r="A37" s="338" t="s">
        <v>227</v>
      </c>
      <c r="B37" s="362" t="n">
        <v>0</v>
      </c>
      <c r="C37" s="363" t="n">
        <v>0.001</v>
      </c>
      <c r="D37" s="363" t="n">
        <v>0.02</v>
      </c>
      <c r="E37" s="363" t="n">
        <v>0.04</v>
      </c>
      <c r="F37" s="363" t="n">
        <v>0.06</v>
      </c>
      <c r="G37" s="363" t="n">
        <v>0.08</v>
      </c>
      <c r="H37" s="363" t="n">
        <v>0.088</v>
      </c>
      <c r="I37" s="363" t="n">
        <v>0.089</v>
      </c>
      <c r="J37" s="363" t="n">
        <v>0.089</v>
      </c>
      <c r="K37" s="363" t="n">
        <v>0.089</v>
      </c>
      <c r="L37" s="363" t="n">
        <v>0.089</v>
      </c>
      <c r="M37" s="363" t="n">
        <v>0.089</v>
      </c>
      <c r="N37" s="363" t="n">
        <v>0.089</v>
      </c>
      <c r="O37" s="363" t="n">
        <v>0.089</v>
      </c>
      <c r="P37" s="363" t="n">
        <v>0.089</v>
      </c>
      <c r="Q37" s="363" t="n">
        <v>0.089</v>
      </c>
      <c r="R37" s="363" t="n">
        <v>0.089</v>
      </c>
      <c r="S37" s="363" t="n">
        <v>0.089</v>
      </c>
      <c r="T37" s="363" t="n">
        <v>0.089</v>
      </c>
      <c r="U37" s="363" t="n">
        <v>0.089</v>
      </c>
      <c r="V37" s="363" t="n">
        <v>0.089</v>
      </c>
      <c r="W37" s="363" t="n">
        <v>0.089</v>
      </c>
      <c r="X37" s="363" t="n">
        <v>0.089</v>
      </c>
      <c r="Y37" s="350" t="n">
        <v>1000</v>
      </c>
    </row>
    <row r="38" customFormat="false" ht="12" hidden="false" customHeight="false" outlineLevel="0" collapsed="false">
      <c r="A38" s="364" t="s">
        <v>228</v>
      </c>
      <c r="B38" s="365" t="n">
        <v>0</v>
      </c>
      <c r="C38" s="366" t="n">
        <v>310</v>
      </c>
      <c r="D38" s="366" t="n">
        <v>240</v>
      </c>
      <c r="E38" s="366" t="n">
        <v>190</v>
      </c>
      <c r="F38" s="366" t="n">
        <v>157</v>
      </c>
      <c r="G38" s="366" t="n">
        <v>133</v>
      </c>
      <c r="H38" s="366" t="n">
        <v>125</v>
      </c>
      <c r="I38" s="366" t="n">
        <v>0</v>
      </c>
      <c r="J38" s="366" t="n">
        <v>0</v>
      </c>
      <c r="K38" s="366" t="n">
        <v>0</v>
      </c>
      <c r="L38" s="366" t="n">
        <v>0</v>
      </c>
      <c r="M38" s="366" t="n">
        <v>0</v>
      </c>
      <c r="N38" s="366" t="n">
        <v>0</v>
      </c>
      <c r="O38" s="366" t="n">
        <v>0</v>
      </c>
      <c r="P38" s="366" t="n">
        <v>0</v>
      </c>
      <c r="Q38" s="366" t="n">
        <v>0</v>
      </c>
      <c r="R38" s="366" t="n">
        <v>0</v>
      </c>
      <c r="S38" s="366" t="n">
        <v>0</v>
      </c>
      <c r="T38" s="366" t="n">
        <v>0</v>
      </c>
      <c r="U38" s="366" t="n">
        <v>0</v>
      </c>
      <c r="V38" s="366" t="n">
        <v>0</v>
      </c>
      <c r="W38" s="366" t="n">
        <v>0</v>
      </c>
      <c r="X38" s="366" t="n">
        <v>0</v>
      </c>
      <c r="Y38" s="367" t="n">
        <v>0</v>
      </c>
    </row>
    <row r="39" customFormat="false" ht="12.75" hidden="false" customHeight="false" outlineLevel="0" collapsed="false">
      <c r="A39" s="351" t="s">
        <v>229</v>
      </c>
      <c r="B39" s="368" t="n">
        <f aca="false">(C38+B38)*(C37-B37)/2</f>
        <v>0.155</v>
      </c>
      <c r="C39" s="369" t="n">
        <f aca="false">(D38+C38)*(D37-C37)/2</f>
        <v>5.225</v>
      </c>
      <c r="D39" s="369" t="n">
        <f aca="false">(E38+D38)*(E37-D37)/2</f>
        <v>4.3</v>
      </c>
      <c r="E39" s="369" t="n">
        <f aca="false">(F38+E38)*(F37-E37)/2</f>
        <v>3.47</v>
      </c>
      <c r="F39" s="369" t="n">
        <f aca="false">(G38+F38)*(G37-F37)/2</f>
        <v>2.9</v>
      </c>
      <c r="G39" s="369" t="n">
        <f aca="false">(H38+G38)*(H37-G37)/2</f>
        <v>1.032</v>
      </c>
      <c r="H39" s="369" t="n">
        <f aca="false">(I38+H38)*(I37-H37)/2</f>
        <v>0.0625000000000001</v>
      </c>
      <c r="I39" s="369" t="n">
        <f aca="false">(J38+I38)*(J37-I37)/2</f>
        <v>0</v>
      </c>
      <c r="J39" s="369" t="n">
        <f aca="false">(K38+J38)*(K37-J37)/2</f>
        <v>0</v>
      </c>
      <c r="K39" s="369" t="n">
        <f aca="false">(L38+K38)*(L37-K37)/2</f>
        <v>0</v>
      </c>
      <c r="L39" s="369" t="n">
        <f aca="false">(M38+L38)*(M37-L37)/2</f>
        <v>0</v>
      </c>
      <c r="M39" s="369" t="n">
        <f aca="false">(N38+M38)*(N37-M37)/2</f>
        <v>0</v>
      </c>
      <c r="N39" s="369" t="n">
        <f aca="false">(O38+N38)*(O37-N37)/2</f>
        <v>0</v>
      </c>
      <c r="O39" s="369" t="n">
        <f aca="false">(P38+O38)*(P37-O37)/2</f>
        <v>0</v>
      </c>
      <c r="P39" s="369" t="n">
        <f aca="false">(Q38+P38)*(Q37-P37)/2</f>
        <v>0</v>
      </c>
      <c r="Q39" s="369" t="n">
        <f aca="false">(R38+Q38)*(R37-Q37)/2</f>
        <v>0</v>
      </c>
      <c r="R39" s="369" t="n">
        <f aca="false">(S38+R38)*(S37-R37)/2</f>
        <v>0</v>
      </c>
      <c r="S39" s="369" t="n">
        <f aca="false">(T38+S38)*(T37-S37)/2</f>
        <v>0</v>
      </c>
      <c r="T39" s="369" t="n">
        <f aca="false">(U38+T38)*(U37-T37)/2</f>
        <v>0</v>
      </c>
      <c r="U39" s="369" t="n">
        <f aca="false">(V38+U38)*(V37-U37)/2</f>
        <v>0</v>
      </c>
      <c r="V39" s="369" t="n">
        <f aca="false">(W38+V38)*(W37-V37)/2</f>
        <v>0</v>
      </c>
      <c r="W39" s="369" t="n">
        <f aca="false">(X38+W38)*(X37-W37)/2</f>
        <v>0</v>
      </c>
      <c r="X39" s="369" t="n">
        <f aca="false">(Y38+X38)*(Y37-X37)/2</f>
        <v>0</v>
      </c>
      <c r="Y39" s="354"/>
    </row>
    <row r="40" customFormat="false" ht="12.75" hidden="false" customHeight="false" outlineLevel="0" collapsed="false">
      <c r="A40" s="355"/>
      <c r="L40" s="355"/>
      <c r="M40" s="355"/>
      <c r="N40" s="355"/>
      <c r="O40" s="355"/>
      <c r="P40" s="355"/>
      <c r="Q40" s="355"/>
      <c r="R40" s="355"/>
      <c r="S40" s="355"/>
      <c r="T40" s="355"/>
      <c r="U40" s="355"/>
      <c r="V40" s="355"/>
      <c r="W40" s="355"/>
      <c r="X40" s="355"/>
      <c r="Y40" s="355"/>
    </row>
    <row r="41" customFormat="false" ht="13.5" hidden="false" customHeight="false" outlineLevel="0" collapsed="false">
      <c r="A41" s="357" t="s">
        <v>232</v>
      </c>
      <c r="B41" s="358" t="n">
        <f aca="false">ROW(A41)</f>
        <v>41</v>
      </c>
      <c r="C41" s="340" t="s">
        <v>212</v>
      </c>
      <c r="D41" s="341" t="n">
        <f aca="false">SUM(B44:Y44)</f>
        <v>19.415</v>
      </c>
      <c r="E41" s="340" t="s">
        <v>213</v>
      </c>
      <c r="F41" s="347" t="n">
        <f aca="false">D41/g/J41</f>
        <v>2.63880394155624</v>
      </c>
      <c r="G41" s="340" t="s">
        <v>214</v>
      </c>
      <c r="H41" s="359" t="n">
        <v>0.75</v>
      </c>
      <c r="I41" s="340" t="s">
        <v>225</v>
      </c>
      <c r="J41" s="343" t="n">
        <f aca="false">H41-L41</f>
        <v>0.75</v>
      </c>
      <c r="K41" s="340" t="s">
        <v>226</v>
      </c>
      <c r="L41" s="359" t="n">
        <v>0</v>
      </c>
      <c r="M41" s="340" t="s">
        <v>217</v>
      </c>
      <c r="N41" s="360" t="n">
        <f aca="false">0.5*R41</f>
        <v>150</v>
      </c>
      <c r="O41" s="340" t="s">
        <v>218</v>
      </c>
      <c r="P41" s="360" t="n">
        <v>150</v>
      </c>
      <c r="Q41" s="340" t="s">
        <v>219</v>
      </c>
      <c r="R41" s="360" t="n">
        <v>300</v>
      </c>
      <c r="S41" s="340" t="s">
        <v>220</v>
      </c>
      <c r="T41" s="360" t="n">
        <v>90</v>
      </c>
      <c r="U41" s="340" t="s">
        <v>8</v>
      </c>
      <c r="V41" s="361" t="s">
        <v>223</v>
      </c>
      <c r="W41" s="355"/>
      <c r="X41" s="355"/>
      <c r="Y41" s="355"/>
    </row>
    <row r="42" customFormat="false" ht="12" hidden="false" customHeight="false" outlineLevel="0" collapsed="false">
      <c r="A42" s="338" t="s">
        <v>227</v>
      </c>
      <c r="B42" s="362" t="n">
        <v>0</v>
      </c>
      <c r="C42" s="363" t="n">
        <v>0.001</v>
      </c>
      <c r="D42" s="363" t="n">
        <v>0.02</v>
      </c>
      <c r="E42" s="363" t="n">
        <v>0.04</v>
      </c>
      <c r="F42" s="363" t="n">
        <v>0.06</v>
      </c>
      <c r="G42" s="363" t="n">
        <v>0.08</v>
      </c>
      <c r="H42" s="363" t="n">
        <v>0.1</v>
      </c>
      <c r="I42" s="363" t="n">
        <v>0.123</v>
      </c>
      <c r="J42" s="363" t="n">
        <v>0.124</v>
      </c>
      <c r="K42" s="363" t="n">
        <v>0.124</v>
      </c>
      <c r="L42" s="363" t="n">
        <v>0.124</v>
      </c>
      <c r="M42" s="363" t="n">
        <v>0.124</v>
      </c>
      <c r="N42" s="363" t="n">
        <v>0.124</v>
      </c>
      <c r="O42" s="363" t="n">
        <v>0.124</v>
      </c>
      <c r="P42" s="363" t="n">
        <v>0.124</v>
      </c>
      <c r="Q42" s="363" t="n">
        <v>0.124</v>
      </c>
      <c r="R42" s="363" t="n">
        <v>0.124</v>
      </c>
      <c r="S42" s="363" t="n">
        <v>0.124</v>
      </c>
      <c r="T42" s="363" t="n">
        <v>0.124</v>
      </c>
      <c r="U42" s="363" t="n">
        <v>0.124</v>
      </c>
      <c r="V42" s="363" t="n">
        <v>0.124</v>
      </c>
      <c r="W42" s="363" t="n">
        <v>0.124</v>
      </c>
      <c r="X42" s="363" t="n">
        <v>0.124</v>
      </c>
      <c r="Y42" s="350" t="n">
        <v>1000</v>
      </c>
    </row>
    <row r="43" customFormat="false" ht="12" hidden="false" customHeight="false" outlineLevel="0" collapsed="false">
      <c r="A43" s="364" t="s">
        <v>228</v>
      </c>
      <c r="B43" s="365" t="n">
        <v>0</v>
      </c>
      <c r="C43" s="366" t="n">
        <v>310</v>
      </c>
      <c r="D43" s="366" t="n">
        <v>230</v>
      </c>
      <c r="E43" s="366" t="n">
        <v>175</v>
      </c>
      <c r="F43" s="366" t="n">
        <v>140</v>
      </c>
      <c r="G43" s="366" t="n">
        <v>118</v>
      </c>
      <c r="H43" s="366" t="n">
        <v>100</v>
      </c>
      <c r="I43" s="366" t="n">
        <v>85</v>
      </c>
      <c r="J43" s="366" t="n">
        <v>0</v>
      </c>
      <c r="K43" s="366" t="n">
        <v>0</v>
      </c>
      <c r="L43" s="366" t="n">
        <v>0</v>
      </c>
      <c r="M43" s="366" t="n">
        <v>0</v>
      </c>
      <c r="N43" s="366" t="n">
        <v>0</v>
      </c>
      <c r="O43" s="366" t="n">
        <v>0</v>
      </c>
      <c r="P43" s="366" t="n">
        <v>0</v>
      </c>
      <c r="Q43" s="366" t="n">
        <v>0</v>
      </c>
      <c r="R43" s="366" t="n">
        <v>0</v>
      </c>
      <c r="S43" s="366" t="n">
        <v>0</v>
      </c>
      <c r="T43" s="366" t="n">
        <v>0</v>
      </c>
      <c r="U43" s="366" t="n">
        <v>0</v>
      </c>
      <c r="V43" s="366" t="n">
        <v>0</v>
      </c>
      <c r="W43" s="366" t="n">
        <v>0</v>
      </c>
      <c r="X43" s="366" t="n">
        <v>0</v>
      </c>
      <c r="Y43" s="367" t="n">
        <v>0</v>
      </c>
    </row>
    <row r="44" customFormat="false" ht="12.75" hidden="false" customHeight="false" outlineLevel="0" collapsed="false">
      <c r="A44" s="351" t="s">
        <v>229</v>
      </c>
      <c r="B44" s="368" t="n">
        <f aca="false">(C43+B43)*(C42-B42)/2</f>
        <v>0.155</v>
      </c>
      <c r="C44" s="369" t="n">
        <f aca="false">(D43+C43)*(D42-C42)/2</f>
        <v>5.13</v>
      </c>
      <c r="D44" s="369" t="n">
        <f aca="false">(E43+D43)*(E42-D42)/2</f>
        <v>4.05</v>
      </c>
      <c r="E44" s="369" t="n">
        <f aca="false">(F43+E43)*(F42-E42)/2</f>
        <v>3.15</v>
      </c>
      <c r="F44" s="369" t="n">
        <f aca="false">(G43+F43)*(G42-F42)/2</f>
        <v>2.58</v>
      </c>
      <c r="G44" s="369" t="n">
        <f aca="false">(H43+G43)*(H42-G42)/2</f>
        <v>2.18</v>
      </c>
      <c r="H44" s="369" t="n">
        <f aca="false">(I43+H43)*(I42-H42)/2</f>
        <v>2.1275</v>
      </c>
      <c r="I44" s="369" t="n">
        <f aca="false">(J43+I43)*(J42-I42)/2</f>
        <v>0.0425</v>
      </c>
      <c r="J44" s="369" t="n">
        <f aca="false">(K43+J43)*(K42-J42)/2</f>
        <v>0</v>
      </c>
      <c r="K44" s="369" t="n">
        <f aca="false">(L43+K43)*(L42-K42)/2</f>
        <v>0</v>
      </c>
      <c r="L44" s="369" t="n">
        <f aca="false">(M43+L43)*(M42-L42)/2</f>
        <v>0</v>
      </c>
      <c r="M44" s="369" t="n">
        <f aca="false">(N43+M43)*(N42-M42)/2</f>
        <v>0</v>
      </c>
      <c r="N44" s="369" t="n">
        <f aca="false">(O43+N43)*(O42-N42)/2</f>
        <v>0</v>
      </c>
      <c r="O44" s="369" t="n">
        <f aca="false">(P43+O43)*(P42-O42)/2</f>
        <v>0</v>
      </c>
      <c r="P44" s="369" t="n">
        <f aca="false">(Q43+P43)*(Q42-P42)/2</f>
        <v>0</v>
      </c>
      <c r="Q44" s="369" t="n">
        <f aca="false">(R43+Q43)*(R42-Q42)/2</f>
        <v>0</v>
      </c>
      <c r="R44" s="369" t="n">
        <f aca="false">(S43+R43)*(S42-R42)/2</f>
        <v>0</v>
      </c>
      <c r="S44" s="369" t="n">
        <f aca="false">(T43+S43)*(T42-S42)/2</f>
        <v>0</v>
      </c>
      <c r="T44" s="369" t="n">
        <f aca="false">(U43+T43)*(U42-T42)/2</f>
        <v>0</v>
      </c>
      <c r="U44" s="369" t="n">
        <f aca="false">(V43+U43)*(V42-U42)/2</f>
        <v>0</v>
      </c>
      <c r="V44" s="369" t="n">
        <f aca="false">(W43+V43)*(W42-V42)/2</f>
        <v>0</v>
      </c>
      <c r="W44" s="369" t="n">
        <f aca="false">(X43+W43)*(X42-W42)/2</f>
        <v>0</v>
      </c>
      <c r="X44" s="369" t="n">
        <f aca="false">(Y43+X43)*(Y42-X42)/2</f>
        <v>0</v>
      </c>
      <c r="Y44" s="354"/>
    </row>
    <row r="45" customFormat="false" ht="12.75" hidden="false" customHeight="false" outlineLevel="0" collapsed="false"/>
    <row r="46" customFormat="false" ht="13.5" hidden="false" customHeight="false" outlineLevel="0" collapsed="false">
      <c r="A46" s="357" t="s">
        <v>233</v>
      </c>
      <c r="B46" s="358" t="n">
        <f aca="false">ROW(A46)</f>
        <v>46</v>
      </c>
      <c r="C46" s="340" t="s">
        <v>212</v>
      </c>
      <c r="D46" s="341" t="n">
        <f aca="false">SUM(B49:Y49)</f>
        <v>12.8695</v>
      </c>
      <c r="E46" s="340" t="s">
        <v>213</v>
      </c>
      <c r="F46" s="347" t="n">
        <f aca="false">D46/g/J46</f>
        <v>3.27968909276249</v>
      </c>
      <c r="G46" s="340" t="s">
        <v>214</v>
      </c>
      <c r="H46" s="359" t="n">
        <v>0.5</v>
      </c>
      <c r="I46" s="340" t="s">
        <v>225</v>
      </c>
      <c r="J46" s="343" t="n">
        <f aca="false">H46-L46</f>
        <v>0.4</v>
      </c>
      <c r="K46" s="340" t="s">
        <v>226</v>
      </c>
      <c r="L46" s="359" t="n">
        <v>0.1</v>
      </c>
      <c r="M46" s="340" t="s">
        <v>217</v>
      </c>
      <c r="N46" s="360" t="n">
        <f aca="false">0.2*R46</f>
        <v>60</v>
      </c>
      <c r="O46" s="340" t="s">
        <v>218</v>
      </c>
      <c r="P46" s="360" t="n">
        <v>150</v>
      </c>
      <c r="Q46" s="340" t="s">
        <v>219</v>
      </c>
      <c r="R46" s="360" t="n">
        <v>300</v>
      </c>
      <c r="S46" s="340" t="s">
        <v>220</v>
      </c>
      <c r="T46" s="360" t="n">
        <v>98</v>
      </c>
      <c r="U46" s="340" t="s">
        <v>8</v>
      </c>
      <c r="V46" s="361" t="s">
        <v>223</v>
      </c>
      <c r="W46" s="355"/>
      <c r="X46" s="355"/>
      <c r="Y46" s="355"/>
    </row>
    <row r="47" customFormat="false" ht="12" hidden="false" customHeight="false" outlineLevel="0" collapsed="false">
      <c r="A47" s="338" t="s">
        <v>227</v>
      </c>
      <c r="B47" s="362" t="n">
        <v>0</v>
      </c>
      <c r="C47" s="363" t="n">
        <v>0.001</v>
      </c>
      <c r="D47" s="363" t="n">
        <v>0.02</v>
      </c>
      <c r="E47" s="363" t="n">
        <v>0.04</v>
      </c>
      <c r="F47" s="363" t="n">
        <v>0.05</v>
      </c>
      <c r="G47" s="363" t="n">
        <v>0.051</v>
      </c>
      <c r="H47" s="363" t="n">
        <v>0.051</v>
      </c>
      <c r="I47" s="363" t="n">
        <v>0.051</v>
      </c>
      <c r="J47" s="363" t="n">
        <v>0.051</v>
      </c>
      <c r="K47" s="363" t="n">
        <v>0.051</v>
      </c>
      <c r="L47" s="363" t="n">
        <v>0.051</v>
      </c>
      <c r="M47" s="363" t="n">
        <v>0.051</v>
      </c>
      <c r="N47" s="363" t="n">
        <v>0.051</v>
      </c>
      <c r="O47" s="363" t="n">
        <v>0.051</v>
      </c>
      <c r="P47" s="363" t="n">
        <v>0.051</v>
      </c>
      <c r="Q47" s="363" t="n">
        <v>0.051</v>
      </c>
      <c r="R47" s="363" t="n">
        <v>0.051</v>
      </c>
      <c r="S47" s="363" t="n">
        <v>0.051</v>
      </c>
      <c r="T47" s="363" t="n">
        <v>0.051</v>
      </c>
      <c r="U47" s="363" t="n">
        <v>0.051</v>
      </c>
      <c r="V47" s="363" t="n">
        <v>0.051</v>
      </c>
      <c r="W47" s="363" t="n">
        <v>0.051</v>
      </c>
      <c r="X47" s="363" t="n">
        <v>0.051</v>
      </c>
      <c r="Y47" s="350" t="n">
        <v>1000</v>
      </c>
    </row>
    <row r="48" customFormat="false" ht="12" hidden="false" customHeight="false" outlineLevel="0" collapsed="false">
      <c r="A48" s="364" t="s">
        <v>228</v>
      </c>
      <c r="B48" s="365" t="n">
        <v>0</v>
      </c>
      <c r="C48" s="366" t="n">
        <v>310</v>
      </c>
      <c r="D48" s="366" t="n">
        <v>264</v>
      </c>
      <c r="E48" s="366" t="n">
        <v>230</v>
      </c>
      <c r="F48" s="366" t="n">
        <v>213</v>
      </c>
      <c r="G48" s="366" t="n">
        <v>0</v>
      </c>
      <c r="H48" s="366" t="n">
        <v>0</v>
      </c>
      <c r="I48" s="366" t="n">
        <v>0</v>
      </c>
      <c r="J48" s="366" t="n">
        <v>0</v>
      </c>
      <c r="K48" s="366" t="n">
        <v>0</v>
      </c>
      <c r="L48" s="366" t="n">
        <v>0</v>
      </c>
      <c r="M48" s="366" t="n">
        <v>0</v>
      </c>
      <c r="N48" s="366" t="n">
        <v>0</v>
      </c>
      <c r="O48" s="366" t="n">
        <v>0</v>
      </c>
      <c r="P48" s="366" t="n">
        <v>0</v>
      </c>
      <c r="Q48" s="366" t="n">
        <v>0</v>
      </c>
      <c r="R48" s="366" t="n">
        <v>0</v>
      </c>
      <c r="S48" s="366" t="n">
        <v>0</v>
      </c>
      <c r="T48" s="366" t="n">
        <v>0</v>
      </c>
      <c r="U48" s="366" t="n">
        <v>0</v>
      </c>
      <c r="V48" s="366" t="n">
        <v>0</v>
      </c>
      <c r="W48" s="366" t="n">
        <v>0</v>
      </c>
      <c r="X48" s="366" t="n">
        <v>0</v>
      </c>
      <c r="Y48" s="367" t="n">
        <v>0</v>
      </c>
    </row>
    <row r="49" customFormat="false" ht="12.75" hidden="false" customHeight="false" outlineLevel="0" collapsed="false">
      <c r="A49" s="351" t="s">
        <v>229</v>
      </c>
      <c r="B49" s="368" t="n">
        <f aca="false">(C48+B48)*(C47-B47)/2</f>
        <v>0.155</v>
      </c>
      <c r="C49" s="369" t="n">
        <f aca="false">(D48+C48)*(D47-C47)/2</f>
        <v>5.453</v>
      </c>
      <c r="D49" s="369" t="n">
        <f aca="false">(E48+D48)*(E47-D47)/2</f>
        <v>4.94</v>
      </c>
      <c r="E49" s="369" t="n">
        <f aca="false">(F48+E48)*(F47-E47)/2</f>
        <v>2.215</v>
      </c>
      <c r="F49" s="369" t="n">
        <f aca="false">(G48+F48)*(G47-F47)/2</f>
        <v>0.106499999999999</v>
      </c>
      <c r="G49" s="369" t="n">
        <f aca="false">(H48+G48)*(H47-G47)/2</f>
        <v>0</v>
      </c>
      <c r="H49" s="369" t="n">
        <f aca="false">(I48+H48)*(I47-H47)/2</f>
        <v>0</v>
      </c>
      <c r="I49" s="369" t="n">
        <f aca="false">(J48+I48)*(J47-I47)/2</f>
        <v>0</v>
      </c>
      <c r="J49" s="369" t="n">
        <f aca="false">(K48+J48)*(K47-J47)/2</f>
        <v>0</v>
      </c>
      <c r="K49" s="369" t="n">
        <f aca="false">(L48+K48)*(L47-K47)/2</f>
        <v>0</v>
      </c>
      <c r="L49" s="369" t="n">
        <f aca="false">(M48+L48)*(M47-L47)/2</f>
        <v>0</v>
      </c>
      <c r="M49" s="369" t="n">
        <f aca="false">(N48+M48)*(N47-M47)/2</f>
        <v>0</v>
      </c>
      <c r="N49" s="369" t="n">
        <f aca="false">(O48+N48)*(O47-N47)/2</f>
        <v>0</v>
      </c>
      <c r="O49" s="369" t="n">
        <f aca="false">(P48+O48)*(P47-O47)/2</f>
        <v>0</v>
      </c>
      <c r="P49" s="369" t="n">
        <f aca="false">(Q48+P48)*(Q47-P47)/2</f>
        <v>0</v>
      </c>
      <c r="Q49" s="369" t="n">
        <f aca="false">(R48+Q48)*(R47-Q47)/2</f>
        <v>0</v>
      </c>
      <c r="R49" s="369" t="n">
        <f aca="false">(S48+R48)*(S47-R47)/2</f>
        <v>0</v>
      </c>
      <c r="S49" s="369" t="n">
        <f aca="false">(T48+S48)*(T47-S47)/2</f>
        <v>0</v>
      </c>
      <c r="T49" s="369" t="n">
        <f aca="false">(U48+T48)*(U47-T47)/2</f>
        <v>0</v>
      </c>
      <c r="U49" s="369" t="n">
        <f aca="false">(V48+U48)*(V47-U47)/2</f>
        <v>0</v>
      </c>
      <c r="V49" s="369" t="n">
        <f aca="false">(W48+V48)*(W47-V47)/2</f>
        <v>0</v>
      </c>
      <c r="W49" s="369" t="n">
        <f aca="false">(X48+W48)*(X47-W47)/2</f>
        <v>0</v>
      </c>
      <c r="X49" s="369" t="n">
        <f aca="false">(Y48+X48)*(Y47-X47)/2</f>
        <v>0</v>
      </c>
      <c r="Y49" s="354"/>
    </row>
    <row r="50" customFormat="false" ht="12.75" hidden="false" customHeight="false" outlineLevel="0" collapsed="false">
      <c r="A50" s="355"/>
      <c r="L50" s="355"/>
      <c r="M50" s="355"/>
      <c r="N50" s="355"/>
      <c r="O50" s="355"/>
      <c r="P50" s="355"/>
      <c r="Q50" s="355"/>
      <c r="R50" s="355"/>
      <c r="S50" s="355"/>
      <c r="T50" s="355"/>
      <c r="U50" s="355"/>
      <c r="V50" s="355"/>
      <c r="W50" s="355"/>
      <c r="X50" s="355"/>
      <c r="Y50" s="355"/>
    </row>
    <row r="51" customFormat="false" ht="13.5" hidden="false" customHeight="false" outlineLevel="0" collapsed="false">
      <c r="A51" s="357" t="s">
        <v>234</v>
      </c>
      <c r="B51" s="358" t="n">
        <f aca="false">ROW(A51)</f>
        <v>51</v>
      </c>
      <c r="C51" s="340" t="s">
        <v>212</v>
      </c>
      <c r="D51" s="341" t="n">
        <f aca="false">SUM(B54:Y54)</f>
        <v>18.1235</v>
      </c>
      <c r="E51" s="340" t="s">
        <v>213</v>
      </c>
      <c r="F51" s="347" t="n">
        <f aca="false">D51/g/J51</f>
        <v>3.07908596670065</v>
      </c>
      <c r="G51" s="340" t="s">
        <v>214</v>
      </c>
      <c r="H51" s="359" t="n">
        <v>0.7</v>
      </c>
      <c r="I51" s="340" t="s">
        <v>225</v>
      </c>
      <c r="J51" s="343" t="n">
        <f aca="false">H51-L51</f>
        <v>0.6</v>
      </c>
      <c r="K51" s="340" t="s">
        <v>226</v>
      </c>
      <c r="L51" s="359" t="n">
        <v>0.1</v>
      </c>
      <c r="M51" s="340" t="s">
        <v>217</v>
      </c>
      <c r="N51" s="360" t="n">
        <f aca="false">0.3*R51</f>
        <v>90</v>
      </c>
      <c r="O51" s="340" t="s">
        <v>218</v>
      </c>
      <c r="P51" s="360" t="n">
        <v>150</v>
      </c>
      <c r="Q51" s="340" t="s">
        <v>219</v>
      </c>
      <c r="R51" s="360" t="n">
        <v>300</v>
      </c>
      <c r="S51" s="340" t="s">
        <v>220</v>
      </c>
      <c r="T51" s="360" t="n">
        <v>98</v>
      </c>
      <c r="U51" s="340" t="s">
        <v>8</v>
      </c>
      <c r="V51" s="361" t="s">
        <v>223</v>
      </c>
      <c r="W51" s="355"/>
      <c r="X51" s="355"/>
      <c r="Y51" s="355"/>
    </row>
    <row r="52" customFormat="false" ht="12" hidden="false" customHeight="false" outlineLevel="0" collapsed="false">
      <c r="A52" s="338" t="s">
        <v>227</v>
      </c>
      <c r="B52" s="362" t="n">
        <v>0</v>
      </c>
      <c r="C52" s="363" t="n">
        <v>0.001</v>
      </c>
      <c r="D52" s="363" t="n">
        <v>0.02</v>
      </c>
      <c r="E52" s="363" t="n">
        <v>0.04</v>
      </c>
      <c r="F52" s="363" t="n">
        <v>0.06</v>
      </c>
      <c r="G52" s="363" t="n">
        <v>0.08</v>
      </c>
      <c r="H52" s="363" t="n">
        <v>0.081</v>
      </c>
      <c r="I52" s="363" t="n">
        <v>0.081</v>
      </c>
      <c r="J52" s="363" t="n">
        <v>0.081</v>
      </c>
      <c r="K52" s="363" t="n">
        <v>0.081</v>
      </c>
      <c r="L52" s="363" t="n">
        <v>0.081</v>
      </c>
      <c r="M52" s="363" t="n">
        <v>0.081</v>
      </c>
      <c r="N52" s="363" t="n">
        <v>0.081</v>
      </c>
      <c r="O52" s="363" t="n">
        <v>0.081</v>
      </c>
      <c r="P52" s="363" t="n">
        <v>0.081</v>
      </c>
      <c r="Q52" s="363" t="n">
        <v>0.081</v>
      </c>
      <c r="R52" s="363" t="n">
        <v>0.081</v>
      </c>
      <c r="S52" s="363" t="n">
        <v>0.081</v>
      </c>
      <c r="T52" s="363" t="n">
        <v>0.081</v>
      </c>
      <c r="U52" s="363" t="n">
        <v>0.081</v>
      </c>
      <c r="V52" s="363" t="n">
        <v>0.081</v>
      </c>
      <c r="W52" s="363" t="n">
        <v>0.081</v>
      </c>
      <c r="X52" s="363" t="n">
        <v>0.081</v>
      </c>
      <c r="Y52" s="350" t="n">
        <v>1000</v>
      </c>
    </row>
    <row r="53" customFormat="false" ht="12" hidden="false" customHeight="false" outlineLevel="0" collapsed="false">
      <c r="A53" s="364" t="s">
        <v>228</v>
      </c>
      <c r="B53" s="365" t="n">
        <v>0</v>
      </c>
      <c r="C53" s="366" t="n">
        <v>310</v>
      </c>
      <c r="D53" s="366" t="n">
        <v>260</v>
      </c>
      <c r="E53" s="366" t="n">
        <v>220</v>
      </c>
      <c r="F53" s="366" t="n">
        <v>190</v>
      </c>
      <c r="G53" s="366" t="n">
        <v>167</v>
      </c>
      <c r="H53" s="366" t="n">
        <v>0</v>
      </c>
      <c r="I53" s="366" t="n">
        <v>0</v>
      </c>
      <c r="J53" s="366" t="n">
        <v>0</v>
      </c>
      <c r="K53" s="366" t="n">
        <v>0</v>
      </c>
      <c r="L53" s="366" t="n">
        <v>0</v>
      </c>
      <c r="M53" s="366" t="n">
        <v>0</v>
      </c>
      <c r="N53" s="366" t="n">
        <v>0</v>
      </c>
      <c r="O53" s="366" t="n">
        <v>0</v>
      </c>
      <c r="P53" s="366" t="n">
        <v>0</v>
      </c>
      <c r="Q53" s="366" t="n">
        <v>0</v>
      </c>
      <c r="R53" s="366" t="n">
        <v>0</v>
      </c>
      <c r="S53" s="366" t="n">
        <v>0</v>
      </c>
      <c r="T53" s="366" t="n">
        <v>0</v>
      </c>
      <c r="U53" s="366" t="n">
        <v>0</v>
      </c>
      <c r="V53" s="366" t="n">
        <v>0</v>
      </c>
      <c r="W53" s="366" t="n">
        <v>0</v>
      </c>
      <c r="X53" s="366" t="n">
        <v>0</v>
      </c>
      <c r="Y53" s="367" t="n">
        <v>0</v>
      </c>
    </row>
    <row r="54" customFormat="false" ht="12.75" hidden="false" customHeight="false" outlineLevel="0" collapsed="false">
      <c r="A54" s="351" t="s">
        <v>229</v>
      </c>
      <c r="B54" s="368" t="n">
        <f aca="false">(C53+B53)*(C52-B52)/2</f>
        <v>0.155</v>
      </c>
      <c r="C54" s="369" t="n">
        <f aca="false">(D53+C53)*(D52-C52)/2</f>
        <v>5.415</v>
      </c>
      <c r="D54" s="369" t="n">
        <f aca="false">(E53+D53)*(E52-D52)/2</f>
        <v>4.8</v>
      </c>
      <c r="E54" s="369" t="n">
        <f aca="false">(F53+E53)*(F52-E52)/2</f>
        <v>4.1</v>
      </c>
      <c r="F54" s="369" t="n">
        <f aca="false">(G53+F53)*(G52-F52)/2</f>
        <v>3.57</v>
      </c>
      <c r="G54" s="369" t="n">
        <f aca="false">(H53+G53)*(H52-G52)/2</f>
        <v>0.0835000000000001</v>
      </c>
      <c r="H54" s="369" t="n">
        <f aca="false">(I53+H53)*(I52-H52)/2</f>
        <v>0</v>
      </c>
      <c r="I54" s="369" t="n">
        <f aca="false">(J53+I53)*(J52-I52)/2</f>
        <v>0</v>
      </c>
      <c r="J54" s="369" t="n">
        <f aca="false">(K53+J53)*(K52-J52)/2</f>
        <v>0</v>
      </c>
      <c r="K54" s="369" t="n">
        <f aca="false">(L53+K53)*(L52-K52)/2</f>
        <v>0</v>
      </c>
      <c r="L54" s="369" t="n">
        <f aca="false">(M53+L53)*(M52-L52)/2</f>
        <v>0</v>
      </c>
      <c r="M54" s="369" t="n">
        <f aca="false">(N53+M53)*(N52-M52)/2</f>
        <v>0</v>
      </c>
      <c r="N54" s="369" t="n">
        <f aca="false">(O53+N53)*(O52-N52)/2</f>
        <v>0</v>
      </c>
      <c r="O54" s="369" t="n">
        <f aca="false">(P53+O53)*(P52-O52)/2</f>
        <v>0</v>
      </c>
      <c r="P54" s="369" t="n">
        <f aca="false">(Q53+P53)*(Q52-P52)/2</f>
        <v>0</v>
      </c>
      <c r="Q54" s="369" t="n">
        <f aca="false">(R53+Q53)*(R52-Q52)/2</f>
        <v>0</v>
      </c>
      <c r="R54" s="369" t="n">
        <f aca="false">(S53+R53)*(S52-R52)/2</f>
        <v>0</v>
      </c>
      <c r="S54" s="369" t="n">
        <f aca="false">(T53+S53)*(T52-S52)/2</f>
        <v>0</v>
      </c>
      <c r="T54" s="369" t="n">
        <f aca="false">(U53+T53)*(U52-T52)/2</f>
        <v>0</v>
      </c>
      <c r="U54" s="369" t="n">
        <f aca="false">(V53+U53)*(V52-U52)/2</f>
        <v>0</v>
      </c>
      <c r="V54" s="369" t="n">
        <f aca="false">(W53+V53)*(W52-V52)/2</f>
        <v>0</v>
      </c>
      <c r="W54" s="369" t="n">
        <f aca="false">(X53+W53)*(X52-W52)/2</f>
        <v>0</v>
      </c>
      <c r="X54" s="369" t="n">
        <f aca="false">(Y53+X53)*(Y52-X52)/2</f>
        <v>0</v>
      </c>
      <c r="Y54" s="354"/>
    </row>
    <row r="55" customFormat="false" ht="12.75" hidden="false" customHeight="false" outlineLevel="0" collapsed="false">
      <c r="B55" s="355"/>
      <c r="C55" s="355"/>
      <c r="D55" s="355"/>
      <c r="E55" s="355"/>
      <c r="F55" s="355"/>
      <c r="G55" s="355"/>
      <c r="H55" s="355"/>
      <c r="I55" s="355"/>
      <c r="J55" s="355"/>
      <c r="K55" s="355"/>
      <c r="L55" s="355"/>
      <c r="M55" s="355"/>
      <c r="N55" s="355"/>
      <c r="O55" s="355"/>
      <c r="P55" s="355"/>
      <c r="Q55" s="355"/>
      <c r="R55" s="355"/>
      <c r="S55" s="355"/>
      <c r="T55" s="355"/>
      <c r="U55" s="355"/>
      <c r="V55" s="355"/>
      <c r="W55" s="355"/>
      <c r="X55" s="355"/>
      <c r="Y55" s="355"/>
    </row>
    <row r="56" customFormat="false" ht="13.5" hidden="false" customHeight="false" outlineLevel="0" collapsed="false">
      <c r="A56" s="357" t="s">
        <v>235</v>
      </c>
      <c r="B56" s="358" t="n">
        <f aca="false">ROW(A56)</f>
        <v>56</v>
      </c>
      <c r="C56" s="340" t="s">
        <v>212</v>
      </c>
      <c r="D56" s="341" t="n">
        <f aca="false">SUM(B59:Y59)</f>
        <v>22.61</v>
      </c>
      <c r="E56" s="340" t="s">
        <v>213</v>
      </c>
      <c r="F56" s="347" t="n">
        <f aca="false">D56/g/J56</f>
        <v>2.88098878695209</v>
      </c>
      <c r="G56" s="340" t="s">
        <v>214</v>
      </c>
      <c r="H56" s="359" t="n">
        <v>0.9</v>
      </c>
      <c r="I56" s="340" t="s">
        <v>225</v>
      </c>
      <c r="J56" s="343" t="n">
        <f aca="false">H56-L56</f>
        <v>0.8</v>
      </c>
      <c r="K56" s="340" t="s">
        <v>226</v>
      </c>
      <c r="L56" s="359" t="n">
        <v>0.1</v>
      </c>
      <c r="M56" s="340" t="s">
        <v>217</v>
      </c>
      <c r="N56" s="360" t="n">
        <f aca="false">0.4*R56</f>
        <v>120</v>
      </c>
      <c r="O56" s="340" t="s">
        <v>218</v>
      </c>
      <c r="P56" s="360" t="n">
        <v>150</v>
      </c>
      <c r="Q56" s="340" t="s">
        <v>219</v>
      </c>
      <c r="R56" s="360" t="n">
        <v>300</v>
      </c>
      <c r="S56" s="340" t="s">
        <v>220</v>
      </c>
      <c r="T56" s="360" t="n">
        <v>98</v>
      </c>
      <c r="U56" s="340" t="s">
        <v>8</v>
      </c>
      <c r="V56" s="361" t="s">
        <v>223</v>
      </c>
      <c r="W56" s="355"/>
      <c r="X56" s="355"/>
      <c r="Y56" s="355"/>
    </row>
    <row r="57" customFormat="false" ht="12" hidden="false" customHeight="false" outlineLevel="0" collapsed="false">
      <c r="A57" s="338" t="s">
        <v>227</v>
      </c>
      <c r="B57" s="362" t="n">
        <v>0</v>
      </c>
      <c r="C57" s="363" t="n">
        <v>0.001</v>
      </c>
      <c r="D57" s="363" t="n">
        <v>0.02</v>
      </c>
      <c r="E57" s="363" t="n">
        <v>0.04</v>
      </c>
      <c r="F57" s="363" t="n">
        <v>0.06</v>
      </c>
      <c r="G57" s="363" t="n">
        <v>0.08</v>
      </c>
      <c r="H57" s="363" t="n">
        <v>0.1</v>
      </c>
      <c r="I57" s="363" t="n">
        <v>0.117</v>
      </c>
      <c r="J57" s="363" t="n">
        <v>0.118</v>
      </c>
      <c r="K57" s="363" t="n">
        <v>0.118</v>
      </c>
      <c r="L57" s="363" t="n">
        <v>0.118</v>
      </c>
      <c r="M57" s="363" t="n">
        <v>0.118</v>
      </c>
      <c r="N57" s="363" t="n">
        <v>0.118</v>
      </c>
      <c r="O57" s="363" t="n">
        <v>0.118</v>
      </c>
      <c r="P57" s="363" t="n">
        <v>0.118</v>
      </c>
      <c r="Q57" s="363" t="n">
        <v>0.118</v>
      </c>
      <c r="R57" s="363" t="n">
        <v>0.118</v>
      </c>
      <c r="S57" s="363" t="n">
        <v>0.118</v>
      </c>
      <c r="T57" s="363" t="n">
        <v>0.118</v>
      </c>
      <c r="U57" s="363" t="n">
        <v>0.118</v>
      </c>
      <c r="V57" s="363" t="n">
        <v>0.118</v>
      </c>
      <c r="W57" s="363" t="n">
        <v>0.118</v>
      </c>
      <c r="X57" s="363" t="n">
        <v>0.118</v>
      </c>
      <c r="Y57" s="350" t="n">
        <v>1000</v>
      </c>
    </row>
    <row r="58" customFormat="false" ht="12" hidden="false" customHeight="false" outlineLevel="0" collapsed="false">
      <c r="A58" s="364" t="s">
        <v>228</v>
      </c>
      <c r="B58" s="365" t="n">
        <v>0</v>
      </c>
      <c r="C58" s="366" t="n">
        <v>310</v>
      </c>
      <c r="D58" s="366" t="n">
        <v>250</v>
      </c>
      <c r="E58" s="366" t="n">
        <v>210</v>
      </c>
      <c r="F58" s="366" t="n">
        <v>180</v>
      </c>
      <c r="G58" s="366" t="n">
        <v>156</v>
      </c>
      <c r="H58" s="366" t="n">
        <v>140</v>
      </c>
      <c r="I58" s="366" t="n">
        <v>125</v>
      </c>
      <c r="J58" s="366" t="n">
        <v>0</v>
      </c>
      <c r="K58" s="366" t="n">
        <v>0</v>
      </c>
      <c r="L58" s="366" t="n">
        <v>0</v>
      </c>
      <c r="M58" s="366" t="n">
        <v>0</v>
      </c>
      <c r="N58" s="366" t="n">
        <v>0</v>
      </c>
      <c r="O58" s="366" t="n">
        <v>0</v>
      </c>
      <c r="P58" s="366" t="n">
        <v>0</v>
      </c>
      <c r="Q58" s="366" t="n">
        <v>0</v>
      </c>
      <c r="R58" s="366" t="n">
        <v>0</v>
      </c>
      <c r="S58" s="366" t="n">
        <v>0</v>
      </c>
      <c r="T58" s="366" t="n">
        <v>0</v>
      </c>
      <c r="U58" s="366" t="n">
        <v>0</v>
      </c>
      <c r="V58" s="366" t="n">
        <v>0</v>
      </c>
      <c r="W58" s="366" t="n">
        <v>0</v>
      </c>
      <c r="X58" s="366" t="n">
        <v>0</v>
      </c>
      <c r="Y58" s="367" t="n">
        <v>0</v>
      </c>
    </row>
    <row r="59" customFormat="false" ht="12.75" hidden="false" customHeight="false" outlineLevel="0" collapsed="false">
      <c r="A59" s="351" t="s">
        <v>229</v>
      </c>
      <c r="B59" s="368" t="n">
        <f aca="false">(C58+B58)*(C57-B57)/2</f>
        <v>0.155</v>
      </c>
      <c r="C59" s="369" t="n">
        <f aca="false">(D58+C58)*(D57-C57)/2</f>
        <v>5.32</v>
      </c>
      <c r="D59" s="369" t="n">
        <f aca="false">(E58+D58)*(E57-D57)/2</f>
        <v>4.6</v>
      </c>
      <c r="E59" s="369" t="n">
        <f aca="false">(F58+E58)*(F57-E57)/2</f>
        <v>3.9</v>
      </c>
      <c r="F59" s="369" t="n">
        <f aca="false">(G58+F58)*(G57-F57)/2</f>
        <v>3.36</v>
      </c>
      <c r="G59" s="369" t="n">
        <f aca="false">(H58+G58)*(H57-G57)/2</f>
        <v>2.96</v>
      </c>
      <c r="H59" s="369" t="n">
        <f aca="false">(I58+H58)*(I57-H57)/2</f>
        <v>2.2525</v>
      </c>
      <c r="I59" s="369" t="n">
        <f aca="false">(J58+I58)*(J57-I57)/2</f>
        <v>0.0624999999999992</v>
      </c>
      <c r="J59" s="369" t="n">
        <f aca="false">(K58+J58)*(K57-J57)/2</f>
        <v>0</v>
      </c>
      <c r="K59" s="369" t="n">
        <f aca="false">(L58+K58)*(L57-K57)/2</f>
        <v>0</v>
      </c>
      <c r="L59" s="369" t="n">
        <f aca="false">(M58+L58)*(M57-L57)/2</f>
        <v>0</v>
      </c>
      <c r="M59" s="369" t="n">
        <f aca="false">(N58+M58)*(N57-M57)/2</f>
        <v>0</v>
      </c>
      <c r="N59" s="369" t="n">
        <f aca="false">(O58+N58)*(O57-N57)/2</f>
        <v>0</v>
      </c>
      <c r="O59" s="369" t="n">
        <f aca="false">(P58+O58)*(P57-O57)/2</f>
        <v>0</v>
      </c>
      <c r="P59" s="369" t="n">
        <f aca="false">(Q58+P58)*(Q57-P57)/2</f>
        <v>0</v>
      </c>
      <c r="Q59" s="369" t="n">
        <f aca="false">(R58+Q58)*(R57-Q57)/2</f>
        <v>0</v>
      </c>
      <c r="R59" s="369" t="n">
        <f aca="false">(S58+R58)*(S57-R57)/2</f>
        <v>0</v>
      </c>
      <c r="S59" s="369" t="n">
        <f aca="false">(T58+S58)*(T57-S57)/2</f>
        <v>0</v>
      </c>
      <c r="T59" s="369" t="n">
        <f aca="false">(U58+T58)*(U57-T57)/2</f>
        <v>0</v>
      </c>
      <c r="U59" s="369" t="n">
        <f aca="false">(V58+U58)*(V57-U57)/2</f>
        <v>0</v>
      </c>
      <c r="V59" s="369" t="n">
        <f aca="false">(W58+V58)*(W57-V57)/2</f>
        <v>0</v>
      </c>
      <c r="W59" s="369" t="n">
        <f aca="false">(X58+W58)*(X57-W57)/2</f>
        <v>0</v>
      </c>
      <c r="X59" s="369" t="n">
        <f aca="false">(Y58+X58)*(Y57-X57)/2</f>
        <v>0</v>
      </c>
      <c r="Y59" s="354"/>
    </row>
    <row r="60" customFormat="false" ht="12.75" hidden="false" customHeight="false" outlineLevel="0" collapsed="false">
      <c r="A60" s="355"/>
      <c r="L60" s="355"/>
      <c r="M60" s="355"/>
      <c r="N60" s="355"/>
      <c r="O60" s="355"/>
      <c r="P60" s="355"/>
      <c r="Q60" s="355"/>
      <c r="R60" s="355"/>
      <c r="S60" s="355"/>
      <c r="T60" s="355"/>
      <c r="U60" s="355"/>
      <c r="V60" s="355"/>
      <c r="W60" s="355"/>
      <c r="X60" s="355"/>
      <c r="Y60" s="355"/>
    </row>
    <row r="61" customFormat="false" ht="13.5" hidden="false" customHeight="false" outlineLevel="0" collapsed="false">
      <c r="A61" s="357" t="s">
        <v>236</v>
      </c>
      <c r="B61" s="358" t="n">
        <f aca="false">ROW(A61)</f>
        <v>61</v>
      </c>
      <c r="C61" s="340" t="s">
        <v>212</v>
      </c>
      <c r="D61" s="341" t="n">
        <f aca="false">SUM(B64:Y64)</f>
        <v>25.874</v>
      </c>
      <c r="E61" s="340" t="s">
        <v>213</v>
      </c>
      <c r="F61" s="347" t="n">
        <f aca="false">D61/g/J61</f>
        <v>2.6375127420999</v>
      </c>
      <c r="G61" s="340" t="s">
        <v>214</v>
      </c>
      <c r="H61" s="359" t="n">
        <v>1.1</v>
      </c>
      <c r="I61" s="340" t="s">
        <v>225</v>
      </c>
      <c r="J61" s="343" t="n">
        <f aca="false">H61-L61</f>
        <v>1</v>
      </c>
      <c r="K61" s="340" t="s">
        <v>226</v>
      </c>
      <c r="L61" s="359" t="n">
        <v>0.1</v>
      </c>
      <c r="M61" s="340" t="s">
        <v>217</v>
      </c>
      <c r="N61" s="360" t="n">
        <f aca="false">0.5*R61</f>
        <v>150</v>
      </c>
      <c r="O61" s="340" t="s">
        <v>218</v>
      </c>
      <c r="P61" s="360" t="n">
        <v>150</v>
      </c>
      <c r="Q61" s="340" t="s">
        <v>219</v>
      </c>
      <c r="R61" s="360" t="n">
        <v>300</v>
      </c>
      <c r="S61" s="340" t="s">
        <v>220</v>
      </c>
      <c r="T61" s="360" t="n">
        <v>98</v>
      </c>
      <c r="U61" s="340" t="s">
        <v>8</v>
      </c>
      <c r="V61" s="361" t="s">
        <v>223</v>
      </c>
      <c r="W61" s="355"/>
      <c r="X61" s="355"/>
      <c r="Y61" s="355"/>
    </row>
    <row r="62" customFormat="false" ht="12" hidden="false" customHeight="false" outlineLevel="0" collapsed="false">
      <c r="A62" s="338" t="s">
        <v>227</v>
      </c>
      <c r="B62" s="362" t="n">
        <v>0</v>
      </c>
      <c r="C62" s="363" t="n">
        <v>0.001</v>
      </c>
      <c r="D62" s="363" t="n">
        <v>0.02</v>
      </c>
      <c r="E62" s="363" t="n">
        <v>0.04</v>
      </c>
      <c r="F62" s="363" t="n">
        <v>0.06</v>
      </c>
      <c r="G62" s="363" t="n">
        <v>0.08</v>
      </c>
      <c r="H62" s="363" t="n">
        <v>0.1</v>
      </c>
      <c r="I62" s="363" t="n">
        <v>0.12</v>
      </c>
      <c r="J62" s="363" t="n">
        <v>0.14</v>
      </c>
      <c r="K62" s="363" t="n">
        <v>0.164</v>
      </c>
      <c r="L62" s="363" t="n">
        <v>0.165</v>
      </c>
      <c r="M62" s="363" t="n">
        <v>0.165</v>
      </c>
      <c r="N62" s="363" t="n">
        <v>0.165</v>
      </c>
      <c r="O62" s="363" t="n">
        <v>0.165</v>
      </c>
      <c r="P62" s="363" t="n">
        <v>0.165</v>
      </c>
      <c r="Q62" s="363" t="n">
        <v>0.165</v>
      </c>
      <c r="R62" s="363" t="n">
        <v>0.165</v>
      </c>
      <c r="S62" s="363" t="n">
        <v>0.165</v>
      </c>
      <c r="T62" s="363" t="n">
        <v>0.165</v>
      </c>
      <c r="U62" s="363" t="n">
        <v>0.165</v>
      </c>
      <c r="V62" s="363" t="n">
        <v>0.165</v>
      </c>
      <c r="W62" s="363" t="n">
        <v>0.165</v>
      </c>
      <c r="X62" s="363" t="n">
        <v>0.165</v>
      </c>
      <c r="Y62" s="350" t="n">
        <v>1000</v>
      </c>
    </row>
    <row r="63" customFormat="false" ht="12" hidden="false" customHeight="false" outlineLevel="0" collapsed="false">
      <c r="A63" s="364" t="s">
        <v>228</v>
      </c>
      <c r="B63" s="365" t="n">
        <v>0</v>
      </c>
      <c r="C63" s="366" t="n">
        <v>310</v>
      </c>
      <c r="D63" s="366" t="n">
        <v>245</v>
      </c>
      <c r="E63" s="366" t="n">
        <v>200</v>
      </c>
      <c r="F63" s="366" t="n">
        <v>165</v>
      </c>
      <c r="G63" s="366" t="n">
        <v>143</v>
      </c>
      <c r="H63" s="366" t="n">
        <v>124</v>
      </c>
      <c r="I63" s="366" t="n">
        <v>108</v>
      </c>
      <c r="J63" s="366" t="n">
        <v>97</v>
      </c>
      <c r="K63" s="366" t="n">
        <v>85</v>
      </c>
      <c r="L63" s="366" t="n">
        <v>0</v>
      </c>
      <c r="M63" s="366" t="n">
        <v>0</v>
      </c>
      <c r="N63" s="366" t="n">
        <v>0</v>
      </c>
      <c r="O63" s="366" t="n">
        <v>0</v>
      </c>
      <c r="P63" s="366" t="n">
        <v>0</v>
      </c>
      <c r="Q63" s="366" t="n">
        <v>0</v>
      </c>
      <c r="R63" s="366" t="n">
        <v>0</v>
      </c>
      <c r="S63" s="366" t="n">
        <v>0</v>
      </c>
      <c r="T63" s="366" t="n">
        <v>0</v>
      </c>
      <c r="U63" s="366" t="n">
        <v>0</v>
      </c>
      <c r="V63" s="366" t="n">
        <v>0</v>
      </c>
      <c r="W63" s="366" t="n">
        <v>0</v>
      </c>
      <c r="X63" s="366" t="n">
        <v>0</v>
      </c>
      <c r="Y63" s="367" t="n">
        <v>0</v>
      </c>
    </row>
    <row r="64" customFormat="false" ht="12.75" hidden="false" customHeight="false" outlineLevel="0" collapsed="false">
      <c r="A64" s="351" t="s">
        <v>229</v>
      </c>
      <c r="B64" s="368" t="n">
        <f aca="false">(C63+B63)*(C62-B62)/2</f>
        <v>0.155</v>
      </c>
      <c r="C64" s="369" t="n">
        <f aca="false">(D63+C63)*(D62-C62)/2</f>
        <v>5.2725</v>
      </c>
      <c r="D64" s="369" t="n">
        <f aca="false">(E63+D63)*(E62-D62)/2</f>
        <v>4.45</v>
      </c>
      <c r="E64" s="369" t="n">
        <f aca="false">(F63+E63)*(F62-E62)/2</f>
        <v>3.65</v>
      </c>
      <c r="F64" s="369" t="n">
        <f aca="false">(G63+F63)*(G62-F62)/2</f>
        <v>3.08</v>
      </c>
      <c r="G64" s="369" t="n">
        <f aca="false">(H63+G63)*(H62-G62)/2</f>
        <v>2.67</v>
      </c>
      <c r="H64" s="369" t="n">
        <f aca="false">(I63+H63)*(I62-H62)/2</f>
        <v>2.32</v>
      </c>
      <c r="I64" s="369" t="n">
        <f aca="false">(J63+I63)*(J62-I62)/2</f>
        <v>2.05</v>
      </c>
      <c r="J64" s="369" t="n">
        <f aca="false">(K63+J63)*(K62-J62)/2</f>
        <v>2.184</v>
      </c>
      <c r="K64" s="369" t="n">
        <f aca="false">(L63+K63)*(L62-K62)/2</f>
        <v>0.0425</v>
      </c>
      <c r="L64" s="369" t="n">
        <f aca="false">(M63+L63)*(M62-L62)/2</f>
        <v>0</v>
      </c>
      <c r="M64" s="369" t="n">
        <f aca="false">(N63+M63)*(N62-M62)/2</f>
        <v>0</v>
      </c>
      <c r="N64" s="369" t="n">
        <f aca="false">(O63+N63)*(O62-N62)/2</f>
        <v>0</v>
      </c>
      <c r="O64" s="369" t="n">
        <f aca="false">(P63+O63)*(P62-O62)/2</f>
        <v>0</v>
      </c>
      <c r="P64" s="369" t="n">
        <f aca="false">(Q63+P63)*(Q62-P62)/2</f>
        <v>0</v>
      </c>
      <c r="Q64" s="369" t="n">
        <f aca="false">(R63+Q63)*(R62-Q62)/2</f>
        <v>0</v>
      </c>
      <c r="R64" s="369" t="n">
        <f aca="false">(S63+R63)*(S62-R62)/2</f>
        <v>0</v>
      </c>
      <c r="S64" s="369" t="n">
        <f aca="false">(T63+S63)*(T62-S62)/2</f>
        <v>0</v>
      </c>
      <c r="T64" s="369" t="n">
        <f aca="false">(U63+T63)*(U62-T62)/2</f>
        <v>0</v>
      </c>
      <c r="U64" s="369" t="n">
        <f aca="false">(V63+U63)*(V62-U62)/2</f>
        <v>0</v>
      </c>
      <c r="V64" s="369" t="n">
        <f aca="false">(W63+V63)*(W62-V62)/2</f>
        <v>0</v>
      </c>
      <c r="W64" s="369" t="n">
        <f aca="false">(X63+W63)*(X62-W62)/2</f>
        <v>0</v>
      </c>
      <c r="X64" s="369" t="n">
        <f aca="false">(Y63+X63)*(Y62-X62)/2</f>
        <v>0</v>
      </c>
      <c r="Y64" s="354"/>
    </row>
    <row r="66" customFormat="false" ht="13.5" hidden="false" customHeight="false" outlineLevel="0" collapsed="false">
      <c r="A66" s="356" t="s">
        <v>237</v>
      </c>
    </row>
    <row r="67" customFormat="false" ht="13.5" hidden="false" customHeight="false" outlineLevel="0" collapsed="false">
      <c r="A67" s="357" t="s">
        <v>238</v>
      </c>
      <c r="B67" s="358" t="n">
        <f aca="false">ROW(A67)</f>
        <v>67</v>
      </c>
      <c r="C67" s="340" t="s">
        <v>212</v>
      </c>
      <c r="D67" s="341" t="n">
        <f aca="false">SUM(B70:Y70)</f>
        <v>2.65</v>
      </c>
      <c r="E67" s="340" t="s">
        <v>213</v>
      </c>
      <c r="F67" s="342" t="n">
        <f aca="false">D67/g/J67</f>
        <v>54.026503567788</v>
      </c>
      <c r="G67" s="340" t="s">
        <v>214</v>
      </c>
      <c r="H67" s="359" t="n">
        <v>0.015</v>
      </c>
      <c r="I67" s="340" t="s">
        <v>225</v>
      </c>
      <c r="J67" s="343" t="n">
        <f aca="false">H67-L67</f>
        <v>0.005</v>
      </c>
      <c r="K67" s="340" t="s">
        <v>226</v>
      </c>
      <c r="L67" s="359" t="n">
        <v>0.01</v>
      </c>
      <c r="M67" s="340" t="s">
        <v>217</v>
      </c>
      <c r="N67" s="360" t="n">
        <v>30</v>
      </c>
      <c r="O67" s="340" t="s">
        <v>218</v>
      </c>
      <c r="P67" s="360" t="n">
        <v>30</v>
      </c>
      <c r="Q67" s="340" t="s">
        <v>219</v>
      </c>
      <c r="R67" s="360" t="n">
        <v>70</v>
      </c>
      <c r="S67" s="340" t="s">
        <v>220</v>
      </c>
      <c r="T67" s="360" t="n">
        <v>15</v>
      </c>
      <c r="U67" s="340" t="s">
        <v>8</v>
      </c>
      <c r="V67" s="361" t="s">
        <v>239</v>
      </c>
      <c r="W67" s="346" t="s">
        <v>221</v>
      </c>
      <c r="X67" s="370" t="n">
        <v>0.32</v>
      </c>
      <c r="Y67" s="346" t="s">
        <v>222</v>
      </c>
      <c r="Z67" s="345" t="n">
        <v>3</v>
      </c>
    </row>
    <row r="68" customFormat="false" ht="12" hidden="false" customHeight="false" outlineLevel="0" collapsed="false">
      <c r="A68" s="338" t="s">
        <v>227</v>
      </c>
      <c r="B68" s="362" t="n">
        <v>0</v>
      </c>
      <c r="C68" s="363" t="n">
        <v>0.2</v>
      </c>
      <c r="D68" s="363" t="n">
        <v>0.3</v>
      </c>
      <c r="E68" s="363" t="n">
        <v>0.4</v>
      </c>
      <c r="F68" s="363" t="n">
        <v>0.5</v>
      </c>
      <c r="G68" s="363" t="n">
        <v>0.55</v>
      </c>
      <c r="H68" s="363" t="n">
        <v>0.6</v>
      </c>
      <c r="I68" s="363" t="n">
        <v>0.6</v>
      </c>
      <c r="J68" s="363" t="n">
        <v>0.6</v>
      </c>
      <c r="K68" s="363" t="n">
        <v>0.6</v>
      </c>
      <c r="L68" s="363" t="n">
        <v>0.6</v>
      </c>
      <c r="M68" s="363" t="n">
        <v>0.6</v>
      </c>
      <c r="N68" s="363" t="n">
        <v>0.6</v>
      </c>
      <c r="O68" s="363" t="n">
        <v>0.6</v>
      </c>
      <c r="P68" s="363" t="n">
        <v>0.6</v>
      </c>
      <c r="Q68" s="363" t="n">
        <v>0.6</v>
      </c>
      <c r="R68" s="363" t="n">
        <v>0.6</v>
      </c>
      <c r="S68" s="363" t="n">
        <v>0.6</v>
      </c>
      <c r="T68" s="363" t="n">
        <v>0.6</v>
      </c>
      <c r="U68" s="363" t="n">
        <v>0.6</v>
      </c>
      <c r="V68" s="363" t="n">
        <v>0.6</v>
      </c>
      <c r="W68" s="363" t="n">
        <v>0.6</v>
      </c>
      <c r="X68" s="363" t="n">
        <v>0.6</v>
      </c>
      <c r="Y68" s="350" t="n">
        <v>1000</v>
      </c>
    </row>
    <row r="69" customFormat="false" ht="12" hidden="false" customHeight="false" outlineLevel="0" collapsed="false">
      <c r="A69" s="364" t="s">
        <v>228</v>
      </c>
      <c r="B69" s="365" t="n">
        <v>0</v>
      </c>
      <c r="C69" s="366" t="n">
        <v>9</v>
      </c>
      <c r="D69" s="366" t="n">
        <v>4.5</v>
      </c>
      <c r="E69" s="366" t="n">
        <v>4</v>
      </c>
      <c r="F69" s="366" t="n">
        <v>4</v>
      </c>
      <c r="G69" s="366" t="n">
        <v>3</v>
      </c>
      <c r="H69" s="366" t="n">
        <v>0</v>
      </c>
      <c r="I69" s="366" t="n">
        <v>0</v>
      </c>
      <c r="J69" s="366" t="n">
        <v>0</v>
      </c>
      <c r="K69" s="366" t="n">
        <v>0</v>
      </c>
      <c r="L69" s="366" t="n">
        <v>0</v>
      </c>
      <c r="M69" s="366" t="n">
        <v>0</v>
      </c>
      <c r="N69" s="366" t="n">
        <v>0</v>
      </c>
      <c r="O69" s="366" t="n">
        <v>0</v>
      </c>
      <c r="P69" s="366" t="n">
        <v>0</v>
      </c>
      <c r="Q69" s="366" t="n">
        <v>0</v>
      </c>
      <c r="R69" s="366" t="n">
        <v>0</v>
      </c>
      <c r="S69" s="366" t="n">
        <v>0</v>
      </c>
      <c r="T69" s="366" t="n">
        <v>0</v>
      </c>
      <c r="U69" s="366" t="n">
        <v>0</v>
      </c>
      <c r="V69" s="366" t="n">
        <v>0</v>
      </c>
      <c r="W69" s="366" t="n">
        <v>0</v>
      </c>
      <c r="X69" s="366" t="n">
        <v>0</v>
      </c>
      <c r="Y69" s="367" t="n">
        <v>0</v>
      </c>
    </row>
    <row r="70" customFormat="false" ht="12.75" hidden="false" customHeight="false" outlineLevel="0" collapsed="false">
      <c r="A70" s="351" t="s">
        <v>229</v>
      </c>
      <c r="B70" s="368" t="n">
        <f aca="false">(C69+B69)*(C68-B68)/2</f>
        <v>0.9</v>
      </c>
      <c r="C70" s="369" t="n">
        <f aca="false">(D69+C69)*(D68-C68)/2</f>
        <v>0.675</v>
      </c>
      <c r="D70" s="369" t="n">
        <f aca="false">(E69+D69)*(E68-D68)/2</f>
        <v>0.425</v>
      </c>
      <c r="E70" s="369" t="n">
        <f aca="false">(F69+E69)*(F68-E68)/2</f>
        <v>0.4</v>
      </c>
      <c r="F70" s="369" t="n">
        <f aca="false">(G69+F69)*(G68-F68)/2</f>
        <v>0.175</v>
      </c>
      <c r="G70" s="369" t="n">
        <f aca="false">(H69+G69)*(H68-G68)/2</f>
        <v>0.0749999999999999</v>
      </c>
      <c r="H70" s="369" t="n">
        <f aca="false">(I69+H69)*(I68-H68)/2</f>
        <v>0</v>
      </c>
      <c r="I70" s="369" t="n">
        <f aca="false">(J69+I69)*(J68-I68)/2</f>
        <v>0</v>
      </c>
      <c r="J70" s="369" t="n">
        <f aca="false">(K69+J69)*(K68-J68)/2</f>
        <v>0</v>
      </c>
      <c r="K70" s="369" t="n">
        <f aca="false">(L69+K69)*(L68-K68)/2</f>
        <v>0</v>
      </c>
      <c r="L70" s="369" t="n">
        <f aca="false">(M69+L69)*(M68-L68)/2</f>
        <v>0</v>
      </c>
      <c r="M70" s="369" t="n">
        <f aca="false">(N69+M69)*(N68-M68)/2</f>
        <v>0</v>
      </c>
      <c r="N70" s="369" t="n">
        <f aca="false">(O69+N69)*(O68-N68)/2</f>
        <v>0</v>
      </c>
      <c r="O70" s="369" t="n">
        <f aca="false">(P69+O69)*(P68-O68)/2</f>
        <v>0</v>
      </c>
      <c r="P70" s="369" t="n">
        <f aca="false">(Q69+P69)*(Q68-P68)/2</f>
        <v>0</v>
      </c>
      <c r="Q70" s="369" t="n">
        <f aca="false">(R69+Q69)*(R68-Q68)/2</f>
        <v>0</v>
      </c>
      <c r="R70" s="369" t="n">
        <f aca="false">(S69+R69)*(S68-R68)/2</f>
        <v>0</v>
      </c>
      <c r="S70" s="369" t="n">
        <f aca="false">(T69+S69)*(T68-S68)/2</f>
        <v>0</v>
      </c>
      <c r="T70" s="369" t="n">
        <f aca="false">(U69+T69)*(U68-T68)/2</f>
        <v>0</v>
      </c>
      <c r="U70" s="369" t="n">
        <f aca="false">(V69+U69)*(V68-U68)/2</f>
        <v>0</v>
      </c>
      <c r="V70" s="369" t="n">
        <f aca="false">(W69+V69)*(W68-V68)/2</f>
        <v>0</v>
      </c>
      <c r="W70" s="369" t="n">
        <f aca="false">(X69+W69)*(X68-W68)/2</f>
        <v>0</v>
      </c>
      <c r="X70" s="369" t="n">
        <f aca="false">(Y69+X69)*(Y68-X68)/2</f>
        <v>0</v>
      </c>
      <c r="Y70" s="354"/>
    </row>
    <row r="71" customFormat="false" ht="12.75" hidden="false" customHeight="false" outlineLevel="0" collapsed="false">
      <c r="A71" s="355"/>
      <c r="L71" s="355"/>
      <c r="M71" s="355"/>
      <c r="N71" s="355"/>
      <c r="O71" s="355"/>
      <c r="P71" s="355"/>
      <c r="Q71" s="355"/>
      <c r="R71" s="355"/>
      <c r="S71" s="355"/>
      <c r="T71" s="355"/>
      <c r="U71" s="355"/>
      <c r="V71" s="355"/>
      <c r="W71" s="355"/>
      <c r="X71" s="355"/>
      <c r="Y71" s="355"/>
    </row>
    <row r="72" customFormat="false" ht="13.5" hidden="false" customHeight="false" outlineLevel="0" collapsed="false">
      <c r="A72" s="357" t="s">
        <v>240</v>
      </c>
      <c r="B72" s="358" t="n">
        <f aca="false">ROW(A72)</f>
        <v>72</v>
      </c>
      <c r="C72" s="340" t="s">
        <v>212</v>
      </c>
      <c r="D72" s="341" t="n">
        <f aca="false">SUM(B75:Y75)</f>
        <v>5.25</v>
      </c>
      <c r="E72" s="340" t="s">
        <v>213</v>
      </c>
      <c r="F72" s="342" t="n">
        <f aca="false">D72/g/J72</f>
        <v>89.1946992864424</v>
      </c>
      <c r="G72" s="340" t="s">
        <v>214</v>
      </c>
      <c r="H72" s="359" t="n">
        <v>0.02</v>
      </c>
      <c r="I72" s="340" t="s">
        <v>225</v>
      </c>
      <c r="J72" s="343" t="n">
        <f aca="false">H72-L72</f>
        <v>0.006</v>
      </c>
      <c r="K72" s="340" t="s">
        <v>226</v>
      </c>
      <c r="L72" s="359" t="n">
        <v>0.014</v>
      </c>
      <c r="M72" s="340" t="s">
        <v>217</v>
      </c>
      <c r="N72" s="360" t="n">
        <v>30</v>
      </c>
      <c r="O72" s="340" t="s">
        <v>218</v>
      </c>
      <c r="P72" s="360" t="n">
        <v>30</v>
      </c>
      <c r="Q72" s="340" t="s">
        <v>219</v>
      </c>
      <c r="R72" s="360" t="n">
        <v>70</v>
      </c>
      <c r="S72" s="340" t="s">
        <v>220</v>
      </c>
      <c r="T72" s="360" t="n">
        <v>15</v>
      </c>
      <c r="U72" s="340" t="s">
        <v>8</v>
      </c>
      <c r="V72" s="361" t="s">
        <v>239</v>
      </c>
      <c r="W72" s="346" t="s">
        <v>221</v>
      </c>
      <c r="X72" s="370" t="n">
        <v>1.2</v>
      </c>
      <c r="Y72" s="346" t="s">
        <v>222</v>
      </c>
      <c r="Z72" s="345" t="n">
        <v>4</v>
      </c>
    </row>
    <row r="73" customFormat="false" ht="12" hidden="false" customHeight="false" outlineLevel="0" collapsed="false">
      <c r="A73" s="338" t="s">
        <v>227</v>
      </c>
      <c r="B73" s="362" t="n">
        <v>0</v>
      </c>
      <c r="C73" s="363" t="n">
        <v>0.2</v>
      </c>
      <c r="D73" s="363" t="n">
        <v>0.3</v>
      </c>
      <c r="E73" s="363" t="n">
        <v>0.55</v>
      </c>
      <c r="F73" s="363" t="n">
        <v>1.05</v>
      </c>
      <c r="G73" s="363" t="n">
        <v>1.15</v>
      </c>
      <c r="H73" s="363" t="n">
        <v>1.15</v>
      </c>
      <c r="I73" s="363" t="n">
        <v>1.15</v>
      </c>
      <c r="J73" s="363" t="n">
        <v>1.15</v>
      </c>
      <c r="K73" s="363" t="n">
        <v>1.15</v>
      </c>
      <c r="L73" s="363" t="n">
        <v>1.15</v>
      </c>
      <c r="M73" s="363" t="n">
        <v>1.15</v>
      </c>
      <c r="N73" s="363" t="n">
        <v>1.15</v>
      </c>
      <c r="O73" s="363" t="n">
        <v>1.15</v>
      </c>
      <c r="P73" s="363" t="n">
        <v>1.15</v>
      </c>
      <c r="Q73" s="363" t="n">
        <v>1.15</v>
      </c>
      <c r="R73" s="363" t="n">
        <v>1.15</v>
      </c>
      <c r="S73" s="363" t="n">
        <v>1.15</v>
      </c>
      <c r="T73" s="363" t="n">
        <v>1.15</v>
      </c>
      <c r="U73" s="363" t="n">
        <v>1.15</v>
      </c>
      <c r="V73" s="363" t="n">
        <v>1.15</v>
      </c>
      <c r="W73" s="363" t="n">
        <v>1.15</v>
      </c>
      <c r="X73" s="363" t="n">
        <v>1.15</v>
      </c>
      <c r="Y73" s="350" t="n">
        <v>1000</v>
      </c>
    </row>
    <row r="74" customFormat="false" ht="12" hidden="false" customHeight="false" outlineLevel="0" collapsed="false">
      <c r="A74" s="364" t="s">
        <v>228</v>
      </c>
      <c r="B74" s="365" t="n">
        <v>0</v>
      </c>
      <c r="C74" s="366" t="n">
        <v>10</v>
      </c>
      <c r="D74" s="366" t="n">
        <v>6</v>
      </c>
      <c r="E74" s="366" t="n">
        <v>4</v>
      </c>
      <c r="F74" s="366" t="n">
        <v>4</v>
      </c>
      <c r="G74" s="366" t="n">
        <v>0</v>
      </c>
      <c r="H74" s="366" t="n">
        <v>0</v>
      </c>
      <c r="I74" s="366" t="n">
        <v>0</v>
      </c>
      <c r="J74" s="366" t="n">
        <v>0</v>
      </c>
      <c r="K74" s="366" t="n">
        <v>0</v>
      </c>
      <c r="L74" s="366" t="n">
        <v>0</v>
      </c>
      <c r="M74" s="366" t="n">
        <v>0</v>
      </c>
      <c r="N74" s="366" t="n">
        <v>0</v>
      </c>
      <c r="O74" s="366" t="n">
        <v>0</v>
      </c>
      <c r="P74" s="366" t="n">
        <v>0</v>
      </c>
      <c r="Q74" s="366" t="n">
        <v>0</v>
      </c>
      <c r="R74" s="366" t="n">
        <v>0</v>
      </c>
      <c r="S74" s="366" t="n">
        <v>0</v>
      </c>
      <c r="T74" s="366" t="n">
        <v>0</v>
      </c>
      <c r="U74" s="366" t="n">
        <v>0</v>
      </c>
      <c r="V74" s="366" t="n">
        <v>0</v>
      </c>
      <c r="W74" s="366" t="n">
        <v>0</v>
      </c>
      <c r="X74" s="366" t="n">
        <v>0</v>
      </c>
      <c r="Y74" s="367" t="n">
        <v>0</v>
      </c>
    </row>
    <row r="75" customFormat="false" ht="12.75" hidden="false" customHeight="false" outlineLevel="0" collapsed="false">
      <c r="A75" s="351" t="s">
        <v>229</v>
      </c>
      <c r="B75" s="368" t="n">
        <f aca="false">(C74+B74)*(C73-B73)/2</f>
        <v>1</v>
      </c>
      <c r="C75" s="369" t="n">
        <f aca="false">(D74+C74)*(D73-C73)/2</f>
        <v>0.8</v>
      </c>
      <c r="D75" s="369" t="n">
        <f aca="false">(E74+D74)*(E73-D73)/2</f>
        <v>1.25</v>
      </c>
      <c r="E75" s="369" t="n">
        <f aca="false">(F74+E74)*(F73-E73)/2</f>
        <v>2</v>
      </c>
      <c r="F75" s="369" t="n">
        <f aca="false">(G74+F74)*(G73-F73)/2</f>
        <v>0.2</v>
      </c>
      <c r="G75" s="369" t="n">
        <f aca="false">(H74+G74)*(H73-G73)/2</f>
        <v>0</v>
      </c>
      <c r="H75" s="369" t="n">
        <f aca="false">(I74+H74)*(I73-H73)/2</f>
        <v>0</v>
      </c>
      <c r="I75" s="369" t="n">
        <f aca="false">(J74+I74)*(J73-I73)/2</f>
        <v>0</v>
      </c>
      <c r="J75" s="369" t="n">
        <f aca="false">(K74+J74)*(K73-J73)/2</f>
        <v>0</v>
      </c>
      <c r="K75" s="369" t="n">
        <f aca="false">(L74+K74)*(L73-K73)/2</f>
        <v>0</v>
      </c>
      <c r="L75" s="369" t="n">
        <f aca="false">(M74+L74)*(M73-L73)/2</f>
        <v>0</v>
      </c>
      <c r="M75" s="369" t="n">
        <f aca="false">(N74+M74)*(N73-M73)/2</f>
        <v>0</v>
      </c>
      <c r="N75" s="369" t="n">
        <f aca="false">(O74+N74)*(O73-N73)/2</f>
        <v>0</v>
      </c>
      <c r="O75" s="369" t="n">
        <f aca="false">(P74+O74)*(P73-O73)/2</f>
        <v>0</v>
      </c>
      <c r="P75" s="369" t="n">
        <f aca="false">(Q74+P74)*(Q73-P73)/2</f>
        <v>0</v>
      </c>
      <c r="Q75" s="369" t="n">
        <f aca="false">(R74+Q74)*(R73-Q73)/2</f>
        <v>0</v>
      </c>
      <c r="R75" s="369" t="n">
        <f aca="false">(S74+R74)*(S73-R73)/2</f>
        <v>0</v>
      </c>
      <c r="S75" s="369" t="n">
        <f aca="false">(T74+S74)*(T73-S73)/2</f>
        <v>0</v>
      </c>
      <c r="T75" s="369" t="n">
        <f aca="false">(U74+T74)*(U73-T73)/2</f>
        <v>0</v>
      </c>
      <c r="U75" s="369" t="n">
        <f aca="false">(V74+U74)*(V73-U73)/2</f>
        <v>0</v>
      </c>
      <c r="V75" s="369" t="n">
        <f aca="false">(W74+V74)*(W73-V73)/2</f>
        <v>0</v>
      </c>
      <c r="W75" s="369" t="n">
        <f aca="false">(X74+W74)*(X73-W73)/2</f>
        <v>0</v>
      </c>
      <c r="X75" s="369" t="n">
        <f aca="false">(Y74+X74)*(Y73-X73)/2</f>
        <v>0</v>
      </c>
      <c r="Y75" s="354"/>
    </row>
    <row r="76" customFormat="false" ht="12.75" hidden="false" customHeight="false" outlineLevel="0" collapsed="false">
      <c r="B76" s="355"/>
      <c r="C76" s="355"/>
      <c r="D76" s="355"/>
      <c r="E76" s="355"/>
      <c r="F76" s="355"/>
      <c r="G76" s="355"/>
      <c r="H76" s="355"/>
      <c r="I76" s="355"/>
      <c r="J76" s="355"/>
      <c r="K76" s="355"/>
      <c r="L76" s="355"/>
      <c r="M76" s="355"/>
      <c r="N76" s="355"/>
      <c r="O76" s="355"/>
      <c r="P76" s="355"/>
      <c r="Q76" s="355"/>
      <c r="R76" s="355"/>
      <c r="S76" s="355"/>
      <c r="T76" s="355"/>
      <c r="U76" s="355"/>
      <c r="V76" s="355"/>
      <c r="W76" s="355"/>
      <c r="X76" s="355"/>
      <c r="Y76" s="355"/>
    </row>
    <row r="77" customFormat="false" ht="13.5" hidden="false" customHeight="false" outlineLevel="0" collapsed="false">
      <c r="A77" s="357" t="s">
        <v>241</v>
      </c>
      <c r="B77" s="358" t="n">
        <f aca="false">ROW(A77)</f>
        <v>77</v>
      </c>
      <c r="C77" s="340" t="s">
        <v>212</v>
      </c>
      <c r="D77" s="341" t="n">
        <f aca="false">SUM(B80:Y80)</f>
        <v>10.26</v>
      </c>
      <c r="E77" s="340" t="s">
        <v>213</v>
      </c>
      <c r="F77" s="342" t="n">
        <f aca="false">D77/g/J77</f>
        <v>80.4516584333098</v>
      </c>
      <c r="G77" s="340" t="s">
        <v>214</v>
      </c>
      <c r="H77" s="359" t="n">
        <v>0.024</v>
      </c>
      <c r="I77" s="340" t="s">
        <v>225</v>
      </c>
      <c r="J77" s="343" t="n">
        <f aca="false">H77-L77</f>
        <v>0.013</v>
      </c>
      <c r="K77" s="340" t="s">
        <v>226</v>
      </c>
      <c r="L77" s="359" t="n">
        <v>0.011</v>
      </c>
      <c r="M77" s="340" t="s">
        <v>217</v>
      </c>
      <c r="N77" s="360" t="n">
        <v>30</v>
      </c>
      <c r="O77" s="340" t="s">
        <v>218</v>
      </c>
      <c r="P77" s="360" t="n">
        <v>30</v>
      </c>
      <c r="Q77" s="340" t="s">
        <v>219</v>
      </c>
      <c r="R77" s="360" t="n">
        <v>70</v>
      </c>
      <c r="S77" s="340" t="s">
        <v>220</v>
      </c>
      <c r="T77" s="360" t="n">
        <v>15</v>
      </c>
      <c r="U77" s="340" t="s">
        <v>8</v>
      </c>
      <c r="V77" s="361" t="s">
        <v>239</v>
      </c>
      <c r="W77" s="346" t="s">
        <v>221</v>
      </c>
      <c r="X77" s="370" t="n">
        <v>1.7</v>
      </c>
      <c r="Y77" s="346" t="s">
        <v>222</v>
      </c>
      <c r="Z77" s="345" t="n">
        <v>3</v>
      </c>
    </row>
    <row r="78" customFormat="false" ht="12" hidden="false" customHeight="false" outlineLevel="0" collapsed="false">
      <c r="A78" s="338" t="s">
        <v>227</v>
      </c>
      <c r="B78" s="362" t="n">
        <v>0</v>
      </c>
      <c r="C78" s="363" t="n">
        <v>0.2</v>
      </c>
      <c r="D78" s="363" t="n">
        <v>0.3</v>
      </c>
      <c r="E78" s="363" t="n">
        <v>0.6</v>
      </c>
      <c r="F78" s="363" t="n">
        <v>0.8</v>
      </c>
      <c r="G78" s="363" t="n">
        <v>2</v>
      </c>
      <c r="H78" s="363" t="n">
        <v>2.1</v>
      </c>
      <c r="I78" s="363" t="n">
        <v>2.1</v>
      </c>
      <c r="J78" s="363" t="n">
        <v>2.1</v>
      </c>
      <c r="K78" s="363" t="n">
        <v>2.1</v>
      </c>
      <c r="L78" s="363" t="n">
        <v>2.1</v>
      </c>
      <c r="M78" s="363" t="n">
        <v>2.1</v>
      </c>
      <c r="N78" s="363" t="n">
        <v>2.1</v>
      </c>
      <c r="O78" s="363" t="n">
        <v>2.1</v>
      </c>
      <c r="P78" s="363" t="n">
        <v>2.1</v>
      </c>
      <c r="Q78" s="363" t="n">
        <v>2.1</v>
      </c>
      <c r="R78" s="363" t="n">
        <v>2.1</v>
      </c>
      <c r="S78" s="363" t="n">
        <v>2.1</v>
      </c>
      <c r="T78" s="363" t="n">
        <v>2.1</v>
      </c>
      <c r="U78" s="363" t="n">
        <v>2.1</v>
      </c>
      <c r="V78" s="363" t="n">
        <v>2.1</v>
      </c>
      <c r="W78" s="363" t="n">
        <v>2.1</v>
      </c>
      <c r="X78" s="363" t="n">
        <v>2.1</v>
      </c>
      <c r="Y78" s="350" t="n">
        <v>1000</v>
      </c>
    </row>
    <row r="79" customFormat="false" ht="12" hidden="false" customHeight="false" outlineLevel="0" collapsed="false">
      <c r="A79" s="364" t="s">
        <v>228</v>
      </c>
      <c r="B79" s="365" t="n">
        <v>0</v>
      </c>
      <c r="C79" s="366" t="n">
        <v>11</v>
      </c>
      <c r="D79" s="366" t="n">
        <v>7</v>
      </c>
      <c r="E79" s="366" t="n">
        <v>4</v>
      </c>
      <c r="F79" s="366" t="n">
        <v>4.6</v>
      </c>
      <c r="G79" s="366" t="n">
        <v>4.6</v>
      </c>
      <c r="H79" s="366" t="n">
        <v>0</v>
      </c>
      <c r="I79" s="366" t="n">
        <v>0</v>
      </c>
      <c r="J79" s="366" t="n">
        <v>0</v>
      </c>
      <c r="K79" s="366" t="n">
        <v>0</v>
      </c>
      <c r="L79" s="366" t="n">
        <v>0</v>
      </c>
      <c r="M79" s="366" t="n">
        <v>0</v>
      </c>
      <c r="N79" s="366" t="n">
        <v>0</v>
      </c>
      <c r="O79" s="366" t="n">
        <v>0</v>
      </c>
      <c r="P79" s="366" t="n">
        <v>0</v>
      </c>
      <c r="Q79" s="366" t="n">
        <v>0</v>
      </c>
      <c r="R79" s="366" t="n">
        <v>0</v>
      </c>
      <c r="S79" s="366" t="n">
        <v>0</v>
      </c>
      <c r="T79" s="366" t="n">
        <v>0</v>
      </c>
      <c r="U79" s="366" t="n">
        <v>0</v>
      </c>
      <c r="V79" s="366" t="n">
        <v>0</v>
      </c>
      <c r="W79" s="366" t="n">
        <v>0</v>
      </c>
      <c r="X79" s="366" t="n">
        <v>0</v>
      </c>
      <c r="Y79" s="367" t="n">
        <v>0</v>
      </c>
    </row>
    <row r="80" customFormat="false" ht="12.75" hidden="false" customHeight="false" outlineLevel="0" collapsed="false">
      <c r="A80" s="351" t="s">
        <v>229</v>
      </c>
      <c r="B80" s="368" t="n">
        <f aca="false">(C79+B79)*(C78-B78)/2</f>
        <v>1.1</v>
      </c>
      <c r="C80" s="369" t="n">
        <f aca="false">(D79+C79)*(D78-C78)/2</f>
        <v>0.9</v>
      </c>
      <c r="D80" s="369" t="n">
        <f aca="false">(E79+D79)*(E78-D78)/2</f>
        <v>1.65</v>
      </c>
      <c r="E80" s="369" t="n">
        <f aca="false">(F79+E79)*(F78-E78)/2</f>
        <v>0.86</v>
      </c>
      <c r="F80" s="369" t="n">
        <f aca="false">(G79+F79)*(G78-F78)/2</f>
        <v>5.52</v>
      </c>
      <c r="G80" s="369" t="n">
        <f aca="false">(H79+G79)*(H78-G78)/2</f>
        <v>0.23</v>
      </c>
      <c r="H80" s="369" t="n">
        <f aca="false">(I79+H79)*(I78-H78)/2</f>
        <v>0</v>
      </c>
      <c r="I80" s="369" t="n">
        <f aca="false">(J79+I79)*(J78-I78)/2</f>
        <v>0</v>
      </c>
      <c r="J80" s="369" t="n">
        <f aca="false">(K79+J79)*(K78-J78)/2</f>
        <v>0</v>
      </c>
      <c r="K80" s="369" t="n">
        <f aca="false">(L79+K79)*(L78-K78)/2</f>
        <v>0</v>
      </c>
      <c r="L80" s="369" t="n">
        <f aca="false">(M79+L79)*(M78-L78)/2</f>
        <v>0</v>
      </c>
      <c r="M80" s="369" t="n">
        <f aca="false">(N79+M79)*(N78-M78)/2</f>
        <v>0</v>
      </c>
      <c r="N80" s="369" t="n">
        <f aca="false">(O79+N79)*(O78-N78)/2</f>
        <v>0</v>
      </c>
      <c r="O80" s="369" t="n">
        <f aca="false">(P79+O79)*(P78-O78)/2</f>
        <v>0</v>
      </c>
      <c r="P80" s="369" t="n">
        <f aca="false">(Q79+P79)*(Q78-P78)/2</f>
        <v>0</v>
      </c>
      <c r="Q80" s="369" t="n">
        <f aca="false">(R79+Q79)*(R78-Q78)/2</f>
        <v>0</v>
      </c>
      <c r="R80" s="369" t="n">
        <f aca="false">(S79+R79)*(S78-R78)/2</f>
        <v>0</v>
      </c>
      <c r="S80" s="369" t="n">
        <f aca="false">(T79+S79)*(T78-S78)/2</f>
        <v>0</v>
      </c>
      <c r="T80" s="369" t="n">
        <f aca="false">(U79+T79)*(U78-T78)/2</f>
        <v>0</v>
      </c>
      <c r="U80" s="369" t="n">
        <f aca="false">(V79+U79)*(V78-U78)/2</f>
        <v>0</v>
      </c>
      <c r="V80" s="369" t="n">
        <f aca="false">(W79+V79)*(W78-V78)/2</f>
        <v>0</v>
      </c>
      <c r="W80" s="369" t="n">
        <f aca="false">(X79+W79)*(X78-W78)/2</f>
        <v>0</v>
      </c>
      <c r="X80" s="369" t="n">
        <f aca="false">(Y79+X79)*(Y78-X78)/2</f>
        <v>0</v>
      </c>
      <c r="Y80" s="354"/>
    </row>
    <row r="81" customFormat="false" ht="12.75" hidden="false" customHeight="false" outlineLevel="0" collapsed="false">
      <c r="A81" s="355"/>
      <c r="L81" s="355"/>
      <c r="M81" s="355"/>
      <c r="N81" s="355"/>
      <c r="O81" s="355"/>
      <c r="P81" s="355"/>
      <c r="Q81" s="355"/>
      <c r="R81" s="355"/>
      <c r="S81" s="355"/>
      <c r="T81" s="355"/>
      <c r="U81" s="355"/>
      <c r="V81" s="355"/>
      <c r="W81" s="355"/>
      <c r="X81" s="355"/>
      <c r="Y81" s="355"/>
    </row>
    <row r="82" customFormat="false" ht="13.5" hidden="false" customHeight="false" outlineLevel="0" collapsed="false">
      <c r="A82" s="357" t="s">
        <v>242</v>
      </c>
      <c r="B82" s="358" t="n">
        <f aca="false">ROW(A82)</f>
        <v>82</v>
      </c>
      <c r="C82" s="340" t="s">
        <v>212</v>
      </c>
      <c r="D82" s="341" t="n">
        <f aca="false">SUM(B85:Y85)</f>
        <v>20.52</v>
      </c>
      <c r="E82" s="340" t="s">
        <v>213</v>
      </c>
      <c r="F82" s="342" t="n">
        <f aca="false">D82/g/J82</f>
        <v>80.4516584333098</v>
      </c>
      <c r="G82" s="340" t="s">
        <v>214</v>
      </c>
      <c r="H82" s="359" t="n">
        <f aca="false">H77*2</f>
        <v>0.048</v>
      </c>
      <c r="I82" s="340" t="s">
        <v>225</v>
      </c>
      <c r="J82" s="343" t="n">
        <f aca="false">H82-L82</f>
        <v>0.026</v>
      </c>
      <c r="K82" s="340" t="s">
        <v>226</v>
      </c>
      <c r="L82" s="359" t="n">
        <f aca="false">L77*2</f>
        <v>0.022</v>
      </c>
      <c r="M82" s="340" t="s">
        <v>217</v>
      </c>
      <c r="N82" s="360" t="n">
        <v>30</v>
      </c>
      <c r="O82" s="340" t="s">
        <v>218</v>
      </c>
      <c r="P82" s="360" t="n">
        <v>30</v>
      </c>
      <c r="Q82" s="340" t="s">
        <v>219</v>
      </c>
      <c r="R82" s="360" t="n">
        <v>70</v>
      </c>
      <c r="S82" s="340" t="s">
        <v>220</v>
      </c>
      <c r="T82" s="360" t="n">
        <v>30</v>
      </c>
      <c r="U82" s="340" t="s">
        <v>8</v>
      </c>
      <c r="V82" s="361" t="s">
        <v>239</v>
      </c>
      <c r="W82" s="346" t="s">
        <v>221</v>
      </c>
      <c r="X82" s="370" t="n">
        <v>1.7</v>
      </c>
      <c r="Y82" s="346" t="s">
        <v>222</v>
      </c>
      <c r="Z82" s="345" t="n">
        <v>3</v>
      </c>
    </row>
    <row r="83" customFormat="false" ht="12" hidden="false" customHeight="false" outlineLevel="0" collapsed="false">
      <c r="A83" s="338" t="s">
        <v>227</v>
      </c>
      <c r="B83" s="362" t="n">
        <v>0</v>
      </c>
      <c r="C83" s="363" t="n">
        <v>0.2</v>
      </c>
      <c r="D83" s="363" t="n">
        <v>0.3</v>
      </c>
      <c r="E83" s="363" t="n">
        <v>0.6</v>
      </c>
      <c r="F83" s="363" t="n">
        <v>0.8</v>
      </c>
      <c r="G83" s="363" t="n">
        <v>2</v>
      </c>
      <c r="H83" s="363" t="n">
        <v>2.1</v>
      </c>
      <c r="I83" s="363" t="n">
        <v>2.1</v>
      </c>
      <c r="J83" s="363" t="n">
        <v>2.1</v>
      </c>
      <c r="K83" s="363" t="n">
        <v>2.1</v>
      </c>
      <c r="L83" s="363" t="n">
        <v>2.1</v>
      </c>
      <c r="M83" s="363" t="n">
        <v>2.1</v>
      </c>
      <c r="N83" s="363" t="n">
        <v>2.1</v>
      </c>
      <c r="O83" s="363" t="n">
        <v>2.1</v>
      </c>
      <c r="P83" s="363" t="n">
        <v>2.1</v>
      </c>
      <c r="Q83" s="363" t="n">
        <v>2.1</v>
      </c>
      <c r="R83" s="363" t="n">
        <v>2.1</v>
      </c>
      <c r="S83" s="363" t="n">
        <v>2.1</v>
      </c>
      <c r="T83" s="363" t="n">
        <v>2.1</v>
      </c>
      <c r="U83" s="363" t="n">
        <v>2.1</v>
      </c>
      <c r="V83" s="363" t="n">
        <v>2.1</v>
      </c>
      <c r="W83" s="363" t="n">
        <v>2.1</v>
      </c>
      <c r="X83" s="363" t="n">
        <v>2.1</v>
      </c>
      <c r="Y83" s="350" t="n">
        <v>1000</v>
      </c>
    </row>
    <row r="84" customFormat="false" ht="12" hidden="false" customHeight="false" outlineLevel="0" collapsed="false">
      <c r="A84" s="364" t="s">
        <v>228</v>
      </c>
      <c r="B84" s="365" t="n">
        <f aca="false">B79*2</f>
        <v>0</v>
      </c>
      <c r="C84" s="366" t="n">
        <f aca="false">C79*2</f>
        <v>22</v>
      </c>
      <c r="D84" s="366" t="n">
        <f aca="false">D79*2</f>
        <v>14</v>
      </c>
      <c r="E84" s="366" t="n">
        <f aca="false">E79*2</f>
        <v>8</v>
      </c>
      <c r="F84" s="366" t="n">
        <f aca="false">F79*2</f>
        <v>9.2</v>
      </c>
      <c r="G84" s="366" t="n">
        <f aca="false">G79*2</f>
        <v>9.2</v>
      </c>
      <c r="H84" s="366" t="n">
        <f aca="false">H79*2</f>
        <v>0</v>
      </c>
      <c r="I84" s="366" t="n">
        <f aca="false">I79*2</f>
        <v>0</v>
      </c>
      <c r="J84" s="366" t="n">
        <f aca="false">J79*2</f>
        <v>0</v>
      </c>
      <c r="K84" s="366" t="n">
        <f aca="false">K79*2</f>
        <v>0</v>
      </c>
      <c r="L84" s="366" t="n">
        <f aca="false">L79*2</f>
        <v>0</v>
      </c>
      <c r="M84" s="366" t="n">
        <f aca="false">M79*2</f>
        <v>0</v>
      </c>
      <c r="N84" s="366" t="n">
        <f aca="false">N79*2</f>
        <v>0</v>
      </c>
      <c r="O84" s="366" t="n">
        <f aca="false">O79*2</f>
        <v>0</v>
      </c>
      <c r="P84" s="366" t="n">
        <f aca="false">P79*2</f>
        <v>0</v>
      </c>
      <c r="Q84" s="366" t="n">
        <f aca="false">Q79*2</f>
        <v>0</v>
      </c>
      <c r="R84" s="366" t="n">
        <f aca="false">R79*2</f>
        <v>0</v>
      </c>
      <c r="S84" s="366" t="n">
        <f aca="false">S79*2</f>
        <v>0</v>
      </c>
      <c r="T84" s="366" t="n">
        <f aca="false">T79*2</f>
        <v>0</v>
      </c>
      <c r="U84" s="366" t="n">
        <f aca="false">U79*2</f>
        <v>0</v>
      </c>
      <c r="V84" s="366" t="n">
        <f aca="false">V79*2</f>
        <v>0</v>
      </c>
      <c r="W84" s="366" t="n">
        <f aca="false">W79*2</f>
        <v>0</v>
      </c>
      <c r="X84" s="366" t="n">
        <f aca="false">X79*2</f>
        <v>0</v>
      </c>
      <c r="Y84" s="367" t="n">
        <v>0</v>
      </c>
    </row>
    <row r="85" customFormat="false" ht="12.75" hidden="false" customHeight="false" outlineLevel="0" collapsed="false">
      <c r="A85" s="351" t="s">
        <v>229</v>
      </c>
      <c r="B85" s="368" t="n">
        <f aca="false">(C84+B84)*(C83-B83)/2</f>
        <v>2.2</v>
      </c>
      <c r="C85" s="369" t="n">
        <f aca="false">(D84+C84)*(D83-C83)/2</f>
        <v>1.8</v>
      </c>
      <c r="D85" s="369" t="n">
        <f aca="false">(E84+D84)*(E83-D83)/2</f>
        <v>3.3</v>
      </c>
      <c r="E85" s="369" t="n">
        <f aca="false">(F84+E84)*(F83-E83)/2</f>
        <v>1.72</v>
      </c>
      <c r="F85" s="369" t="n">
        <f aca="false">(G84+F84)*(G83-F83)/2</f>
        <v>11.04</v>
      </c>
      <c r="G85" s="369" t="n">
        <f aca="false">(H84+G84)*(H83-G83)/2</f>
        <v>0.46</v>
      </c>
      <c r="H85" s="369" t="n">
        <f aca="false">(I84+H84)*(I83-H83)/2</f>
        <v>0</v>
      </c>
      <c r="I85" s="369" t="n">
        <f aca="false">(J84+I84)*(J83-I83)/2</f>
        <v>0</v>
      </c>
      <c r="J85" s="369" t="n">
        <f aca="false">(K84+J84)*(K83-J83)/2</f>
        <v>0</v>
      </c>
      <c r="K85" s="369" t="n">
        <f aca="false">(L84+K84)*(L83-K83)/2</f>
        <v>0</v>
      </c>
      <c r="L85" s="369" t="n">
        <f aca="false">(M84+L84)*(M83-L83)/2</f>
        <v>0</v>
      </c>
      <c r="M85" s="369" t="n">
        <f aca="false">(N84+M84)*(N83-M83)/2</f>
        <v>0</v>
      </c>
      <c r="N85" s="369" t="n">
        <f aca="false">(O84+N84)*(O83-N83)/2</f>
        <v>0</v>
      </c>
      <c r="O85" s="369" t="n">
        <f aca="false">(P84+O84)*(P83-O83)/2</f>
        <v>0</v>
      </c>
      <c r="P85" s="369" t="n">
        <f aca="false">(Q84+P84)*(Q83-P83)/2</f>
        <v>0</v>
      </c>
      <c r="Q85" s="369" t="n">
        <f aca="false">(R84+Q84)*(R83-Q83)/2</f>
        <v>0</v>
      </c>
      <c r="R85" s="369" t="n">
        <f aca="false">(S84+R84)*(S83-R83)/2</f>
        <v>0</v>
      </c>
      <c r="S85" s="369" t="n">
        <f aca="false">(T84+S84)*(T83-S83)/2</f>
        <v>0</v>
      </c>
      <c r="T85" s="369" t="n">
        <f aca="false">(U84+T84)*(U83-T83)/2</f>
        <v>0</v>
      </c>
      <c r="U85" s="369" t="n">
        <f aca="false">(V84+U84)*(V83-U83)/2</f>
        <v>0</v>
      </c>
      <c r="V85" s="369" t="n">
        <f aca="false">(W84+V84)*(W83-V83)/2</f>
        <v>0</v>
      </c>
      <c r="W85" s="369" t="n">
        <f aca="false">(X84+W84)*(X83-W83)/2</f>
        <v>0</v>
      </c>
      <c r="X85" s="369" t="n">
        <f aca="false">(Y84+X84)*(Y83-X83)/2</f>
        <v>0</v>
      </c>
      <c r="Y85" s="354"/>
    </row>
    <row r="86" customFormat="false" ht="12.75" hidden="false" customHeight="false" outlineLevel="0" collapsed="false">
      <c r="B86" s="355"/>
      <c r="C86" s="355"/>
      <c r="D86" s="355"/>
      <c r="E86" s="355"/>
      <c r="F86" s="355"/>
      <c r="G86" s="355"/>
      <c r="H86" s="355"/>
      <c r="I86" s="355"/>
      <c r="J86" s="355"/>
      <c r="K86" s="355"/>
      <c r="L86" s="355"/>
      <c r="M86" s="355"/>
      <c r="N86" s="355"/>
      <c r="O86" s="355"/>
      <c r="P86" s="355"/>
      <c r="Q86" s="355"/>
      <c r="R86" s="355"/>
      <c r="S86" s="355"/>
      <c r="T86" s="355"/>
      <c r="U86" s="355"/>
      <c r="V86" s="355"/>
      <c r="W86" s="355"/>
      <c r="X86" s="355"/>
      <c r="Y86" s="355"/>
    </row>
    <row r="87" customFormat="false" ht="13.5" hidden="false" customHeight="false" outlineLevel="0" collapsed="false">
      <c r="A87" s="357" t="s">
        <v>243</v>
      </c>
      <c r="B87" s="358" t="n">
        <f aca="false">ROW(A87)</f>
        <v>87</v>
      </c>
      <c r="C87" s="340" t="s">
        <v>212</v>
      </c>
      <c r="D87" s="341" t="n">
        <f aca="false">SUM(B90:Y90)</f>
        <v>30.78</v>
      </c>
      <c r="E87" s="340" t="s">
        <v>213</v>
      </c>
      <c r="F87" s="342" t="n">
        <f aca="false">D87/g/J87</f>
        <v>80.4516584333098</v>
      </c>
      <c r="G87" s="340" t="s">
        <v>214</v>
      </c>
      <c r="H87" s="359" t="n">
        <f aca="false">H77*3</f>
        <v>0.072</v>
      </c>
      <c r="I87" s="340" t="s">
        <v>225</v>
      </c>
      <c r="J87" s="343" t="n">
        <f aca="false">H87-L87</f>
        <v>0.039</v>
      </c>
      <c r="K87" s="340" t="s">
        <v>226</v>
      </c>
      <c r="L87" s="359" t="n">
        <f aca="false">L77*3</f>
        <v>0.033</v>
      </c>
      <c r="M87" s="340" t="s">
        <v>217</v>
      </c>
      <c r="N87" s="360" t="n">
        <v>30</v>
      </c>
      <c r="O87" s="340" t="s">
        <v>218</v>
      </c>
      <c r="P87" s="360" t="n">
        <v>30</v>
      </c>
      <c r="Q87" s="340" t="s">
        <v>219</v>
      </c>
      <c r="R87" s="360" t="n">
        <v>70</v>
      </c>
      <c r="S87" s="340" t="s">
        <v>220</v>
      </c>
      <c r="T87" s="360" t="n">
        <v>40</v>
      </c>
      <c r="U87" s="340" t="s">
        <v>8</v>
      </c>
      <c r="V87" s="361" t="s">
        <v>239</v>
      </c>
      <c r="W87" s="346" t="s">
        <v>221</v>
      </c>
      <c r="X87" s="370" t="n">
        <v>1.7</v>
      </c>
      <c r="Y87" s="346" t="s">
        <v>222</v>
      </c>
      <c r="Z87" s="345" t="n">
        <v>3</v>
      </c>
    </row>
    <row r="88" customFormat="false" ht="12" hidden="false" customHeight="false" outlineLevel="0" collapsed="false">
      <c r="A88" s="338" t="s">
        <v>227</v>
      </c>
      <c r="B88" s="362" t="n">
        <v>0</v>
      </c>
      <c r="C88" s="363" t="n">
        <v>0.2</v>
      </c>
      <c r="D88" s="363" t="n">
        <v>0.3</v>
      </c>
      <c r="E88" s="363" t="n">
        <v>0.6</v>
      </c>
      <c r="F88" s="363" t="n">
        <v>0.8</v>
      </c>
      <c r="G88" s="363" t="n">
        <v>2</v>
      </c>
      <c r="H88" s="363" t="n">
        <v>2.1</v>
      </c>
      <c r="I88" s="363" t="n">
        <v>2.1</v>
      </c>
      <c r="J88" s="363" t="n">
        <v>2.1</v>
      </c>
      <c r="K88" s="363" t="n">
        <v>2.1</v>
      </c>
      <c r="L88" s="363" t="n">
        <v>2.1</v>
      </c>
      <c r="M88" s="363" t="n">
        <v>2.1</v>
      </c>
      <c r="N88" s="363" t="n">
        <v>2.1</v>
      </c>
      <c r="O88" s="363" t="n">
        <v>2.1</v>
      </c>
      <c r="P88" s="363" t="n">
        <v>2.1</v>
      </c>
      <c r="Q88" s="363" t="n">
        <v>2.1</v>
      </c>
      <c r="R88" s="363" t="n">
        <v>2.1</v>
      </c>
      <c r="S88" s="363" t="n">
        <v>2.1</v>
      </c>
      <c r="T88" s="363" t="n">
        <v>2.1</v>
      </c>
      <c r="U88" s="363" t="n">
        <v>2.1</v>
      </c>
      <c r="V88" s="363" t="n">
        <v>2.1</v>
      </c>
      <c r="W88" s="363" t="n">
        <v>2.1</v>
      </c>
      <c r="X88" s="363" t="n">
        <v>2.1</v>
      </c>
      <c r="Y88" s="350" t="n">
        <v>1000</v>
      </c>
    </row>
    <row r="89" customFormat="false" ht="12" hidden="false" customHeight="false" outlineLevel="0" collapsed="false">
      <c r="A89" s="364" t="s">
        <v>228</v>
      </c>
      <c r="B89" s="365" t="n">
        <f aca="false">B79*3</f>
        <v>0</v>
      </c>
      <c r="C89" s="366" t="n">
        <f aca="false">C79*3</f>
        <v>33</v>
      </c>
      <c r="D89" s="366" t="n">
        <f aca="false">D79*3</f>
        <v>21</v>
      </c>
      <c r="E89" s="366" t="n">
        <f aca="false">E79*3</f>
        <v>12</v>
      </c>
      <c r="F89" s="366" t="n">
        <f aca="false">F79*3</f>
        <v>13.8</v>
      </c>
      <c r="G89" s="366" t="n">
        <f aca="false">G79*3</f>
        <v>13.8</v>
      </c>
      <c r="H89" s="366" t="n">
        <f aca="false">H79*3</f>
        <v>0</v>
      </c>
      <c r="I89" s="366" t="n">
        <f aca="false">I79*3</f>
        <v>0</v>
      </c>
      <c r="J89" s="366" t="n">
        <f aca="false">J79*3</f>
        <v>0</v>
      </c>
      <c r="K89" s="366" t="n">
        <f aca="false">K79*3</f>
        <v>0</v>
      </c>
      <c r="L89" s="366" t="n">
        <f aca="false">L79*3</f>
        <v>0</v>
      </c>
      <c r="M89" s="366" t="n">
        <f aca="false">M79*3</f>
        <v>0</v>
      </c>
      <c r="N89" s="366" t="n">
        <f aca="false">N79*3</f>
        <v>0</v>
      </c>
      <c r="O89" s="366" t="n">
        <f aca="false">O79*3</f>
        <v>0</v>
      </c>
      <c r="P89" s="366" t="n">
        <f aca="false">P79*3</f>
        <v>0</v>
      </c>
      <c r="Q89" s="366" t="n">
        <f aca="false">Q79*3</f>
        <v>0</v>
      </c>
      <c r="R89" s="366" t="n">
        <f aca="false">R79*3</f>
        <v>0</v>
      </c>
      <c r="S89" s="366" t="n">
        <f aca="false">S79*3</f>
        <v>0</v>
      </c>
      <c r="T89" s="366" t="n">
        <f aca="false">T79*3</f>
        <v>0</v>
      </c>
      <c r="U89" s="366" t="n">
        <f aca="false">U79*3</f>
        <v>0</v>
      </c>
      <c r="V89" s="366" t="n">
        <f aca="false">V79*3</f>
        <v>0</v>
      </c>
      <c r="W89" s="366" t="n">
        <f aca="false">W79*3</f>
        <v>0</v>
      </c>
      <c r="X89" s="366" t="n">
        <f aca="false">X79*3</f>
        <v>0</v>
      </c>
      <c r="Y89" s="367" t="n">
        <v>0</v>
      </c>
    </row>
    <row r="90" customFormat="false" ht="12.75" hidden="false" customHeight="false" outlineLevel="0" collapsed="false">
      <c r="A90" s="351" t="s">
        <v>229</v>
      </c>
      <c r="B90" s="368" t="n">
        <f aca="false">(C89+B89)*(C88-B88)/2</f>
        <v>3.3</v>
      </c>
      <c r="C90" s="369" t="n">
        <f aca="false">(D89+C89)*(D88-C88)/2</f>
        <v>2.7</v>
      </c>
      <c r="D90" s="369" t="n">
        <f aca="false">(E89+D89)*(E88-D88)/2</f>
        <v>4.95</v>
      </c>
      <c r="E90" s="369" t="n">
        <f aca="false">(F89+E89)*(F88-E88)/2</f>
        <v>2.58</v>
      </c>
      <c r="F90" s="369" t="n">
        <f aca="false">(G89+F89)*(G88-F88)/2</f>
        <v>16.56</v>
      </c>
      <c r="G90" s="369" t="n">
        <f aca="false">(H89+G89)*(H88-G88)/2</f>
        <v>0.690000000000001</v>
      </c>
      <c r="H90" s="369" t="n">
        <f aca="false">(I89+H89)*(I88-H88)/2</f>
        <v>0</v>
      </c>
      <c r="I90" s="369" t="n">
        <f aca="false">(J89+I89)*(J88-I88)/2</f>
        <v>0</v>
      </c>
      <c r="J90" s="369" t="n">
        <f aca="false">(K89+J89)*(K88-J88)/2</f>
        <v>0</v>
      </c>
      <c r="K90" s="369" t="n">
        <f aca="false">(L89+K89)*(L88-K88)/2</f>
        <v>0</v>
      </c>
      <c r="L90" s="369" t="n">
        <f aca="false">(M89+L89)*(M88-L88)/2</f>
        <v>0</v>
      </c>
      <c r="M90" s="369" t="n">
        <f aca="false">(N89+M89)*(N88-M88)/2</f>
        <v>0</v>
      </c>
      <c r="N90" s="369" t="n">
        <f aca="false">(O89+N89)*(O88-N88)/2</f>
        <v>0</v>
      </c>
      <c r="O90" s="369" t="n">
        <f aca="false">(P89+O89)*(P88-O88)/2</f>
        <v>0</v>
      </c>
      <c r="P90" s="369" t="n">
        <f aca="false">(Q89+P89)*(Q88-P88)/2</f>
        <v>0</v>
      </c>
      <c r="Q90" s="369" t="n">
        <f aca="false">(R89+Q89)*(R88-Q88)/2</f>
        <v>0</v>
      </c>
      <c r="R90" s="369" t="n">
        <f aca="false">(S89+R89)*(S88-R88)/2</f>
        <v>0</v>
      </c>
      <c r="S90" s="369" t="n">
        <f aca="false">(T89+S89)*(T88-S88)/2</f>
        <v>0</v>
      </c>
      <c r="T90" s="369" t="n">
        <f aca="false">(U89+T89)*(U88-T88)/2</f>
        <v>0</v>
      </c>
      <c r="U90" s="369" t="n">
        <f aca="false">(V89+U89)*(V88-U88)/2</f>
        <v>0</v>
      </c>
      <c r="V90" s="369" t="n">
        <f aca="false">(W89+V89)*(W88-V88)/2</f>
        <v>0</v>
      </c>
      <c r="W90" s="369" t="n">
        <f aca="false">(X89+W89)*(X88-W88)/2</f>
        <v>0</v>
      </c>
      <c r="X90" s="369" t="n">
        <f aca="false">(Y89+X89)*(Y88-X88)/2</f>
        <v>0</v>
      </c>
      <c r="Y90" s="354"/>
    </row>
    <row r="91" customFormat="false" ht="12.75" hidden="false" customHeight="false" outlineLevel="0" collapsed="false">
      <c r="B91" s="355"/>
      <c r="C91" s="355"/>
      <c r="D91" s="355"/>
      <c r="E91" s="355"/>
      <c r="F91" s="355"/>
      <c r="G91" s="355"/>
      <c r="H91" s="355"/>
      <c r="I91" s="355"/>
      <c r="J91" s="355"/>
      <c r="K91" s="355"/>
      <c r="L91" s="355"/>
      <c r="M91" s="355"/>
      <c r="N91" s="355"/>
      <c r="O91" s="355"/>
      <c r="P91" s="355"/>
      <c r="Q91" s="355"/>
      <c r="R91" s="355"/>
      <c r="S91" s="355"/>
      <c r="T91" s="355"/>
      <c r="U91" s="355"/>
      <c r="V91" s="355"/>
      <c r="W91" s="355"/>
      <c r="X91" s="355"/>
      <c r="Y91" s="355"/>
    </row>
    <row r="92" customFormat="false" ht="13.5" hidden="false" customHeight="false" outlineLevel="0" collapsed="false">
      <c r="A92" s="357" t="s">
        <v>244</v>
      </c>
      <c r="B92" s="358" t="n">
        <f aca="false">ROW(A92)</f>
        <v>92</v>
      </c>
      <c r="C92" s="340" t="s">
        <v>212</v>
      </c>
      <c r="D92" s="341" t="n">
        <f aca="false">SUM(B95:Y95)</f>
        <v>19.961989</v>
      </c>
      <c r="E92" s="340" t="s">
        <v>213</v>
      </c>
      <c r="F92" s="342" t="n">
        <f aca="false">D92/g/J92</f>
        <v>118.305887442809</v>
      </c>
      <c r="G92" s="340" t="s">
        <v>214</v>
      </c>
      <c r="H92" s="359" t="n">
        <v>0.0282</v>
      </c>
      <c r="I92" s="340" t="s">
        <v>225</v>
      </c>
      <c r="J92" s="343" t="n">
        <f aca="false">H92-L92</f>
        <v>0.0172</v>
      </c>
      <c r="K92" s="340" t="s">
        <v>226</v>
      </c>
      <c r="L92" s="359" t="n">
        <v>0.011</v>
      </c>
      <c r="M92" s="340" t="s">
        <v>217</v>
      </c>
      <c r="N92" s="360" t="n">
        <v>30</v>
      </c>
      <c r="O92" s="340" t="s">
        <v>218</v>
      </c>
      <c r="P92" s="360" t="n">
        <v>30</v>
      </c>
      <c r="Q92" s="340" t="s">
        <v>219</v>
      </c>
      <c r="R92" s="360" t="n">
        <v>70</v>
      </c>
      <c r="S92" s="340" t="s">
        <v>220</v>
      </c>
      <c r="T92" s="360" t="n">
        <v>18</v>
      </c>
      <c r="U92" s="340" t="s">
        <v>8</v>
      </c>
      <c r="V92" s="361" t="s">
        <v>245</v>
      </c>
      <c r="W92" s="346" t="s">
        <v>221</v>
      </c>
      <c r="X92" s="370" t="n">
        <v>2.1</v>
      </c>
      <c r="Y92" s="346" t="s">
        <v>222</v>
      </c>
      <c r="Z92" s="345" t="n">
        <v>7</v>
      </c>
    </row>
    <row r="93" customFormat="false" ht="12" hidden="false" customHeight="false" outlineLevel="0" collapsed="false">
      <c r="A93" s="338" t="s">
        <v>227</v>
      </c>
      <c r="B93" s="362" t="n">
        <v>0</v>
      </c>
      <c r="C93" s="371" t="n">
        <v>0.04</v>
      </c>
      <c r="D93" s="371" t="n">
        <v>0.116</v>
      </c>
      <c r="E93" s="371" t="n">
        <v>0.213</v>
      </c>
      <c r="F93" s="371" t="n">
        <v>0.286</v>
      </c>
      <c r="G93" s="371" t="n">
        <v>0.329</v>
      </c>
      <c r="H93" s="371" t="n">
        <v>0.369</v>
      </c>
      <c r="I93" s="371" t="n">
        <v>0.42</v>
      </c>
      <c r="J93" s="371" t="n">
        <v>0.495</v>
      </c>
      <c r="K93" s="371" t="n">
        <v>0.597</v>
      </c>
      <c r="L93" s="371" t="n">
        <v>1.711</v>
      </c>
      <c r="M93" s="371" t="n">
        <v>1.826</v>
      </c>
      <c r="N93" s="371" t="n">
        <v>1.917</v>
      </c>
      <c r="O93" s="371" t="n">
        <v>1.975</v>
      </c>
      <c r="P93" s="371" t="n">
        <v>2.206</v>
      </c>
      <c r="Q93" s="371" t="n">
        <v>2.242</v>
      </c>
      <c r="R93" s="363" t="n">
        <v>2.5</v>
      </c>
      <c r="S93" s="363" t="n">
        <v>2.5</v>
      </c>
      <c r="T93" s="363" t="n">
        <v>2.5</v>
      </c>
      <c r="U93" s="363" t="n">
        <v>2.5</v>
      </c>
      <c r="V93" s="363" t="n">
        <v>2.5</v>
      </c>
      <c r="W93" s="363" t="n">
        <v>2.5</v>
      </c>
      <c r="X93" s="363" t="n">
        <v>2.5</v>
      </c>
      <c r="Y93" s="350" t="n">
        <v>1000</v>
      </c>
    </row>
    <row r="94" customFormat="false" ht="12" hidden="false" customHeight="false" outlineLevel="0" collapsed="false">
      <c r="A94" s="364" t="s">
        <v>228</v>
      </c>
      <c r="B94" s="365" t="n">
        <v>0</v>
      </c>
      <c r="C94" s="371" t="n">
        <v>2.111</v>
      </c>
      <c r="D94" s="371" t="n">
        <v>9.685</v>
      </c>
      <c r="E94" s="371" t="n">
        <v>25</v>
      </c>
      <c r="F94" s="371" t="n">
        <v>15.738</v>
      </c>
      <c r="G94" s="371" t="n">
        <v>12.472</v>
      </c>
      <c r="H94" s="371" t="n">
        <v>10.67</v>
      </c>
      <c r="I94" s="371" t="n">
        <v>9.713</v>
      </c>
      <c r="J94" s="371" t="n">
        <v>9.178</v>
      </c>
      <c r="K94" s="371" t="n">
        <v>8.896</v>
      </c>
      <c r="L94" s="371" t="n">
        <v>8.925</v>
      </c>
      <c r="M94" s="371" t="n">
        <v>8.699</v>
      </c>
      <c r="N94" s="371" t="n">
        <v>8.052</v>
      </c>
      <c r="O94" s="371" t="n">
        <v>6.954</v>
      </c>
      <c r="P94" s="371" t="n">
        <v>1.07</v>
      </c>
      <c r="Q94" s="371" t="n">
        <v>0</v>
      </c>
      <c r="R94" s="366" t="n">
        <v>0</v>
      </c>
      <c r="S94" s="366" t="n">
        <v>0</v>
      </c>
      <c r="T94" s="366" t="n">
        <v>0</v>
      </c>
      <c r="U94" s="366" t="n">
        <v>0</v>
      </c>
      <c r="V94" s="366" t="n">
        <v>0</v>
      </c>
      <c r="W94" s="366" t="n">
        <v>0</v>
      </c>
      <c r="X94" s="366" t="n">
        <v>0</v>
      </c>
      <c r="Y94" s="367" t="n">
        <v>0</v>
      </c>
    </row>
    <row r="95" customFormat="false" ht="12.75" hidden="false" customHeight="false" outlineLevel="0" collapsed="false">
      <c r="A95" s="351" t="s">
        <v>229</v>
      </c>
      <c r="B95" s="368" t="n">
        <f aca="false">(C94+B94)*(C93-B93)/2</f>
        <v>0.04222</v>
      </c>
      <c r="C95" s="369" t="n">
        <f aca="false">(D94+C94)*(D93-C93)/2</f>
        <v>0.448248</v>
      </c>
      <c r="D95" s="369" t="n">
        <f aca="false">(E94+D94)*(E93-D93)/2</f>
        <v>1.6822225</v>
      </c>
      <c r="E95" s="369" t="n">
        <f aca="false">(F94+E94)*(F93-E93)/2</f>
        <v>1.486937</v>
      </c>
      <c r="F95" s="369" t="n">
        <f aca="false">(G94+F94)*(G93-F93)/2</f>
        <v>0.606515000000001</v>
      </c>
      <c r="G95" s="369" t="n">
        <f aca="false">(H94+G94)*(H93-G93)/2</f>
        <v>0.46284</v>
      </c>
      <c r="H95" s="369" t="n">
        <f aca="false">(I94+H94)*(I93-H93)/2</f>
        <v>0.5197665</v>
      </c>
      <c r="I95" s="369" t="n">
        <f aca="false">(J94+I94)*(J93-I93)/2</f>
        <v>0.7084125</v>
      </c>
      <c r="J95" s="369" t="n">
        <f aca="false">(K94+J94)*(K93-J93)/2</f>
        <v>0.921774</v>
      </c>
      <c r="K95" s="369" t="n">
        <f aca="false">(L94+K94)*(L93-K93)/2</f>
        <v>9.926297</v>
      </c>
      <c r="L95" s="369" t="n">
        <f aca="false">(M94+L94)*(M93-L93)/2</f>
        <v>1.01338</v>
      </c>
      <c r="M95" s="369" t="n">
        <f aca="false">(N94+M94)*(N93-M93)/2</f>
        <v>0.7621705</v>
      </c>
      <c r="N95" s="369" t="n">
        <f aca="false">(O94+N94)*(O93-N93)/2</f>
        <v>0.435174</v>
      </c>
      <c r="O95" s="369" t="n">
        <f aca="false">(P94+O94)*(P93-O93)/2</f>
        <v>0.926771999999999</v>
      </c>
      <c r="P95" s="369" t="n">
        <f aca="false">(Q94+P94)*(Q93-P93)/2</f>
        <v>0.01926</v>
      </c>
      <c r="Q95" s="369" t="n">
        <f aca="false">(R94+Q94)*(R93-Q93)/2</f>
        <v>0</v>
      </c>
      <c r="R95" s="369" t="n">
        <f aca="false">(S94+R94)*(S93-R93)/2</f>
        <v>0</v>
      </c>
      <c r="S95" s="369" t="n">
        <f aca="false">(T94+S94)*(T93-S93)/2</f>
        <v>0</v>
      </c>
      <c r="T95" s="369" t="n">
        <f aca="false">(U94+T94)*(U93-T93)/2</f>
        <v>0</v>
      </c>
      <c r="U95" s="369" t="n">
        <f aca="false">(V94+U94)*(V93-U93)/2</f>
        <v>0</v>
      </c>
      <c r="V95" s="369" t="n">
        <f aca="false">(W94+V94)*(W93-V93)/2</f>
        <v>0</v>
      </c>
      <c r="W95" s="369" t="n">
        <f aca="false">(X94+W94)*(X93-W93)/2</f>
        <v>0</v>
      </c>
      <c r="X95" s="369" t="n">
        <f aca="false">(Y94+X94)*(Y93-X93)/2</f>
        <v>0</v>
      </c>
      <c r="Y95" s="354"/>
    </row>
    <row r="96" customFormat="false" ht="12.75" hidden="false" customHeight="false" outlineLevel="0" collapsed="false">
      <c r="A96" s="355"/>
      <c r="L96" s="355"/>
      <c r="M96" s="355"/>
      <c r="N96" s="355"/>
      <c r="O96" s="355"/>
      <c r="P96" s="355"/>
      <c r="Q96" s="355"/>
      <c r="R96" s="355"/>
      <c r="S96" s="355"/>
      <c r="T96" s="355"/>
      <c r="U96" s="355"/>
      <c r="V96" s="355"/>
      <c r="W96" s="355"/>
      <c r="X96" s="355"/>
      <c r="Y96" s="355"/>
    </row>
    <row r="97" customFormat="false" ht="13.5" hidden="false" customHeight="false" outlineLevel="0" collapsed="false">
      <c r="A97" s="357" t="s">
        <v>246</v>
      </c>
      <c r="B97" s="358" t="n">
        <f aca="false">ROW(A97)</f>
        <v>97</v>
      </c>
      <c r="C97" s="340" t="s">
        <v>212</v>
      </c>
      <c r="D97" s="341" t="n">
        <f aca="false">SUM(B100:Y100)</f>
        <v>39.923978</v>
      </c>
      <c r="E97" s="340" t="s">
        <v>213</v>
      </c>
      <c r="F97" s="342" t="n">
        <f aca="false">D97/g/J97</f>
        <v>118.305887442809</v>
      </c>
      <c r="G97" s="340" t="s">
        <v>214</v>
      </c>
      <c r="H97" s="359" t="n">
        <f aca="false">H92*2</f>
        <v>0.0564</v>
      </c>
      <c r="I97" s="340" t="s">
        <v>225</v>
      </c>
      <c r="J97" s="343" t="n">
        <f aca="false">H97-L97</f>
        <v>0.0344</v>
      </c>
      <c r="K97" s="340" t="s">
        <v>226</v>
      </c>
      <c r="L97" s="359" t="n">
        <f aca="false">L92*2</f>
        <v>0.022</v>
      </c>
      <c r="M97" s="340" t="s">
        <v>217</v>
      </c>
      <c r="N97" s="360" t="n">
        <v>30</v>
      </c>
      <c r="O97" s="340" t="s">
        <v>218</v>
      </c>
      <c r="P97" s="360" t="n">
        <v>30</v>
      </c>
      <c r="Q97" s="340" t="s">
        <v>219</v>
      </c>
      <c r="R97" s="360" t="n">
        <v>70</v>
      </c>
      <c r="S97" s="340" t="s">
        <v>220</v>
      </c>
      <c r="T97" s="360" t="n">
        <v>30</v>
      </c>
      <c r="U97" s="340" t="s">
        <v>8</v>
      </c>
      <c r="V97" s="361" t="s">
        <v>245</v>
      </c>
      <c r="W97" s="346" t="s">
        <v>221</v>
      </c>
      <c r="X97" s="370" t="n">
        <v>2.1</v>
      </c>
      <c r="Y97" s="346" t="s">
        <v>222</v>
      </c>
      <c r="Z97" s="345" t="n">
        <v>7</v>
      </c>
    </row>
    <row r="98" customFormat="false" ht="12" hidden="false" customHeight="false" outlineLevel="0" collapsed="false">
      <c r="A98" s="338" t="s">
        <v>227</v>
      </c>
      <c r="B98" s="362" t="n">
        <v>0</v>
      </c>
      <c r="C98" s="363" t="n">
        <f aca="false">C93</f>
        <v>0.04</v>
      </c>
      <c r="D98" s="363" t="n">
        <f aca="false">D93</f>
        <v>0.116</v>
      </c>
      <c r="E98" s="363" t="n">
        <f aca="false">E93</f>
        <v>0.213</v>
      </c>
      <c r="F98" s="363" t="n">
        <f aca="false">F93</f>
        <v>0.286</v>
      </c>
      <c r="G98" s="363" t="n">
        <f aca="false">G93</f>
        <v>0.329</v>
      </c>
      <c r="H98" s="363" t="n">
        <f aca="false">H93</f>
        <v>0.369</v>
      </c>
      <c r="I98" s="363" t="n">
        <f aca="false">I93</f>
        <v>0.42</v>
      </c>
      <c r="J98" s="363" t="n">
        <f aca="false">J93</f>
        <v>0.495</v>
      </c>
      <c r="K98" s="363" t="n">
        <f aca="false">K93</f>
        <v>0.597</v>
      </c>
      <c r="L98" s="363" t="n">
        <f aca="false">L93</f>
        <v>1.711</v>
      </c>
      <c r="M98" s="363" t="n">
        <f aca="false">M93</f>
        <v>1.826</v>
      </c>
      <c r="N98" s="363" t="n">
        <f aca="false">N93</f>
        <v>1.917</v>
      </c>
      <c r="O98" s="363" t="n">
        <f aca="false">O93</f>
        <v>1.975</v>
      </c>
      <c r="P98" s="363" t="n">
        <f aca="false">P93</f>
        <v>2.206</v>
      </c>
      <c r="Q98" s="363" t="n">
        <f aca="false">Q93</f>
        <v>2.242</v>
      </c>
      <c r="R98" s="363" t="n">
        <f aca="false">R93</f>
        <v>2.5</v>
      </c>
      <c r="S98" s="363" t="n">
        <f aca="false">S93</f>
        <v>2.5</v>
      </c>
      <c r="T98" s="363" t="n">
        <f aca="false">T93</f>
        <v>2.5</v>
      </c>
      <c r="U98" s="363" t="n">
        <f aca="false">U93</f>
        <v>2.5</v>
      </c>
      <c r="V98" s="363" t="n">
        <f aca="false">V93</f>
        <v>2.5</v>
      </c>
      <c r="W98" s="363" t="n">
        <f aca="false">W93</f>
        <v>2.5</v>
      </c>
      <c r="X98" s="363" t="n">
        <f aca="false">X93</f>
        <v>2.5</v>
      </c>
      <c r="Y98" s="350" t="n">
        <v>1000</v>
      </c>
    </row>
    <row r="99" customFormat="false" ht="12" hidden="false" customHeight="false" outlineLevel="0" collapsed="false">
      <c r="A99" s="364" t="s">
        <v>228</v>
      </c>
      <c r="B99" s="365" t="n">
        <f aca="false">B94*2</f>
        <v>0</v>
      </c>
      <c r="C99" s="366" t="n">
        <f aca="false">C94*2</f>
        <v>4.222</v>
      </c>
      <c r="D99" s="366" t="n">
        <f aca="false">D94*2</f>
        <v>19.37</v>
      </c>
      <c r="E99" s="366" t="n">
        <f aca="false">E94*2</f>
        <v>50</v>
      </c>
      <c r="F99" s="366" t="n">
        <f aca="false">F94*2</f>
        <v>31.476</v>
      </c>
      <c r="G99" s="366" t="n">
        <f aca="false">G94*2</f>
        <v>24.944</v>
      </c>
      <c r="H99" s="366" t="n">
        <f aca="false">H94*2</f>
        <v>21.34</v>
      </c>
      <c r="I99" s="366" t="n">
        <f aca="false">I94*2</f>
        <v>19.426</v>
      </c>
      <c r="J99" s="366" t="n">
        <f aca="false">J94*2</f>
        <v>18.356</v>
      </c>
      <c r="K99" s="366" t="n">
        <f aca="false">K94*2</f>
        <v>17.792</v>
      </c>
      <c r="L99" s="366" t="n">
        <f aca="false">L94*2</f>
        <v>17.85</v>
      </c>
      <c r="M99" s="366" t="n">
        <f aca="false">M94*2</f>
        <v>17.398</v>
      </c>
      <c r="N99" s="366" t="n">
        <f aca="false">N94*2</f>
        <v>16.104</v>
      </c>
      <c r="O99" s="366" t="n">
        <f aca="false">O94*2</f>
        <v>13.908</v>
      </c>
      <c r="P99" s="366" t="n">
        <f aca="false">P94*2</f>
        <v>2.14</v>
      </c>
      <c r="Q99" s="366" t="n">
        <f aca="false">Q94*2</f>
        <v>0</v>
      </c>
      <c r="R99" s="366" t="n">
        <f aca="false">R94*2</f>
        <v>0</v>
      </c>
      <c r="S99" s="366" t="n">
        <f aca="false">S94*2</f>
        <v>0</v>
      </c>
      <c r="T99" s="366" t="n">
        <f aca="false">T94*2</f>
        <v>0</v>
      </c>
      <c r="U99" s="366" t="n">
        <f aca="false">U94*2</f>
        <v>0</v>
      </c>
      <c r="V99" s="366" t="n">
        <f aca="false">V94*2</f>
        <v>0</v>
      </c>
      <c r="W99" s="366" t="n">
        <f aca="false">W94*2</f>
        <v>0</v>
      </c>
      <c r="X99" s="366" t="n">
        <f aca="false">X94*2</f>
        <v>0</v>
      </c>
      <c r="Y99" s="367" t="n">
        <v>0</v>
      </c>
    </row>
    <row r="100" customFormat="false" ht="12.75" hidden="false" customHeight="false" outlineLevel="0" collapsed="false">
      <c r="A100" s="351" t="s">
        <v>229</v>
      </c>
      <c r="B100" s="368" t="n">
        <f aca="false">(C99+B99)*(C98-B98)/2</f>
        <v>0.08444</v>
      </c>
      <c r="C100" s="369" t="n">
        <f aca="false">(D99+C99)*(D98-C98)/2</f>
        <v>0.896496</v>
      </c>
      <c r="D100" s="369" t="n">
        <f aca="false">(E99+D99)*(E98-D98)/2</f>
        <v>3.364445</v>
      </c>
      <c r="E100" s="369" t="n">
        <f aca="false">(F99+E99)*(F98-E98)/2</f>
        <v>2.973874</v>
      </c>
      <c r="F100" s="369" t="n">
        <f aca="false">(G99+F99)*(G98-F98)/2</f>
        <v>1.21303</v>
      </c>
      <c r="G100" s="369" t="n">
        <f aca="false">(H99+G99)*(H98-G98)/2</f>
        <v>0.92568</v>
      </c>
      <c r="H100" s="369" t="n">
        <f aca="false">(I99+H99)*(I98-H98)/2</f>
        <v>1.039533</v>
      </c>
      <c r="I100" s="369" t="n">
        <f aca="false">(J99+I99)*(J98-I98)/2</f>
        <v>1.416825</v>
      </c>
      <c r="J100" s="369" t="n">
        <f aca="false">(K99+J99)*(K98-J98)/2</f>
        <v>1.843548</v>
      </c>
      <c r="K100" s="369" t="n">
        <f aca="false">(L99+K99)*(L98-K98)/2</f>
        <v>19.852594</v>
      </c>
      <c r="L100" s="369" t="n">
        <f aca="false">(M99+L99)*(M98-L98)/2</f>
        <v>2.02676</v>
      </c>
      <c r="M100" s="369" t="n">
        <f aca="false">(N99+M99)*(N98-M98)/2</f>
        <v>1.524341</v>
      </c>
      <c r="N100" s="369" t="n">
        <f aca="false">(O99+N99)*(O98-N98)/2</f>
        <v>0.870348000000001</v>
      </c>
      <c r="O100" s="369" t="n">
        <f aca="false">(P99+O99)*(P98-O98)/2</f>
        <v>1.853544</v>
      </c>
      <c r="P100" s="369" t="n">
        <f aca="false">(Q99+P99)*(Q98-P98)/2</f>
        <v>0.03852</v>
      </c>
      <c r="Q100" s="369" t="n">
        <f aca="false">(R99+Q99)*(R98-Q98)/2</f>
        <v>0</v>
      </c>
      <c r="R100" s="369" t="n">
        <f aca="false">(S99+R99)*(S98-R98)/2</f>
        <v>0</v>
      </c>
      <c r="S100" s="369" t="n">
        <f aca="false">(T99+S99)*(T98-S98)/2</f>
        <v>0</v>
      </c>
      <c r="T100" s="369" t="n">
        <f aca="false">(U99+T99)*(U98-T98)/2</f>
        <v>0</v>
      </c>
      <c r="U100" s="369" t="n">
        <f aca="false">(V99+U99)*(V98-U98)/2</f>
        <v>0</v>
      </c>
      <c r="V100" s="369" t="n">
        <f aca="false">(W99+V99)*(W98-V98)/2</f>
        <v>0</v>
      </c>
      <c r="W100" s="369" t="n">
        <f aca="false">(X99+W99)*(X98-W98)/2</f>
        <v>0</v>
      </c>
      <c r="X100" s="369" t="n">
        <f aca="false">(Y99+X99)*(Y98-X98)/2</f>
        <v>0</v>
      </c>
      <c r="Y100" s="354"/>
    </row>
    <row r="101" customFormat="false" ht="12.75" hidden="false" customHeight="false" outlineLevel="0" collapsed="false">
      <c r="B101" s="355"/>
      <c r="C101" s="355"/>
      <c r="D101" s="355"/>
      <c r="E101" s="355"/>
      <c r="F101" s="355"/>
      <c r="G101" s="355"/>
      <c r="H101" s="355"/>
      <c r="I101" s="355"/>
      <c r="J101" s="355"/>
      <c r="K101" s="355"/>
      <c r="L101" s="355"/>
      <c r="M101" s="355"/>
      <c r="N101" s="355"/>
      <c r="O101" s="355"/>
      <c r="P101" s="355"/>
      <c r="Q101" s="355"/>
      <c r="R101" s="355"/>
      <c r="S101" s="355"/>
      <c r="T101" s="355"/>
      <c r="U101" s="355"/>
      <c r="V101" s="355"/>
      <c r="W101" s="355"/>
      <c r="X101" s="355"/>
      <c r="Y101" s="355"/>
    </row>
    <row r="102" customFormat="false" ht="13.5" hidden="false" customHeight="false" outlineLevel="0" collapsed="false">
      <c r="A102" s="357" t="s">
        <v>247</v>
      </c>
      <c r="B102" s="358" t="n">
        <f aca="false">ROW(A102)</f>
        <v>102</v>
      </c>
      <c r="C102" s="340" t="s">
        <v>212</v>
      </c>
      <c r="D102" s="341" t="n">
        <f aca="false">SUM(B105:Y105)</f>
        <v>59.885967</v>
      </c>
      <c r="E102" s="340" t="s">
        <v>213</v>
      </c>
      <c r="F102" s="342" t="n">
        <f aca="false">D102/g/J102</f>
        <v>118.305887442809</v>
      </c>
      <c r="G102" s="340" t="s">
        <v>214</v>
      </c>
      <c r="H102" s="359" t="n">
        <f aca="false">H92*3</f>
        <v>0.0846</v>
      </c>
      <c r="I102" s="340" t="s">
        <v>225</v>
      </c>
      <c r="J102" s="343" t="n">
        <f aca="false">H102-L102</f>
        <v>0.0516</v>
      </c>
      <c r="K102" s="340" t="s">
        <v>226</v>
      </c>
      <c r="L102" s="359" t="n">
        <f aca="false">L92*3</f>
        <v>0.033</v>
      </c>
      <c r="M102" s="340" t="s">
        <v>217</v>
      </c>
      <c r="N102" s="360" t="n">
        <v>30</v>
      </c>
      <c r="O102" s="340" t="s">
        <v>218</v>
      </c>
      <c r="P102" s="360" t="n">
        <v>30</v>
      </c>
      <c r="Q102" s="340" t="s">
        <v>219</v>
      </c>
      <c r="R102" s="360" t="n">
        <v>70</v>
      </c>
      <c r="S102" s="340" t="s">
        <v>220</v>
      </c>
      <c r="T102" s="360" t="n">
        <v>40</v>
      </c>
      <c r="U102" s="340" t="s">
        <v>8</v>
      </c>
      <c r="V102" s="361" t="s">
        <v>245</v>
      </c>
      <c r="W102" s="346" t="s">
        <v>221</v>
      </c>
      <c r="X102" s="370" t="n">
        <v>2.1</v>
      </c>
      <c r="Y102" s="346" t="s">
        <v>222</v>
      </c>
      <c r="Z102" s="345" t="n">
        <v>7</v>
      </c>
    </row>
    <row r="103" customFormat="false" ht="12" hidden="false" customHeight="false" outlineLevel="0" collapsed="false">
      <c r="A103" s="338" t="s">
        <v>227</v>
      </c>
      <c r="B103" s="362" t="n">
        <v>0</v>
      </c>
      <c r="C103" s="363" t="n">
        <f aca="false">C93</f>
        <v>0.04</v>
      </c>
      <c r="D103" s="363" t="n">
        <f aca="false">D93</f>
        <v>0.116</v>
      </c>
      <c r="E103" s="363" t="n">
        <f aca="false">E93</f>
        <v>0.213</v>
      </c>
      <c r="F103" s="363" t="n">
        <f aca="false">F93</f>
        <v>0.286</v>
      </c>
      <c r="G103" s="363" t="n">
        <f aca="false">G93</f>
        <v>0.329</v>
      </c>
      <c r="H103" s="363" t="n">
        <f aca="false">H93</f>
        <v>0.369</v>
      </c>
      <c r="I103" s="363" t="n">
        <f aca="false">I93</f>
        <v>0.42</v>
      </c>
      <c r="J103" s="363" t="n">
        <f aca="false">J93</f>
        <v>0.495</v>
      </c>
      <c r="K103" s="363" t="n">
        <f aca="false">K93</f>
        <v>0.597</v>
      </c>
      <c r="L103" s="363" t="n">
        <f aca="false">L93</f>
        <v>1.711</v>
      </c>
      <c r="M103" s="363" t="n">
        <f aca="false">M93</f>
        <v>1.826</v>
      </c>
      <c r="N103" s="363" t="n">
        <f aca="false">N93</f>
        <v>1.917</v>
      </c>
      <c r="O103" s="363" t="n">
        <f aca="false">O93</f>
        <v>1.975</v>
      </c>
      <c r="P103" s="363" t="n">
        <f aca="false">P93</f>
        <v>2.206</v>
      </c>
      <c r="Q103" s="363" t="n">
        <f aca="false">Q93</f>
        <v>2.242</v>
      </c>
      <c r="R103" s="363" t="n">
        <f aca="false">R93</f>
        <v>2.5</v>
      </c>
      <c r="S103" s="363" t="n">
        <f aca="false">S93</f>
        <v>2.5</v>
      </c>
      <c r="T103" s="363" t="n">
        <f aca="false">T93</f>
        <v>2.5</v>
      </c>
      <c r="U103" s="363" t="n">
        <f aca="false">U93</f>
        <v>2.5</v>
      </c>
      <c r="V103" s="363" t="n">
        <f aca="false">V93</f>
        <v>2.5</v>
      </c>
      <c r="W103" s="363" t="n">
        <f aca="false">W93</f>
        <v>2.5</v>
      </c>
      <c r="X103" s="363" t="n">
        <f aca="false">X93</f>
        <v>2.5</v>
      </c>
      <c r="Y103" s="350" t="n">
        <v>1000</v>
      </c>
    </row>
    <row r="104" customFormat="false" ht="12" hidden="false" customHeight="false" outlineLevel="0" collapsed="false">
      <c r="A104" s="364" t="s">
        <v>228</v>
      </c>
      <c r="B104" s="365" t="n">
        <f aca="false">B94*3</f>
        <v>0</v>
      </c>
      <c r="C104" s="366" t="n">
        <f aca="false">C94*3</f>
        <v>6.333</v>
      </c>
      <c r="D104" s="366" t="n">
        <f aca="false">D94*3</f>
        <v>29.055</v>
      </c>
      <c r="E104" s="366" t="n">
        <f aca="false">E94*3</f>
        <v>75</v>
      </c>
      <c r="F104" s="366" t="n">
        <f aca="false">F94*3</f>
        <v>47.214</v>
      </c>
      <c r="G104" s="366" t="n">
        <f aca="false">G94*3</f>
        <v>37.416</v>
      </c>
      <c r="H104" s="366" t="n">
        <f aca="false">H94*3</f>
        <v>32.01</v>
      </c>
      <c r="I104" s="366" t="n">
        <f aca="false">I94*3</f>
        <v>29.139</v>
      </c>
      <c r="J104" s="366" t="n">
        <f aca="false">J94*3</f>
        <v>27.534</v>
      </c>
      <c r="K104" s="366" t="n">
        <f aca="false">K94*3</f>
        <v>26.688</v>
      </c>
      <c r="L104" s="366" t="n">
        <f aca="false">L94*3</f>
        <v>26.775</v>
      </c>
      <c r="M104" s="366" t="n">
        <f aca="false">M94*3</f>
        <v>26.097</v>
      </c>
      <c r="N104" s="366" t="n">
        <f aca="false">N94*3</f>
        <v>24.156</v>
      </c>
      <c r="O104" s="366" t="n">
        <f aca="false">O94*3</f>
        <v>20.862</v>
      </c>
      <c r="P104" s="366" t="n">
        <f aca="false">P94*3</f>
        <v>3.21</v>
      </c>
      <c r="Q104" s="366" t="n">
        <f aca="false">Q94*3</f>
        <v>0</v>
      </c>
      <c r="R104" s="366" t="n">
        <f aca="false">R94*3</f>
        <v>0</v>
      </c>
      <c r="S104" s="366" t="n">
        <f aca="false">S94*3</f>
        <v>0</v>
      </c>
      <c r="T104" s="366" t="n">
        <f aca="false">T94*3</f>
        <v>0</v>
      </c>
      <c r="U104" s="366" t="n">
        <f aca="false">U94*3</f>
        <v>0</v>
      </c>
      <c r="V104" s="366" t="n">
        <f aca="false">V94*3</f>
        <v>0</v>
      </c>
      <c r="W104" s="366" t="n">
        <f aca="false">W94*3</f>
        <v>0</v>
      </c>
      <c r="X104" s="366" t="n">
        <f aca="false">X94*3</f>
        <v>0</v>
      </c>
      <c r="Y104" s="367" t="n">
        <v>0</v>
      </c>
    </row>
    <row r="105" customFormat="false" ht="12.75" hidden="false" customHeight="false" outlineLevel="0" collapsed="false">
      <c r="A105" s="351" t="s">
        <v>229</v>
      </c>
      <c r="B105" s="368" t="n">
        <f aca="false">(C104+B104)*(C103-B103)/2</f>
        <v>0.12666</v>
      </c>
      <c r="C105" s="369" t="n">
        <f aca="false">(D104+C104)*(D103-C103)/2</f>
        <v>1.344744</v>
      </c>
      <c r="D105" s="369" t="n">
        <f aca="false">(E104+D104)*(E103-D103)/2</f>
        <v>5.0466675</v>
      </c>
      <c r="E105" s="369" t="n">
        <f aca="false">(F104+E104)*(F103-E103)/2</f>
        <v>4.460811</v>
      </c>
      <c r="F105" s="369" t="n">
        <f aca="false">(G104+F104)*(G103-F103)/2</f>
        <v>1.819545</v>
      </c>
      <c r="G105" s="369" t="n">
        <f aca="false">(H104+G104)*(H103-G103)/2</f>
        <v>1.38852</v>
      </c>
      <c r="H105" s="369" t="n">
        <f aca="false">(I104+H104)*(I103-H103)/2</f>
        <v>1.5592995</v>
      </c>
      <c r="I105" s="369" t="n">
        <f aca="false">(J104+I104)*(J103-I103)/2</f>
        <v>2.1252375</v>
      </c>
      <c r="J105" s="369" t="n">
        <f aca="false">(K104+J104)*(K103-J103)/2</f>
        <v>2.765322</v>
      </c>
      <c r="K105" s="369" t="n">
        <f aca="false">(L104+K104)*(L103-K103)/2</f>
        <v>29.778891</v>
      </c>
      <c r="L105" s="369" t="n">
        <f aca="false">(M104+L104)*(M103-L103)/2</f>
        <v>3.04014</v>
      </c>
      <c r="M105" s="369" t="n">
        <f aca="false">(N104+M104)*(N103-M103)/2</f>
        <v>2.2865115</v>
      </c>
      <c r="N105" s="369" t="n">
        <f aca="false">(O104+N104)*(O103-N103)/2</f>
        <v>1.305522</v>
      </c>
      <c r="O105" s="369" t="n">
        <f aca="false">(P104+O104)*(P103-O103)/2</f>
        <v>2.780316</v>
      </c>
      <c r="P105" s="369" t="n">
        <f aca="false">(Q104+P104)*(Q103-P103)/2</f>
        <v>0.0577800000000001</v>
      </c>
      <c r="Q105" s="369" t="n">
        <f aca="false">(R104+Q104)*(R103-Q103)/2</f>
        <v>0</v>
      </c>
      <c r="R105" s="369" t="n">
        <f aca="false">(S104+R104)*(S103-R103)/2</f>
        <v>0</v>
      </c>
      <c r="S105" s="369" t="n">
        <f aca="false">(T104+S104)*(T103-S103)/2</f>
        <v>0</v>
      </c>
      <c r="T105" s="369" t="n">
        <f aca="false">(U104+T104)*(U103-T103)/2</f>
        <v>0</v>
      </c>
      <c r="U105" s="369" t="n">
        <f aca="false">(V104+U104)*(V103-U103)/2</f>
        <v>0</v>
      </c>
      <c r="V105" s="369" t="n">
        <f aca="false">(W104+V104)*(W103-V103)/2</f>
        <v>0</v>
      </c>
      <c r="W105" s="369" t="n">
        <f aca="false">(X104+W104)*(X103-W103)/2</f>
        <v>0</v>
      </c>
      <c r="X105" s="369" t="n">
        <f aca="false">(Y104+X104)*(Y103-X103)/2</f>
        <v>0</v>
      </c>
      <c r="Y105" s="354"/>
    </row>
    <row r="107" customFormat="false" ht="13.5" hidden="false" customHeight="false" outlineLevel="0" collapsed="false">
      <c r="A107" s="356" t="s">
        <v>248</v>
      </c>
    </row>
    <row r="108" customFormat="false" ht="13.5" hidden="false" customHeight="false" outlineLevel="0" collapsed="false">
      <c r="A108" s="357" t="s">
        <v>249</v>
      </c>
      <c r="B108" s="358" t="n">
        <f aca="false">ROW(A108)</f>
        <v>108</v>
      </c>
      <c r="C108" s="340" t="s">
        <v>212</v>
      </c>
      <c r="D108" s="341" t="n">
        <f aca="false">SUM(B111:Y111)</f>
        <v>24.269519</v>
      </c>
      <c r="E108" s="340" t="s">
        <v>213</v>
      </c>
      <c r="F108" s="342" t="n">
        <f aca="false">D108/g/J108</f>
        <v>154.622317787971</v>
      </c>
      <c r="G108" s="340" t="s">
        <v>214</v>
      </c>
      <c r="H108" s="359" t="n">
        <v>0.052</v>
      </c>
      <c r="I108" s="340" t="s">
        <v>225</v>
      </c>
      <c r="J108" s="343" t="n">
        <f aca="false">H108-L108</f>
        <v>0.016</v>
      </c>
      <c r="K108" s="340" t="s">
        <v>226</v>
      </c>
      <c r="L108" s="359" t="n">
        <v>0.036</v>
      </c>
      <c r="M108" s="340" t="s">
        <v>217</v>
      </c>
      <c r="N108" s="372" t="n">
        <v>35</v>
      </c>
      <c r="O108" s="340" t="s">
        <v>218</v>
      </c>
      <c r="P108" s="372" t="n">
        <v>35</v>
      </c>
      <c r="Q108" s="340" t="s">
        <v>219</v>
      </c>
      <c r="R108" s="360" t="n">
        <v>69</v>
      </c>
      <c r="S108" s="340" t="s">
        <v>220</v>
      </c>
      <c r="T108" s="360" t="n">
        <v>24</v>
      </c>
      <c r="U108" s="340" t="s">
        <v>8</v>
      </c>
      <c r="V108" s="361" t="s">
        <v>250</v>
      </c>
      <c r="W108" s="346" t="s">
        <v>221</v>
      </c>
      <c r="X108" s="370" t="n">
        <v>1</v>
      </c>
      <c r="Y108" s="346" t="s">
        <v>222</v>
      </c>
      <c r="Z108" s="345" t="n">
        <v>13</v>
      </c>
    </row>
    <row r="109" customFormat="false" ht="12" hidden="false" customHeight="false" outlineLevel="0" collapsed="false">
      <c r="A109" s="338" t="s">
        <v>227</v>
      </c>
      <c r="B109" s="362" t="n">
        <v>0</v>
      </c>
      <c r="C109" s="363" t="n">
        <v>0.008</v>
      </c>
      <c r="D109" s="363" t="n">
        <v>0.026</v>
      </c>
      <c r="E109" s="363" t="n">
        <v>0.038</v>
      </c>
      <c r="F109" s="363" t="n">
        <v>0.067</v>
      </c>
      <c r="G109" s="363" t="n">
        <v>0.101</v>
      </c>
      <c r="H109" s="363" t="n">
        <v>0.33</v>
      </c>
      <c r="I109" s="363" t="n">
        <v>0.528</v>
      </c>
      <c r="J109" s="363" t="n">
        <v>0.716</v>
      </c>
      <c r="K109" s="363" t="n">
        <v>0.841</v>
      </c>
      <c r="L109" s="363" t="n">
        <v>0.912</v>
      </c>
      <c r="M109" s="363" t="n">
        <v>0.987</v>
      </c>
      <c r="N109" s="363" t="n">
        <v>1.016</v>
      </c>
      <c r="O109" s="363" t="n">
        <v>1.065</v>
      </c>
      <c r="P109" s="363" t="n">
        <v>1.087</v>
      </c>
      <c r="Q109" s="373" t="n">
        <v>2</v>
      </c>
      <c r="R109" s="373" t="n">
        <v>2</v>
      </c>
      <c r="S109" s="373" t="n">
        <v>2</v>
      </c>
      <c r="T109" s="373" t="n">
        <v>2</v>
      </c>
      <c r="U109" s="373" t="n">
        <v>2</v>
      </c>
      <c r="V109" s="373" t="n">
        <v>2</v>
      </c>
      <c r="W109" s="373" t="n">
        <v>2</v>
      </c>
      <c r="X109" s="373" t="n">
        <v>2</v>
      </c>
      <c r="Y109" s="374" t="n">
        <v>1000</v>
      </c>
    </row>
    <row r="110" customFormat="false" ht="12" hidden="false" customHeight="false" outlineLevel="0" collapsed="false">
      <c r="A110" s="364" t="s">
        <v>228</v>
      </c>
      <c r="B110" s="365" t="n">
        <v>0</v>
      </c>
      <c r="C110" s="366" t="n">
        <v>18.292</v>
      </c>
      <c r="D110" s="366" t="n">
        <v>30</v>
      </c>
      <c r="E110" s="366" t="n">
        <v>30.792</v>
      </c>
      <c r="F110" s="366" t="n">
        <v>18.708</v>
      </c>
      <c r="G110" s="366" t="n">
        <v>21.875</v>
      </c>
      <c r="H110" s="366" t="n">
        <v>26.083</v>
      </c>
      <c r="I110" s="366" t="n">
        <v>28.042</v>
      </c>
      <c r="J110" s="366" t="n">
        <v>27.875</v>
      </c>
      <c r="K110" s="366" t="n">
        <v>23.542</v>
      </c>
      <c r="L110" s="366" t="n">
        <v>17.833</v>
      </c>
      <c r="M110" s="366" t="n">
        <v>7</v>
      </c>
      <c r="N110" s="366" t="n">
        <v>3.333</v>
      </c>
      <c r="O110" s="366" t="n">
        <v>1.083</v>
      </c>
      <c r="P110" s="366" t="n">
        <v>0</v>
      </c>
      <c r="Q110" s="375" t="n">
        <v>0</v>
      </c>
      <c r="R110" s="375" t="n">
        <v>0</v>
      </c>
      <c r="S110" s="375" t="n">
        <v>0</v>
      </c>
      <c r="T110" s="375" t="n">
        <f aca="false">S110</f>
        <v>0</v>
      </c>
      <c r="U110" s="375" t="n">
        <f aca="false">T110</f>
        <v>0</v>
      </c>
      <c r="V110" s="375" t="n">
        <f aca="false">U110</f>
        <v>0</v>
      </c>
      <c r="W110" s="375" t="n">
        <f aca="false">V110</f>
        <v>0</v>
      </c>
      <c r="X110" s="375" t="n">
        <f aca="false">W110</f>
        <v>0</v>
      </c>
      <c r="Y110" s="376" t="n">
        <v>0</v>
      </c>
    </row>
    <row r="111" customFormat="false" ht="12.75" hidden="false" customHeight="false" outlineLevel="0" collapsed="false">
      <c r="A111" s="351" t="s">
        <v>229</v>
      </c>
      <c r="B111" s="368" t="n">
        <f aca="false">(C110+B110)*(C109-B109)/2</f>
        <v>0.073168</v>
      </c>
      <c r="C111" s="369" t="n">
        <f aca="false">(D110+C110)*(D109-C109)/2</f>
        <v>0.434628</v>
      </c>
      <c r="D111" s="369" t="n">
        <f aca="false">(E110+D110)*(E109-D109)/2</f>
        <v>0.364752</v>
      </c>
      <c r="E111" s="369" t="n">
        <f aca="false">(F110+E110)*(F109-E109)/2</f>
        <v>0.71775</v>
      </c>
      <c r="F111" s="369" t="n">
        <f aca="false">(G110+F110)*(G109-F109)/2</f>
        <v>0.689911</v>
      </c>
      <c r="G111" s="369" t="n">
        <f aca="false">(H110+G110)*(H109-G109)/2</f>
        <v>5.491191</v>
      </c>
      <c r="H111" s="369" t="n">
        <f aca="false">(I110+H110)*(I109-H109)/2</f>
        <v>5.358375</v>
      </c>
      <c r="I111" s="369" t="n">
        <f aca="false">(J110+I110)*(J109-I109)/2</f>
        <v>5.256198</v>
      </c>
      <c r="J111" s="369" t="n">
        <f aca="false">(K110+J110)*(K109-J109)/2</f>
        <v>3.2135625</v>
      </c>
      <c r="K111" s="369" t="n">
        <f aca="false">(L110+K110)*(L109-K109)/2</f>
        <v>1.4688125</v>
      </c>
      <c r="L111" s="369" t="n">
        <f aca="false">(M110+L110)*(M109-L109)/2</f>
        <v>0.931237499999999</v>
      </c>
      <c r="M111" s="369" t="n">
        <f aca="false">(N110+M110)*(N109-M109)/2</f>
        <v>0.1498285</v>
      </c>
      <c r="N111" s="369" t="n">
        <f aca="false">(O110+N110)*(O109-N109)/2</f>
        <v>0.108192</v>
      </c>
      <c r="O111" s="369" t="n">
        <f aca="false">(P110+O110)*(P109-O109)/2</f>
        <v>0.011913</v>
      </c>
      <c r="P111" s="369" t="n">
        <f aca="false">(Q110+P110)*(Q109-P109)/2</f>
        <v>0</v>
      </c>
      <c r="Q111" s="369" t="n">
        <f aca="false">(R110+Q110)*(R109-Q109)/2</f>
        <v>0</v>
      </c>
      <c r="R111" s="369" t="n">
        <f aca="false">(S110+R110)*(S109-R109)/2</f>
        <v>0</v>
      </c>
      <c r="S111" s="369" t="n">
        <f aca="false">(T110+S110)*(T109-S109)/2</f>
        <v>0</v>
      </c>
      <c r="T111" s="369" t="n">
        <f aca="false">(U110+T110)*(U109-T109)/2</f>
        <v>0</v>
      </c>
      <c r="U111" s="369" t="n">
        <f aca="false">(V110+U110)*(V109-U109)/2</f>
        <v>0</v>
      </c>
      <c r="V111" s="369" t="n">
        <f aca="false">(W110+V110)*(W109-V109)/2</f>
        <v>0</v>
      </c>
      <c r="W111" s="369" t="n">
        <f aca="false">(X110+W110)*(X109-W109)/2</f>
        <v>0</v>
      </c>
      <c r="X111" s="369" t="n">
        <f aca="false">(Y110+X110)*(Y109-X109)/2</f>
        <v>0</v>
      </c>
      <c r="Y111" s="354"/>
    </row>
    <row r="112" customFormat="false" ht="12.75" hidden="false" customHeight="false" outlineLevel="0" collapsed="false"/>
    <row r="113" customFormat="false" ht="13.5" hidden="false" customHeight="false" outlineLevel="0" collapsed="false">
      <c r="A113" s="357" t="s">
        <v>251</v>
      </c>
      <c r="B113" s="358" t="n">
        <f aca="false">ROW(A113)</f>
        <v>113</v>
      </c>
      <c r="C113" s="340" t="s">
        <v>212</v>
      </c>
      <c r="D113" s="341" t="n">
        <f aca="false">SUM(B116:Y116)</f>
        <v>24.488898</v>
      </c>
      <c r="E113" s="340" t="s">
        <v>213</v>
      </c>
      <c r="F113" s="342" t="n">
        <f aca="false">D113/g/J113</f>
        <v>121.771701350041</v>
      </c>
      <c r="G113" s="340" t="s">
        <v>214</v>
      </c>
      <c r="H113" s="359" t="n">
        <v>0.0565</v>
      </c>
      <c r="I113" s="340" t="s">
        <v>225</v>
      </c>
      <c r="J113" s="343" t="n">
        <f aca="false">H113-L113</f>
        <v>0.0205</v>
      </c>
      <c r="K113" s="340" t="s">
        <v>226</v>
      </c>
      <c r="L113" s="359" t="n">
        <v>0.036</v>
      </c>
      <c r="M113" s="340" t="s">
        <v>217</v>
      </c>
      <c r="N113" s="372" t="n">
        <v>35</v>
      </c>
      <c r="O113" s="340" t="s">
        <v>218</v>
      </c>
      <c r="P113" s="372" t="n">
        <v>35</v>
      </c>
      <c r="Q113" s="340" t="s">
        <v>219</v>
      </c>
      <c r="R113" s="360" t="n">
        <v>69</v>
      </c>
      <c r="S113" s="340" t="s">
        <v>220</v>
      </c>
      <c r="T113" s="360" t="n">
        <v>24</v>
      </c>
      <c r="U113" s="340" t="s">
        <v>8</v>
      </c>
      <c r="V113" s="361" t="s">
        <v>252</v>
      </c>
      <c r="W113" s="346" t="s">
        <v>221</v>
      </c>
      <c r="X113" s="370" t="n">
        <v>0.33</v>
      </c>
      <c r="Y113" s="346" t="s">
        <v>222</v>
      </c>
      <c r="Z113" s="345" t="n">
        <v>17</v>
      </c>
    </row>
    <row r="114" customFormat="false" ht="12" hidden="false" customHeight="false" outlineLevel="0" collapsed="false">
      <c r="A114" s="338" t="s">
        <v>227</v>
      </c>
      <c r="B114" s="362" t="n">
        <v>0</v>
      </c>
      <c r="C114" s="363" t="n">
        <v>0.009</v>
      </c>
      <c r="D114" s="363" t="n">
        <v>0.012</v>
      </c>
      <c r="E114" s="363" t="n">
        <v>0.023</v>
      </c>
      <c r="F114" s="363" t="n">
        <v>0.027</v>
      </c>
      <c r="G114" s="363" t="n">
        <v>0.047</v>
      </c>
      <c r="H114" s="363" t="n">
        <v>0.092</v>
      </c>
      <c r="I114" s="363" t="n">
        <v>0.118</v>
      </c>
      <c r="J114" s="363" t="n">
        <v>0.141</v>
      </c>
      <c r="K114" s="363" t="n">
        <v>0.192</v>
      </c>
      <c r="L114" s="363" t="n">
        <v>0.222</v>
      </c>
      <c r="M114" s="363" t="n">
        <v>0.25</v>
      </c>
      <c r="N114" s="363" t="n">
        <v>0.26</v>
      </c>
      <c r="O114" s="363" t="n">
        <v>0.281</v>
      </c>
      <c r="P114" s="363" t="n">
        <v>0.287</v>
      </c>
      <c r="Q114" s="363" t="n">
        <v>0.306</v>
      </c>
      <c r="R114" s="363" t="n">
        <v>0.314</v>
      </c>
      <c r="S114" s="363" t="n">
        <v>0.326</v>
      </c>
      <c r="T114" s="363" t="n">
        <v>0.329</v>
      </c>
      <c r="U114" s="373" t="n">
        <v>0.5</v>
      </c>
      <c r="V114" s="373" t="n">
        <v>1</v>
      </c>
      <c r="W114" s="373" t="n">
        <v>2</v>
      </c>
      <c r="X114" s="373" t="n">
        <v>2</v>
      </c>
      <c r="Y114" s="374" t="n">
        <v>1000</v>
      </c>
    </row>
    <row r="115" customFormat="false" ht="12" hidden="false" customHeight="false" outlineLevel="0" collapsed="false">
      <c r="A115" s="364" t="s">
        <v>228</v>
      </c>
      <c r="B115" s="365" t="n">
        <v>0</v>
      </c>
      <c r="C115" s="366" t="n">
        <v>84.213</v>
      </c>
      <c r="D115" s="366" t="n">
        <v>95.099</v>
      </c>
      <c r="E115" s="366" t="n">
        <v>77.08</v>
      </c>
      <c r="F115" s="366" t="n">
        <v>68.697</v>
      </c>
      <c r="G115" s="366" t="n">
        <v>73.452</v>
      </c>
      <c r="H115" s="366" t="n">
        <v>81.835</v>
      </c>
      <c r="I115" s="366" t="n">
        <v>83.837</v>
      </c>
      <c r="J115" s="366" t="n">
        <v>86.465</v>
      </c>
      <c r="K115" s="366" t="n">
        <v>86.966</v>
      </c>
      <c r="L115" s="366" t="n">
        <v>85.339</v>
      </c>
      <c r="M115" s="366" t="n">
        <v>80.083</v>
      </c>
      <c r="N115" s="366" t="n">
        <v>78.332</v>
      </c>
      <c r="O115" s="366" t="n">
        <v>82.961</v>
      </c>
      <c r="P115" s="366" t="n">
        <v>78.206</v>
      </c>
      <c r="Q115" s="366" t="n">
        <v>24.776</v>
      </c>
      <c r="R115" s="366" t="n">
        <v>14.14</v>
      </c>
      <c r="S115" s="366" t="n">
        <v>8.509</v>
      </c>
      <c r="T115" s="366" t="n">
        <v>0</v>
      </c>
      <c r="U115" s="375" t="n">
        <f aca="false">T115</f>
        <v>0</v>
      </c>
      <c r="V115" s="375" t="n">
        <f aca="false">U115</f>
        <v>0</v>
      </c>
      <c r="W115" s="375" t="n">
        <f aca="false">V115</f>
        <v>0</v>
      </c>
      <c r="X115" s="375" t="n">
        <f aca="false">W115</f>
        <v>0</v>
      </c>
      <c r="Y115" s="376" t="n">
        <v>0</v>
      </c>
    </row>
    <row r="116" customFormat="false" ht="12.75" hidden="false" customHeight="false" outlineLevel="0" collapsed="false">
      <c r="A116" s="351" t="s">
        <v>229</v>
      </c>
      <c r="B116" s="368" t="n">
        <f aca="false">(C115+B115)*(C114-B114)/2</f>
        <v>0.3789585</v>
      </c>
      <c r="C116" s="369" t="n">
        <f aca="false">(D115+C115)*(D114-C114)/2</f>
        <v>0.268968</v>
      </c>
      <c r="D116" s="369" t="n">
        <f aca="false">(E115+D115)*(E114-D114)/2</f>
        <v>0.9469845</v>
      </c>
      <c r="E116" s="369" t="n">
        <f aca="false">(F115+E115)*(F114-E114)/2</f>
        <v>0.291554</v>
      </c>
      <c r="F116" s="369" t="n">
        <f aca="false">(G115+F115)*(G114-F114)/2</f>
        <v>1.42149</v>
      </c>
      <c r="G116" s="369" t="n">
        <f aca="false">(H115+G115)*(H114-G114)/2</f>
        <v>3.4939575</v>
      </c>
      <c r="H116" s="369" t="n">
        <f aca="false">(I115+H115)*(I114-H114)/2</f>
        <v>2.153736</v>
      </c>
      <c r="I116" s="369" t="n">
        <f aca="false">(J115+I115)*(J114-I114)/2</f>
        <v>1.958473</v>
      </c>
      <c r="J116" s="369" t="n">
        <f aca="false">(K115+J115)*(K114-J114)/2</f>
        <v>4.4224905</v>
      </c>
      <c r="K116" s="369" t="n">
        <f aca="false">(L115+K115)*(L114-K114)/2</f>
        <v>2.584575</v>
      </c>
      <c r="L116" s="369" t="n">
        <f aca="false">(M115+L115)*(M114-L114)/2</f>
        <v>2.315908</v>
      </c>
      <c r="M116" s="369" t="n">
        <f aca="false">(N115+M115)*(N114-M114)/2</f>
        <v>0.792075000000001</v>
      </c>
      <c r="N116" s="369" t="n">
        <f aca="false">(O115+N115)*(O114-N114)/2</f>
        <v>1.6935765</v>
      </c>
      <c r="O116" s="369" t="n">
        <f aca="false">(P115+O115)*(P114-O114)/2</f>
        <v>0.483500999999996</v>
      </c>
      <c r="P116" s="369" t="n">
        <f aca="false">(Q115+P115)*(Q114-P114)/2</f>
        <v>0.978329000000001</v>
      </c>
      <c r="Q116" s="369" t="n">
        <f aca="false">(R115+Q115)*(R114-Q114)/2</f>
        <v>0.155664</v>
      </c>
      <c r="R116" s="369" t="n">
        <f aca="false">(S115+R115)*(S114-R114)/2</f>
        <v>0.135894</v>
      </c>
      <c r="S116" s="369" t="n">
        <f aca="false">(T115+S115)*(T114-S114)/2</f>
        <v>0.0127635</v>
      </c>
      <c r="T116" s="369" t="n">
        <f aca="false">(U115+T115)*(U114-T114)/2</f>
        <v>0</v>
      </c>
      <c r="U116" s="369" t="n">
        <f aca="false">(V115+U115)*(V114-U114)/2</f>
        <v>0</v>
      </c>
      <c r="V116" s="369" t="n">
        <f aca="false">(W115+V115)*(W114-V114)/2</f>
        <v>0</v>
      </c>
      <c r="W116" s="369" t="n">
        <f aca="false">(X115+W115)*(X114-W114)/2</f>
        <v>0</v>
      </c>
      <c r="X116" s="369" t="n">
        <f aca="false">(Y115+X115)*(Y114-X114)/2</f>
        <v>0</v>
      </c>
      <c r="Y116" s="354"/>
    </row>
    <row r="117" customFormat="false" ht="12.75" hidden="false" customHeight="false" outlineLevel="0" collapsed="false"/>
    <row r="118" customFormat="false" ht="13.5" hidden="false" customHeight="false" outlineLevel="0" collapsed="false">
      <c r="A118" s="357" t="s">
        <v>253</v>
      </c>
      <c r="B118" s="358" t="n">
        <f aca="false">ROW(A118)</f>
        <v>118</v>
      </c>
      <c r="C118" s="340" t="s">
        <v>212</v>
      </c>
      <c r="D118" s="341" t="n">
        <f aca="false">SUM(B121:Y121)</f>
        <v>26.0839825</v>
      </c>
      <c r="E118" s="340" t="s">
        <v>213</v>
      </c>
      <c r="F118" s="342" t="n">
        <f aca="false">D118/g/J118</f>
        <v>166.182355377166</v>
      </c>
      <c r="G118" s="340" t="s">
        <v>214</v>
      </c>
      <c r="H118" s="359" t="n">
        <v>0.052</v>
      </c>
      <c r="I118" s="340" t="s">
        <v>225</v>
      </c>
      <c r="J118" s="343" t="n">
        <f aca="false">H118-L118</f>
        <v>0.016</v>
      </c>
      <c r="K118" s="340" t="s">
        <v>226</v>
      </c>
      <c r="L118" s="359" t="n">
        <v>0.036</v>
      </c>
      <c r="M118" s="340" t="s">
        <v>217</v>
      </c>
      <c r="N118" s="372" t="n">
        <v>35</v>
      </c>
      <c r="O118" s="340" t="s">
        <v>218</v>
      </c>
      <c r="P118" s="372" t="n">
        <v>35</v>
      </c>
      <c r="Q118" s="340" t="s">
        <v>219</v>
      </c>
      <c r="R118" s="360" t="n">
        <v>69</v>
      </c>
      <c r="S118" s="340" t="s">
        <v>220</v>
      </c>
      <c r="T118" s="360" t="n">
        <v>24</v>
      </c>
      <c r="U118" s="340" t="s">
        <v>8</v>
      </c>
      <c r="V118" s="361" t="s">
        <v>250</v>
      </c>
      <c r="W118" s="346" t="s">
        <v>221</v>
      </c>
      <c r="X118" s="370" t="n">
        <v>0.85</v>
      </c>
      <c r="Y118" s="346" t="s">
        <v>222</v>
      </c>
      <c r="Z118" s="345" t="n">
        <v>15</v>
      </c>
    </row>
    <row r="119" customFormat="false" ht="12" hidden="false" customHeight="false" outlineLevel="0" collapsed="false">
      <c r="A119" s="338" t="s">
        <v>227</v>
      </c>
      <c r="B119" s="362" t="n">
        <v>0</v>
      </c>
      <c r="C119" s="363" t="n">
        <v>0.02</v>
      </c>
      <c r="D119" s="363" t="n">
        <v>0.027</v>
      </c>
      <c r="E119" s="363" t="n">
        <v>0.049</v>
      </c>
      <c r="F119" s="363" t="n">
        <v>0.113</v>
      </c>
      <c r="G119" s="363" t="n">
        <v>0.193</v>
      </c>
      <c r="H119" s="363" t="n">
        <v>0.282</v>
      </c>
      <c r="I119" s="363" t="n">
        <v>0.5</v>
      </c>
      <c r="J119" s="363" t="n">
        <v>0.727</v>
      </c>
      <c r="K119" s="363" t="n">
        <v>0.771</v>
      </c>
      <c r="L119" s="363" t="n">
        <v>0.807</v>
      </c>
      <c r="M119" s="363" t="n">
        <v>0.84</v>
      </c>
      <c r="N119" s="363" t="n">
        <v>0.87</v>
      </c>
      <c r="O119" s="373" t="n">
        <v>1</v>
      </c>
      <c r="P119" s="373" t="n">
        <v>1</v>
      </c>
      <c r="Q119" s="373" t="n">
        <v>1</v>
      </c>
      <c r="R119" s="373" t="n">
        <v>1</v>
      </c>
      <c r="S119" s="373" t="n">
        <v>1</v>
      </c>
      <c r="T119" s="373" t="n">
        <v>1</v>
      </c>
      <c r="U119" s="373" t="n">
        <v>1</v>
      </c>
      <c r="V119" s="373" t="n">
        <v>1</v>
      </c>
      <c r="W119" s="373" t="n">
        <v>1</v>
      </c>
      <c r="X119" s="373" t="n">
        <v>2</v>
      </c>
      <c r="Y119" s="374" t="n">
        <v>1000</v>
      </c>
    </row>
    <row r="120" customFormat="false" ht="12" hidden="false" customHeight="false" outlineLevel="0" collapsed="false">
      <c r="A120" s="364" t="s">
        <v>228</v>
      </c>
      <c r="B120" s="365" t="n">
        <v>0</v>
      </c>
      <c r="C120" s="366" t="n">
        <v>43.824</v>
      </c>
      <c r="D120" s="366" t="n">
        <v>39.964</v>
      </c>
      <c r="E120" s="366" t="n">
        <v>26.781</v>
      </c>
      <c r="F120" s="366" t="n">
        <v>32.601</v>
      </c>
      <c r="G120" s="366" t="n">
        <v>34.739</v>
      </c>
      <c r="H120" s="366" t="n">
        <v>35.808</v>
      </c>
      <c r="I120" s="366" t="n">
        <v>34.442</v>
      </c>
      <c r="J120" s="366" t="n">
        <v>29.276</v>
      </c>
      <c r="K120" s="366" t="n">
        <v>22.743</v>
      </c>
      <c r="L120" s="366" t="n">
        <v>9.561</v>
      </c>
      <c r="M120" s="366" t="n">
        <v>3.563</v>
      </c>
      <c r="N120" s="366" t="n">
        <v>0</v>
      </c>
      <c r="O120" s="375" t="n">
        <v>0</v>
      </c>
      <c r="P120" s="375" t="n">
        <v>0</v>
      </c>
      <c r="Q120" s="375" t="n">
        <v>0</v>
      </c>
      <c r="R120" s="375" t="n">
        <v>0</v>
      </c>
      <c r="S120" s="375" t="n">
        <v>0</v>
      </c>
      <c r="T120" s="375" t="n">
        <f aca="false">S120</f>
        <v>0</v>
      </c>
      <c r="U120" s="375" t="n">
        <f aca="false">T120</f>
        <v>0</v>
      </c>
      <c r="V120" s="375" t="n">
        <f aca="false">U120</f>
        <v>0</v>
      </c>
      <c r="W120" s="375" t="n">
        <f aca="false">V120</f>
        <v>0</v>
      </c>
      <c r="X120" s="375" t="n">
        <f aca="false">W120</f>
        <v>0</v>
      </c>
      <c r="Y120" s="376" t="n">
        <v>0</v>
      </c>
    </row>
    <row r="121" customFormat="false" ht="12.75" hidden="false" customHeight="false" outlineLevel="0" collapsed="false">
      <c r="A121" s="351" t="s">
        <v>229</v>
      </c>
      <c r="B121" s="368" t="n">
        <f aca="false">(C120+B120)*(C119-B119)/2</f>
        <v>0.43824</v>
      </c>
      <c r="C121" s="369" t="n">
        <f aca="false">(D120+C120)*(D119-C119)/2</f>
        <v>0.293258</v>
      </c>
      <c r="D121" s="369" t="n">
        <f aca="false">(E120+D120)*(E119-D119)/2</f>
        <v>0.734195</v>
      </c>
      <c r="E121" s="369" t="n">
        <f aca="false">(F120+E120)*(F119-E119)/2</f>
        <v>1.900224</v>
      </c>
      <c r="F121" s="369" t="n">
        <f aca="false">(G120+F120)*(G119-F119)/2</f>
        <v>2.6936</v>
      </c>
      <c r="G121" s="369" t="n">
        <f aca="false">(H120+G120)*(H119-G119)/2</f>
        <v>3.1393415</v>
      </c>
      <c r="H121" s="369" t="n">
        <f aca="false">(I120+H120)*(I119-H119)/2</f>
        <v>7.65725</v>
      </c>
      <c r="I121" s="369" t="n">
        <f aca="false">(J120+I120)*(J119-I119)/2</f>
        <v>7.231993</v>
      </c>
      <c r="J121" s="369" t="n">
        <f aca="false">(K120+J120)*(K119-J119)/2</f>
        <v>1.144418</v>
      </c>
      <c r="K121" s="369" t="n">
        <f aca="false">(L120+K120)*(L119-K119)/2</f>
        <v>0.581472000000001</v>
      </c>
      <c r="L121" s="369" t="n">
        <f aca="false">(M120+L120)*(M119-L119)/2</f>
        <v>0.216545999999999</v>
      </c>
      <c r="M121" s="369" t="n">
        <f aca="false">(N120+M120)*(N119-M119)/2</f>
        <v>0.0534450000000001</v>
      </c>
      <c r="N121" s="369" t="n">
        <f aca="false">(O120+N120)*(O119-N119)/2</f>
        <v>0</v>
      </c>
      <c r="O121" s="369" t="n">
        <f aca="false">(P120+O120)*(P119-O119)/2</f>
        <v>0</v>
      </c>
      <c r="P121" s="369" t="n">
        <f aca="false">(Q120+P120)*(Q119-P119)/2</f>
        <v>0</v>
      </c>
      <c r="Q121" s="369" t="n">
        <f aca="false">(R120+Q120)*(R119-Q119)/2</f>
        <v>0</v>
      </c>
      <c r="R121" s="369" t="n">
        <f aca="false">(S120+R120)*(S119-R119)/2</f>
        <v>0</v>
      </c>
      <c r="S121" s="369" t="n">
        <f aca="false">(T120+S120)*(T119-S119)/2</f>
        <v>0</v>
      </c>
      <c r="T121" s="369" t="n">
        <f aca="false">(U120+T120)*(U119-T119)/2</f>
        <v>0</v>
      </c>
      <c r="U121" s="369" t="n">
        <f aca="false">(V120+U120)*(V119-U119)/2</f>
        <v>0</v>
      </c>
      <c r="V121" s="369" t="n">
        <f aca="false">(W120+V120)*(W119-V119)/2</f>
        <v>0</v>
      </c>
      <c r="W121" s="369" t="n">
        <f aca="false">(X120+W120)*(X119-W119)/2</f>
        <v>0</v>
      </c>
      <c r="X121" s="369" t="n">
        <f aca="false">(Y120+X120)*(Y119-X119)/2</f>
        <v>0</v>
      </c>
      <c r="Y121" s="354"/>
    </row>
    <row r="122" customFormat="false" ht="13.5" hidden="false" customHeight="false" outlineLevel="0" collapsed="false">
      <c r="A122" s="356" t="s">
        <v>254</v>
      </c>
    </row>
    <row r="123" customFormat="false" ht="13.5" hidden="false" customHeight="false" outlineLevel="0" collapsed="false">
      <c r="A123" s="357" t="s">
        <v>255</v>
      </c>
      <c r="B123" s="358" t="n">
        <f aca="false">ROW(A123)</f>
        <v>123</v>
      </c>
      <c r="C123" s="340" t="s">
        <v>212</v>
      </c>
      <c r="D123" s="341" t="n">
        <f aca="false">SUM(B126:Y126)</f>
        <v>49.7887655</v>
      </c>
      <c r="E123" s="340" t="s">
        <v>213</v>
      </c>
      <c r="F123" s="342" t="n">
        <v>231</v>
      </c>
      <c r="G123" s="340" t="s">
        <v>214</v>
      </c>
      <c r="H123" s="359" t="n">
        <v>0.073</v>
      </c>
      <c r="I123" s="340" t="s">
        <v>225</v>
      </c>
      <c r="J123" s="343" t="n">
        <f aca="false">H123-L123</f>
        <v>0.028</v>
      </c>
      <c r="K123" s="340" t="s">
        <v>226</v>
      </c>
      <c r="L123" s="359" t="n">
        <v>0.045</v>
      </c>
      <c r="M123" s="340" t="s">
        <v>217</v>
      </c>
      <c r="N123" s="372" t="n">
        <v>50</v>
      </c>
      <c r="O123" s="340" t="s">
        <v>218</v>
      </c>
      <c r="P123" s="372" t="n">
        <v>50</v>
      </c>
      <c r="Q123" s="340" t="s">
        <v>219</v>
      </c>
      <c r="R123" s="360" t="n">
        <v>101</v>
      </c>
      <c r="S123" s="340" t="s">
        <v>220</v>
      </c>
      <c r="T123" s="360" t="n">
        <v>24</v>
      </c>
      <c r="U123" s="340" t="s">
        <v>8</v>
      </c>
      <c r="V123" s="361" t="s">
        <v>256</v>
      </c>
      <c r="W123" s="346" t="s">
        <v>221</v>
      </c>
      <c r="X123" s="370" t="n">
        <v>1</v>
      </c>
      <c r="Y123" s="346" t="s">
        <v>222</v>
      </c>
      <c r="Z123" s="345" t="n">
        <v>13</v>
      </c>
    </row>
    <row r="124" customFormat="false" ht="12" hidden="false" customHeight="false" outlineLevel="0" collapsed="false">
      <c r="A124" s="338" t="s">
        <v>227</v>
      </c>
      <c r="B124" s="377" t="n">
        <v>0</v>
      </c>
      <c r="C124" s="377" t="n">
        <v>0.001</v>
      </c>
      <c r="D124" s="377" t="n">
        <v>0.027</v>
      </c>
      <c r="E124" s="377" t="n">
        <v>0.051</v>
      </c>
      <c r="F124" s="377" t="n">
        <v>0.06</v>
      </c>
      <c r="G124" s="377" t="n">
        <v>0.092</v>
      </c>
      <c r="H124" s="377" t="n">
        <v>0.119</v>
      </c>
      <c r="I124" s="377" t="n">
        <v>0.17</v>
      </c>
      <c r="J124" s="377" t="n">
        <v>0.3</v>
      </c>
      <c r="K124" s="377" t="n">
        <v>0.462</v>
      </c>
      <c r="L124" s="377" t="n">
        <v>0.569</v>
      </c>
      <c r="M124" s="377" t="n">
        <v>0.675</v>
      </c>
      <c r="N124" s="377" t="n">
        <v>0.778</v>
      </c>
      <c r="O124" s="377" t="n">
        <v>0.846</v>
      </c>
      <c r="P124" s="377" t="n">
        <v>0.917</v>
      </c>
      <c r="Q124" s="377" t="n">
        <v>1.009</v>
      </c>
      <c r="R124" s="377" t="n">
        <v>1.032</v>
      </c>
      <c r="S124" s="377" t="n">
        <v>1.045</v>
      </c>
      <c r="T124" s="373" t="n">
        <v>2</v>
      </c>
      <c r="U124" s="373" t="n">
        <v>2</v>
      </c>
      <c r="V124" s="373" t="n">
        <v>2</v>
      </c>
      <c r="W124" s="373" t="n">
        <v>2</v>
      </c>
      <c r="X124" s="373" t="n">
        <v>2</v>
      </c>
      <c r="Y124" s="374" t="n">
        <v>1000</v>
      </c>
    </row>
    <row r="125" customFormat="false" ht="12" hidden="false" customHeight="false" outlineLevel="0" collapsed="false">
      <c r="A125" s="364" t="s">
        <v>228</v>
      </c>
      <c r="B125" s="377" t="n">
        <v>0</v>
      </c>
      <c r="C125" s="377" t="n">
        <v>5.145</v>
      </c>
      <c r="D125" s="377" t="n">
        <v>67.976</v>
      </c>
      <c r="E125" s="377" t="n">
        <v>53.807</v>
      </c>
      <c r="F125" s="377" t="n">
        <v>52.88</v>
      </c>
      <c r="G125" s="377" t="n">
        <v>55.916</v>
      </c>
      <c r="H125" s="377" t="n">
        <v>57.94</v>
      </c>
      <c r="I125" s="377" t="n">
        <v>59.711</v>
      </c>
      <c r="J125" s="377" t="n">
        <v>61.145</v>
      </c>
      <c r="K125" s="377" t="n">
        <v>58.952</v>
      </c>
      <c r="L125" s="377" t="n">
        <v>55.578</v>
      </c>
      <c r="M125" s="377" t="n">
        <v>52.205</v>
      </c>
      <c r="N125" s="377" t="n">
        <v>46.386</v>
      </c>
      <c r="O125" s="377" t="n">
        <v>38.12</v>
      </c>
      <c r="P125" s="377" t="n">
        <v>20.325</v>
      </c>
      <c r="Q125" s="377" t="n">
        <v>3.542</v>
      </c>
      <c r="R125" s="377" t="n">
        <v>1.602</v>
      </c>
      <c r="S125" s="377" t="n">
        <v>0</v>
      </c>
      <c r="T125" s="375" t="n">
        <f aca="false">S125</f>
        <v>0</v>
      </c>
      <c r="U125" s="375" t="n">
        <f aca="false">T125</f>
        <v>0</v>
      </c>
      <c r="V125" s="375" t="n">
        <f aca="false">U125</f>
        <v>0</v>
      </c>
      <c r="W125" s="375" t="n">
        <f aca="false">V125</f>
        <v>0</v>
      </c>
      <c r="X125" s="375" t="n">
        <f aca="false">W125</f>
        <v>0</v>
      </c>
      <c r="Y125" s="376" t="n">
        <v>0</v>
      </c>
    </row>
    <row r="126" customFormat="false" ht="12.75" hidden="false" customHeight="false" outlineLevel="0" collapsed="false">
      <c r="A126" s="351" t="s">
        <v>229</v>
      </c>
      <c r="B126" s="368" t="n">
        <f aca="false">(C125+B125)*(C124-B124)/2</f>
        <v>0.0025725</v>
      </c>
      <c r="C126" s="369" t="n">
        <f aca="false">(D125+C125)*(D124-C124)/2</f>
        <v>0.950573</v>
      </c>
      <c r="D126" s="369" t="n">
        <f aca="false">(E125+D125)*(E124-D124)/2</f>
        <v>1.461396</v>
      </c>
      <c r="E126" s="369" t="n">
        <f aca="false">(F125+E125)*(F124-E124)/2</f>
        <v>0.4800915</v>
      </c>
      <c r="F126" s="369" t="n">
        <f aca="false">(G125+F125)*(G124-F124)/2</f>
        <v>1.740736</v>
      </c>
      <c r="G126" s="369" t="n">
        <f aca="false">(H125+G125)*(H124-G124)/2</f>
        <v>1.537056</v>
      </c>
      <c r="H126" s="369" t="n">
        <f aca="false">(I125+H125)*(I124-H124)/2</f>
        <v>3.0001005</v>
      </c>
      <c r="I126" s="369" t="n">
        <f aca="false">(J125+I125)*(J124-I124)/2</f>
        <v>7.85564</v>
      </c>
      <c r="J126" s="369" t="n">
        <f aca="false">(K125+J125)*(K124-J124)/2</f>
        <v>9.727857</v>
      </c>
      <c r="K126" s="369" t="n">
        <f aca="false">(L125+K125)*(L124-K124)/2</f>
        <v>6.127355</v>
      </c>
      <c r="L126" s="369" t="n">
        <f aca="false">(M125+L125)*(M124-L124)/2</f>
        <v>5.71249900000001</v>
      </c>
      <c r="M126" s="369" t="n">
        <f aca="false">(N125+M125)*(N124-M124)/2</f>
        <v>5.0774365</v>
      </c>
      <c r="N126" s="369" t="n">
        <f aca="false">(O125+N125)*(O124-N124)/2</f>
        <v>2.873204</v>
      </c>
      <c r="O126" s="369" t="n">
        <f aca="false">(P125+O125)*(P124-O124)/2</f>
        <v>2.0747975</v>
      </c>
      <c r="P126" s="369" t="n">
        <f aca="false">(Q125+P125)*(Q124-P124)/2</f>
        <v>1.097882</v>
      </c>
      <c r="Q126" s="369" t="n">
        <f aca="false">(R125+Q125)*(R124-Q124)/2</f>
        <v>0.0591560000000003</v>
      </c>
      <c r="R126" s="369" t="n">
        <f aca="false">(S125+R125)*(S124-R124)/2</f>
        <v>0.0104129999999999</v>
      </c>
      <c r="S126" s="369" t="n">
        <f aca="false">(T125+S125)*(T124-S124)/2</f>
        <v>0</v>
      </c>
      <c r="T126" s="369" t="n">
        <f aca="false">(U125+T125)*(U124-T124)/2</f>
        <v>0</v>
      </c>
      <c r="U126" s="369" t="n">
        <f aca="false">(V125+U125)*(V124-U124)/2</f>
        <v>0</v>
      </c>
      <c r="V126" s="369" t="n">
        <f aca="false">(W125+V125)*(W124-V124)/2</f>
        <v>0</v>
      </c>
      <c r="W126" s="369" t="n">
        <f aca="false">(X125+W125)*(X124-W124)/2</f>
        <v>0</v>
      </c>
      <c r="X126" s="369" t="n">
        <f aca="false">(Y125+X125)*(Y124-X124)/2</f>
        <v>0</v>
      </c>
      <c r="Y126" s="354"/>
    </row>
    <row r="127" customFormat="false" ht="12.75" hidden="false" customHeight="false" outlineLevel="0" collapsed="false"/>
    <row r="128" customFormat="false" ht="13.5" hidden="false" customHeight="false" outlineLevel="0" collapsed="false">
      <c r="A128" s="357" t="s">
        <v>257</v>
      </c>
      <c r="B128" s="358" t="n">
        <f aca="false">ROW(A128)</f>
        <v>128</v>
      </c>
      <c r="C128" s="340" t="s">
        <v>212</v>
      </c>
      <c r="D128" s="341" t="n">
        <f aca="false">SUM(B131:Y131)</f>
        <v>52.815674</v>
      </c>
      <c r="E128" s="340" t="s">
        <v>213</v>
      </c>
      <c r="F128" s="342" t="n">
        <v>239</v>
      </c>
      <c r="G128" s="340" t="s">
        <v>214</v>
      </c>
      <c r="H128" s="359" t="n">
        <v>0.073</v>
      </c>
      <c r="I128" s="340" t="s">
        <v>225</v>
      </c>
      <c r="J128" s="343" t="n">
        <f aca="false">H128-L128</f>
        <v>0.029</v>
      </c>
      <c r="K128" s="340" t="s">
        <v>226</v>
      </c>
      <c r="L128" s="359" t="n">
        <v>0.044</v>
      </c>
      <c r="M128" s="340" t="s">
        <v>217</v>
      </c>
      <c r="N128" s="372" t="n">
        <v>50</v>
      </c>
      <c r="O128" s="340" t="s">
        <v>218</v>
      </c>
      <c r="P128" s="372" t="n">
        <v>50</v>
      </c>
      <c r="Q128" s="340" t="s">
        <v>219</v>
      </c>
      <c r="R128" s="360" t="n">
        <v>101</v>
      </c>
      <c r="S128" s="340" t="s">
        <v>220</v>
      </c>
      <c r="T128" s="360" t="n">
        <v>24</v>
      </c>
      <c r="U128" s="340" t="s">
        <v>8</v>
      </c>
      <c r="V128" s="361" t="s">
        <v>256</v>
      </c>
      <c r="W128" s="346" t="s">
        <v>221</v>
      </c>
      <c r="X128" s="370" t="n">
        <v>0.77</v>
      </c>
      <c r="Y128" s="346" t="s">
        <v>222</v>
      </c>
      <c r="Z128" s="345" t="n">
        <v>14</v>
      </c>
    </row>
    <row r="129" customFormat="false" ht="12" hidden="false" customHeight="false" outlineLevel="0" collapsed="false">
      <c r="A129" s="338" t="s">
        <v>227</v>
      </c>
      <c r="B129" s="377" t="n">
        <v>0</v>
      </c>
      <c r="C129" s="377" t="n">
        <v>0.001</v>
      </c>
      <c r="D129" s="377" t="n">
        <v>0.013</v>
      </c>
      <c r="E129" s="377" t="n">
        <v>0.023</v>
      </c>
      <c r="F129" s="377" t="n">
        <v>0.052</v>
      </c>
      <c r="G129" s="377" t="n">
        <v>0.1</v>
      </c>
      <c r="H129" s="377" t="n">
        <v>0.379</v>
      </c>
      <c r="I129" s="377" t="n">
        <v>0.641</v>
      </c>
      <c r="J129" s="377" t="n">
        <v>0.665</v>
      </c>
      <c r="K129" s="377" t="n">
        <v>0.706</v>
      </c>
      <c r="L129" s="377" t="n">
        <v>0.744</v>
      </c>
      <c r="M129" s="377" t="n">
        <v>0.787</v>
      </c>
      <c r="N129" s="377" t="n">
        <v>0.816</v>
      </c>
      <c r="O129" s="363" t="n">
        <v>1</v>
      </c>
      <c r="P129" s="363" t="n">
        <v>1</v>
      </c>
      <c r="Q129" s="363" t="n">
        <v>1</v>
      </c>
      <c r="R129" s="363" t="n">
        <v>1</v>
      </c>
      <c r="S129" s="363" t="n">
        <v>1</v>
      </c>
      <c r="T129" s="363" t="n">
        <v>1</v>
      </c>
      <c r="U129" s="363" t="n">
        <v>1</v>
      </c>
      <c r="V129" s="373" t="n">
        <v>1</v>
      </c>
      <c r="W129" s="373" t="n">
        <v>2</v>
      </c>
      <c r="X129" s="373" t="n">
        <v>2</v>
      </c>
      <c r="Y129" s="374" t="n">
        <v>1000</v>
      </c>
    </row>
    <row r="130" customFormat="false" ht="12" hidden="false" customHeight="false" outlineLevel="0" collapsed="false">
      <c r="A130" s="364" t="s">
        <v>228</v>
      </c>
      <c r="B130" s="377" t="n">
        <v>0</v>
      </c>
      <c r="C130" s="377" t="n">
        <v>8.303</v>
      </c>
      <c r="D130" s="377" t="n">
        <v>85.68</v>
      </c>
      <c r="E130" s="377" t="n">
        <v>96.149</v>
      </c>
      <c r="F130" s="377" t="n">
        <v>78.821</v>
      </c>
      <c r="G130" s="377" t="n">
        <v>83.634</v>
      </c>
      <c r="H130" s="377" t="n">
        <v>77.858</v>
      </c>
      <c r="I130" s="377" t="n">
        <v>62.575</v>
      </c>
      <c r="J130" s="377" t="n">
        <v>55.716</v>
      </c>
      <c r="K130" s="377" t="n">
        <v>23.947</v>
      </c>
      <c r="L130" s="377" t="n">
        <v>9.146</v>
      </c>
      <c r="M130" s="377" t="n">
        <v>2.768</v>
      </c>
      <c r="N130" s="377" t="n">
        <v>0</v>
      </c>
      <c r="O130" s="366" t="n">
        <v>0</v>
      </c>
      <c r="P130" s="366" t="n">
        <v>0</v>
      </c>
      <c r="Q130" s="366" t="n">
        <v>0</v>
      </c>
      <c r="R130" s="366" t="n">
        <v>0</v>
      </c>
      <c r="S130" s="366" t="n">
        <v>0</v>
      </c>
      <c r="T130" s="366" t="n">
        <v>0</v>
      </c>
      <c r="U130" s="366" t="n">
        <v>0</v>
      </c>
      <c r="V130" s="375" t="n">
        <f aca="false">U130</f>
        <v>0</v>
      </c>
      <c r="W130" s="375" t="n">
        <f aca="false">V130</f>
        <v>0</v>
      </c>
      <c r="X130" s="375" t="n">
        <f aca="false">W130</f>
        <v>0</v>
      </c>
      <c r="Y130" s="376" t="n">
        <v>0</v>
      </c>
    </row>
    <row r="131" customFormat="false" ht="12.75" hidden="false" customHeight="false" outlineLevel="0" collapsed="false">
      <c r="A131" s="351" t="s">
        <v>229</v>
      </c>
      <c r="B131" s="368" t="n">
        <f aca="false">(C130+B130)*(C129-B129)/2</f>
        <v>0.0041515</v>
      </c>
      <c r="C131" s="369" t="n">
        <f aca="false">(D130+C130)*(D129-C129)/2</f>
        <v>0.563898</v>
      </c>
      <c r="D131" s="369" t="n">
        <f aca="false">(E130+D130)*(E129-D129)/2</f>
        <v>0.909145</v>
      </c>
      <c r="E131" s="369" t="n">
        <f aca="false">(F130+E130)*(F129-E129)/2</f>
        <v>2.537065</v>
      </c>
      <c r="F131" s="369" t="n">
        <f aca="false">(G130+F130)*(G129-F129)/2</f>
        <v>3.89892</v>
      </c>
      <c r="G131" s="369" t="n">
        <f aca="false">(H130+G130)*(H129-G129)/2</f>
        <v>22.528134</v>
      </c>
      <c r="H131" s="369" t="n">
        <f aca="false">(I130+H130)*(I129-H129)/2</f>
        <v>18.396723</v>
      </c>
      <c r="I131" s="369" t="n">
        <f aca="false">(J130+I130)*(J129-I129)/2</f>
        <v>1.419492</v>
      </c>
      <c r="J131" s="369" t="n">
        <f aca="false">(K130+J130)*(K129-J129)/2</f>
        <v>1.6330915</v>
      </c>
      <c r="K131" s="369" t="n">
        <f aca="false">(L130+K130)*(L129-K129)/2</f>
        <v>0.628767000000001</v>
      </c>
      <c r="L131" s="369" t="n">
        <f aca="false">(M130+L130)*(M129-L129)/2</f>
        <v>0.256151</v>
      </c>
      <c r="M131" s="369" t="n">
        <f aca="false">(N130+M130)*(N129-M129)/2</f>
        <v>0.0401359999999999</v>
      </c>
      <c r="N131" s="369" t="n">
        <f aca="false">(O130+N130)*(O129-N129)/2</f>
        <v>0</v>
      </c>
      <c r="O131" s="369" t="n">
        <f aca="false">(P130+O130)*(P129-O129)/2</f>
        <v>0</v>
      </c>
      <c r="P131" s="369" t="n">
        <f aca="false">(Q130+P130)*(Q129-P129)/2</f>
        <v>0</v>
      </c>
      <c r="Q131" s="369" t="n">
        <f aca="false">(R130+Q130)*(R129-Q129)/2</f>
        <v>0</v>
      </c>
      <c r="R131" s="369" t="n">
        <f aca="false">(S130+R130)*(S129-R129)/2</f>
        <v>0</v>
      </c>
      <c r="S131" s="369" t="n">
        <f aca="false">(T130+S130)*(T129-S129)/2</f>
        <v>0</v>
      </c>
      <c r="T131" s="369" t="n">
        <f aca="false">(U130+T130)*(U129-T129)/2</f>
        <v>0</v>
      </c>
      <c r="U131" s="369" t="n">
        <f aca="false">(V130+U130)*(V129-U129)/2</f>
        <v>0</v>
      </c>
      <c r="V131" s="369" t="n">
        <f aca="false">(W130+V130)*(W129-V129)/2</f>
        <v>0</v>
      </c>
      <c r="W131" s="369" t="n">
        <f aca="false">(X130+W130)*(X129-W129)/2</f>
        <v>0</v>
      </c>
      <c r="X131" s="369" t="n">
        <f aca="false">(Y130+X130)*(Y129-X129)/2</f>
        <v>0</v>
      </c>
      <c r="Y131" s="354"/>
    </row>
    <row r="132" customFormat="false" ht="13.5" hidden="false" customHeight="false" outlineLevel="0" collapsed="false">
      <c r="A132" s="356" t="s">
        <v>258</v>
      </c>
    </row>
    <row r="133" customFormat="false" ht="13.5" hidden="false" customHeight="false" outlineLevel="0" collapsed="false">
      <c r="A133" s="357" t="s">
        <v>259</v>
      </c>
      <c r="B133" s="358" t="n">
        <f aca="false">ROW(A133)</f>
        <v>133</v>
      </c>
      <c r="C133" s="340" t="s">
        <v>212</v>
      </c>
      <c r="D133" s="341" t="n">
        <f aca="false">SUM(B136:Y136)</f>
        <v>41.835</v>
      </c>
      <c r="E133" s="340" t="s">
        <v>213</v>
      </c>
      <c r="F133" s="342" t="n">
        <f aca="false">D133/g/J133</f>
        <v>121.843599825251</v>
      </c>
      <c r="G133" s="340" t="s">
        <v>214</v>
      </c>
      <c r="H133" s="359" t="n">
        <v>0.104</v>
      </c>
      <c r="I133" s="340" t="s">
        <v>225</v>
      </c>
      <c r="J133" s="343" t="n">
        <f aca="false">H133-L133</f>
        <v>0.035</v>
      </c>
      <c r="K133" s="340" t="s">
        <v>226</v>
      </c>
      <c r="L133" s="359" t="n">
        <v>0.069</v>
      </c>
      <c r="M133" s="340" t="s">
        <v>217</v>
      </c>
      <c r="N133" s="360" t="n">
        <v>49</v>
      </c>
      <c r="O133" s="340" t="s">
        <v>218</v>
      </c>
      <c r="P133" s="360" t="n">
        <v>49</v>
      </c>
      <c r="Q133" s="340" t="s">
        <v>219</v>
      </c>
      <c r="R133" s="360" t="n">
        <v>98</v>
      </c>
      <c r="S133" s="340" t="s">
        <v>220</v>
      </c>
      <c r="T133" s="360" t="n">
        <v>29</v>
      </c>
      <c r="U133" s="340" t="s">
        <v>8</v>
      </c>
      <c r="V133" s="361" t="s">
        <v>250</v>
      </c>
      <c r="W133" s="346" t="s">
        <v>221</v>
      </c>
      <c r="X133" s="370" t="n">
        <v>1.07</v>
      </c>
      <c r="Y133" s="346" t="s">
        <v>222</v>
      </c>
      <c r="Z133" s="345" t="n">
        <v>11</v>
      </c>
    </row>
    <row r="134" customFormat="false" ht="12" hidden="false" customHeight="false" outlineLevel="0" collapsed="false">
      <c r="A134" s="338" t="s">
        <v>227</v>
      </c>
      <c r="B134" s="378" t="n">
        <v>0</v>
      </c>
      <c r="C134" s="373" t="n">
        <v>0.01</v>
      </c>
      <c r="D134" s="373" t="n">
        <v>0.02</v>
      </c>
      <c r="E134" s="373" t="n">
        <v>0.03</v>
      </c>
      <c r="F134" s="373" t="n">
        <v>0.04</v>
      </c>
      <c r="G134" s="373" t="n">
        <v>0.06</v>
      </c>
      <c r="H134" s="373" t="n">
        <v>0.07</v>
      </c>
      <c r="I134" s="373" t="n">
        <v>0.08</v>
      </c>
      <c r="J134" s="373" t="n">
        <v>0.1</v>
      </c>
      <c r="K134" s="373" t="n">
        <v>0.2</v>
      </c>
      <c r="L134" s="373" t="n">
        <v>0.3</v>
      </c>
      <c r="M134" s="373" t="n">
        <v>0.4</v>
      </c>
      <c r="N134" s="373" t="n">
        <v>0.5</v>
      </c>
      <c r="O134" s="373" t="n">
        <v>0.6</v>
      </c>
      <c r="P134" s="373" t="n">
        <v>0.7</v>
      </c>
      <c r="Q134" s="373" t="n">
        <v>0.8</v>
      </c>
      <c r="R134" s="373" t="n">
        <v>0.85</v>
      </c>
      <c r="S134" s="373" t="n">
        <v>0.92</v>
      </c>
      <c r="T134" s="373" t="n">
        <v>0.95</v>
      </c>
      <c r="U134" s="373" t="n">
        <v>0.99</v>
      </c>
      <c r="V134" s="373" t="n">
        <v>1.05</v>
      </c>
      <c r="W134" s="373" t="n">
        <v>1.05</v>
      </c>
      <c r="X134" s="373" t="n">
        <v>2</v>
      </c>
      <c r="Y134" s="374" t="n">
        <v>1000</v>
      </c>
    </row>
    <row r="135" customFormat="false" ht="12" hidden="false" customHeight="false" outlineLevel="0" collapsed="false">
      <c r="A135" s="364" t="s">
        <v>228</v>
      </c>
      <c r="B135" s="379" t="n">
        <v>0</v>
      </c>
      <c r="C135" s="375" t="n">
        <v>12</v>
      </c>
      <c r="D135" s="375" t="n">
        <v>46</v>
      </c>
      <c r="E135" s="375" t="n">
        <v>75</v>
      </c>
      <c r="F135" s="375" t="n">
        <v>79</v>
      </c>
      <c r="G135" s="375" t="n">
        <v>77</v>
      </c>
      <c r="H135" s="375" t="n">
        <v>62</v>
      </c>
      <c r="I135" s="375" t="n">
        <v>32</v>
      </c>
      <c r="J135" s="375" t="n">
        <v>35</v>
      </c>
      <c r="K135" s="375" t="n">
        <v>38</v>
      </c>
      <c r="L135" s="375" t="n">
        <v>39</v>
      </c>
      <c r="M135" s="375" t="n">
        <v>41</v>
      </c>
      <c r="N135" s="375" t="n">
        <v>43</v>
      </c>
      <c r="O135" s="375" t="n">
        <v>43</v>
      </c>
      <c r="P135" s="375" t="n">
        <v>43</v>
      </c>
      <c r="Q135" s="375" t="n">
        <v>43</v>
      </c>
      <c r="R135" s="375" t="n">
        <v>47</v>
      </c>
      <c r="S135" s="375" t="n">
        <v>54</v>
      </c>
      <c r="T135" s="375" t="n">
        <v>32</v>
      </c>
      <c r="U135" s="375" t="n">
        <v>8</v>
      </c>
      <c r="V135" s="375" t="n">
        <v>0</v>
      </c>
      <c r="W135" s="375" t="n">
        <v>0</v>
      </c>
      <c r="X135" s="375" t="n">
        <v>0</v>
      </c>
      <c r="Y135" s="376" t="n">
        <v>0</v>
      </c>
    </row>
    <row r="136" customFormat="false" ht="12.75" hidden="false" customHeight="false" outlineLevel="0" collapsed="false">
      <c r="A136" s="351" t="s">
        <v>229</v>
      </c>
      <c r="B136" s="368" t="n">
        <f aca="false">(C135+B135)*(C134-B134)/2</f>
        <v>0.06</v>
      </c>
      <c r="C136" s="369" t="n">
        <f aca="false">(D135+C135)*(D134-C134)/2</f>
        <v>0.29</v>
      </c>
      <c r="D136" s="369" t="n">
        <f aca="false">(E135+D135)*(E134-D134)/2</f>
        <v>0.605</v>
      </c>
      <c r="E136" s="369" t="n">
        <f aca="false">(F135+E135)*(F134-E134)/2</f>
        <v>0.77</v>
      </c>
      <c r="F136" s="369" t="n">
        <f aca="false">(G135+F135)*(G134-F134)/2</f>
        <v>1.56</v>
      </c>
      <c r="G136" s="369" t="n">
        <f aca="false">(H135+G135)*(H134-G134)/2</f>
        <v>0.695000000000001</v>
      </c>
      <c r="H136" s="369" t="n">
        <f aca="false">(I135+H135)*(I134-H134)/2</f>
        <v>0.47</v>
      </c>
      <c r="I136" s="369" t="n">
        <f aca="false">(J135+I135)*(J134-I134)/2</f>
        <v>0.67</v>
      </c>
      <c r="J136" s="369" t="n">
        <f aca="false">(K135+J135)*(K134-J134)/2</f>
        <v>3.65</v>
      </c>
      <c r="K136" s="369" t="n">
        <f aca="false">(L135+K135)*(L134-K134)/2</f>
        <v>3.85</v>
      </c>
      <c r="L136" s="369" t="n">
        <f aca="false">(M135+L135)*(M134-L134)/2</f>
        <v>4</v>
      </c>
      <c r="M136" s="369" t="n">
        <f aca="false">(N135+M135)*(N134-M134)/2</f>
        <v>4.2</v>
      </c>
      <c r="N136" s="369" t="n">
        <f aca="false">(O135+N135)*(O134-N134)/2</f>
        <v>4.3</v>
      </c>
      <c r="O136" s="369" t="n">
        <f aca="false">(P135+O135)*(P134-O134)/2</f>
        <v>4.3</v>
      </c>
      <c r="P136" s="369" t="n">
        <f aca="false">(Q135+P135)*(Q134-P134)/2</f>
        <v>4.3</v>
      </c>
      <c r="Q136" s="369" t="n">
        <f aca="false">(R135+Q135)*(R134-Q134)/2</f>
        <v>2.25</v>
      </c>
      <c r="R136" s="369" t="n">
        <f aca="false">(S135+R135)*(S134-R134)/2</f>
        <v>3.535</v>
      </c>
      <c r="S136" s="369" t="n">
        <f aca="false">(T135+S135)*(T134-S134)/2</f>
        <v>1.29</v>
      </c>
      <c r="T136" s="369" t="n">
        <f aca="false">(U135+T135)*(U134-T134)/2</f>
        <v>0.800000000000001</v>
      </c>
      <c r="U136" s="369" t="n">
        <f aca="false">(V135+U135)*(V134-U134)/2</f>
        <v>0.24</v>
      </c>
      <c r="V136" s="369" t="n">
        <f aca="false">(W135+V135)*(W134-V134)/2</f>
        <v>0</v>
      </c>
      <c r="W136" s="369" t="n">
        <f aca="false">(X135+W135)*(X134-W134)/2</f>
        <v>0</v>
      </c>
      <c r="X136" s="369" t="n">
        <f aca="false">(Y135+X135)*(Y134-X134)/2</f>
        <v>0</v>
      </c>
      <c r="Y136" s="354"/>
    </row>
    <row r="137" customFormat="false" ht="12.75" hidden="false" customHeight="false" outlineLevel="0" collapsed="false">
      <c r="B137" s="355"/>
      <c r="C137" s="355"/>
      <c r="D137" s="355"/>
      <c r="E137" s="355"/>
      <c r="F137" s="355"/>
      <c r="G137" s="355"/>
      <c r="H137" s="355"/>
      <c r="I137" s="355"/>
      <c r="J137" s="355"/>
      <c r="K137" s="355"/>
      <c r="L137" s="355"/>
      <c r="M137" s="355"/>
      <c r="N137" s="355"/>
      <c r="O137" s="355"/>
      <c r="P137" s="355"/>
      <c r="Q137" s="355"/>
      <c r="R137" s="355"/>
      <c r="S137" s="355"/>
      <c r="T137" s="355"/>
      <c r="U137" s="355"/>
      <c r="V137" s="355"/>
      <c r="W137" s="355"/>
      <c r="X137" s="355"/>
      <c r="Y137" s="355"/>
    </row>
    <row r="138" customFormat="false" ht="13.5" hidden="false" customHeight="false" outlineLevel="0" collapsed="false">
      <c r="A138" s="357" t="s">
        <v>260</v>
      </c>
      <c r="B138" s="358" t="n">
        <f aca="false">ROW(A138)</f>
        <v>138</v>
      </c>
      <c r="C138" s="340" t="s">
        <v>212</v>
      </c>
      <c r="D138" s="341" t="n">
        <f aca="false">SUM(B141:Y141)</f>
        <v>52.565</v>
      </c>
      <c r="E138" s="340" t="s">
        <v>213</v>
      </c>
      <c r="F138" s="342" t="n">
        <f aca="false">D138/g/J138</f>
        <v>167.447120285423</v>
      </c>
      <c r="G138" s="340" t="s">
        <v>214</v>
      </c>
      <c r="H138" s="359" t="n">
        <v>0.101</v>
      </c>
      <c r="I138" s="340" t="s">
        <v>225</v>
      </c>
      <c r="J138" s="343" t="n">
        <f aca="false">H138-L138</f>
        <v>0.032</v>
      </c>
      <c r="K138" s="340" t="s">
        <v>226</v>
      </c>
      <c r="L138" s="359" t="n">
        <v>0.069</v>
      </c>
      <c r="M138" s="340" t="s">
        <v>217</v>
      </c>
      <c r="N138" s="360" t="n">
        <v>49</v>
      </c>
      <c r="O138" s="340" t="s">
        <v>218</v>
      </c>
      <c r="P138" s="360" t="n">
        <v>49</v>
      </c>
      <c r="Q138" s="340" t="s">
        <v>219</v>
      </c>
      <c r="R138" s="360" t="n">
        <v>98</v>
      </c>
      <c r="S138" s="340" t="s">
        <v>220</v>
      </c>
      <c r="T138" s="360" t="n">
        <v>29</v>
      </c>
      <c r="U138" s="340" t="s">
        <v>8</v>
      </c>
      <c r="V138" s="361" t="s">
        <v>252</v>
      </c>
      <c r="W138" s="346" t="s">
        <v>221</v>
      </c>
      <c r="X138" s="370" t="n">
        <v>1.8</v>
      </c>
      <c r="Y138" s="346" t="s">
        <v>222</v>
      </c>
      <c r="Z138" s="345" t="n">
        <v>12</v>
      </c>
    </row>
    <row r="139" customFormat="false" ht="12" hidden="false" customHeight="false" outlineLevel="0" collapsed="false">
      <c r="A139" s="338" t="s">
        <v>227</v>
      </c>
      <c r="B139" s="378" t="n">
        <v>0</v>
      </c>
      <c r="C139" s="373" t="n">
        <v>0.01</v>
      </c>
      <c r="D139" s="373" t="n">
        <v>0.03</v>
      </c>
      <c r="E139" s="373" t="n">
        <v>0.04</v>
      </c>
      <c r="F139" s="373" t="n">
        <v>0.05</v>
      </c>
      <c r="G139" s="373" t="n">
        <v>0.06</v>
      </c>
      <c r="H139" s="373" t="n">
        <v>0.07</v>
      </c>
      <c r="I139" s="373" t="n">
        <v>0.08</v>
      </c>
      <c r="J139" s="373" t="n">
        <v>0.09</v>
      </c>
      <c r="K139" s="373" t="n">
        <v>0.1</v>
      </c>
      <c r="L139" s="373" t="n">
        <v>0.2</v>
      </c>
      <c r="M139" s="373" t="n">
        <v>0.3</v>
      </c>
      <c r="N139" s="373" t="n">
        <v>0.4</v>
      </c>
      <c r="O139" s="373" t="n">
        <v>0.5</v>
      </c>
      <c r="P139" s="373" t="n">
        <v>0.7</v>
      </c>
      <c r="Q139" s="373" t="n">
        <v>0.8</v>
      </c>
      <c r="R139" s="373" t="n">
        <v>0.9</v>
      </c>
      <c r="S139" s="373" t="n">
        <v>1</v>
      </c>
      <c r="T139" s="373" t="n">
        <v>1.1</v>
      </c>
      <c r="U139" s="373" t="n">
        <v>1.24</v>
      </c>
      <c r="V139" s="373" t="n">
        <v>1.3</v>
      </c>
      <c r="W139" s="373" t="n">
        <v>1.5</v>
      </c>
      <c r="X139" s="373" t="n">
        <v>2</v>
      </c>
      <c r="Y139" s="374" t="n">
        <v>1000</v>
      </c>
    </row>
    <row r="140" customFormat="false" ht="12" hidden="false" customHeight="false" outlineLevel="0" collapsed="false">
      <c r="A140" s="364" t="s">
        <v>228</v>
      </c>
      <c r="B140" s="379" t="n">
        <v>0</v>
      </c>
      <c r="C140" s="375" t="n">
        <v>12</v>
      </c>
      <c r="D140" s="375" t="n">
        <v>41</v>
      </c>
      <c r="E140" s="375" t="n">
        <v>42</v>
      </c>
      <c r="F140" s="375" t="n">
        <v>42</v>
      </c>
      <c r="G140" s="375" t="n">
        <v>40</v>
      </c>
      <c r="H140" s="375" t="n">
        <v>34</v>
      </c>
      <c r="I140" s="375" t="n">
        <v>34</v>
      </c>
      <c r="J140" s="375" t="n">
        <v>35</v>
      </c>
      <c r="K140" s="375" t="n">
        <v>36</v>
      </c>
      <c r="L140" s="375" t="n">
        <v>40</v>
      </c>
      <c r="M140" s="375" t="n">
        <v>42</v>
      </c>
      <c r="N140" s="375" t="n">
        <v>43</v>
      </c>
      <c r="O140" s="375" t="n">
        <v>43</v>
      </c>
      <c r="P140" s="375" t="n">
        <v>43</v>
      </c>
      <c r="Q140" s="375" t="n">
        <v>42</v>
      </c>
      <c r="R140" s="375" t="n">
        <v>41</v>
      </c>
      <c r="S140" s="375" t="n">
        <v>40</v>
      </c>
      <c r="T140" s="375" t="n">
        <v>38</v>
      </c>
      <c r="U140" s="375" t="n">
        <v>37</v>
      </c>
      <c r="V140" s="375" t="n">
        <v>12</v>
      </c>
      <c r="W140" s="375" t="n">
        <v>0</v>
      </c>
      <c r="X140" s="375" t="n">
        <v>0</v>
      </c>
      <c r="Y140" s="376" t="n">
        <v>0</v>
      </c>
    </row>
    <row r="141" customFormat="false" ht="12.75" hidden="false" customHeight="false" outlineLevel="0" collapsed="false">
      <c r="A141" s="351" t="s">
        <v>229</v>
      </c>
      <c r="B141" s="368" t="n">
        <f aca="false">(C140+B140)*(C139-B139)/2</f>
        <v>0.06</v>
      </c>
      <c r="C141" s="369" t="n">
        <f aca="false">(D140+C140)*(D139-C139)/2</f>
        <v>0.53</v>
      </c>
      <c r="D141" s="369" t="n">
        <f aca="false">(E140+D140)*(E139-D139)/2</f>
        <v>0.415</v>
      </c>
      <c r="E141" s="369" t="n">
        <f aca="false">(F140+E140)*(F139-E139)/2</f>
        <v>0.42</v>
      </c>
      <c r="F141" s="369" t="n">
        <f aca="false">(G140+F140)*(G139-F139)/2</f>
        <v>0.41</v>
      </c>
      <c r="G141" s="369" t="n">
        <f aca="false">(H140+G140)*(H139-G139)/2</f>
        <v>0.37</v>
      </c>
      <c r="H141" s="369" t="n">
        <f aca="false">(I140+H140)*(I139-H139)/2</f>
        <v>0.34</v>
      </c>
      <c r="I141" s="369" t="n">
        <f aca="false">(J140+I140)*(J139-I139)/2</f>
        <v>0.345</v>
      </c>
      <c r="J141" s="369" t="n">
        <f aca="false">(K140+J140)*(K139-J139)/2</f>
        <v>0.355</v>
      </c>
      <c r="K141" s="369" t="n">
        <f aca="false">(L140+K140)*(L139-K139)/2</f>
        <v>3.8</v>
      </c>
      <c r="L141" s="369" t="n">
        <f aca="false">(M140+L140)*(M139-L139)/2</f>
        <v>4.1</v>
      </c>
      <c r="M141" s="369" t="n">
        <f aca="false">(N140+M140)*(N139-M139)/2</f>
        <v>4.25</v>
      </c>
      <c r="N141" s="369" t="n">
        <f aca="false">(O140+N140)*(O139-N139)/2</f>
        <v>4.3</v>
      </c>
      <c r="O141" s="369" t="n">
        <f aca="false">(P140+O140)*(P139-O139)/2</f>
        <v>8.6</v>
      </c>
      <c r="P141" s="369" t="n">
        <f aca="false">(Q140+P140)*(Q139-P139)/2</f>
        <v>4.25</v>
      </c>
      <c r="Q141" s="369" t="n">
        <f aca="false">(R140+Q140)*(R139-Q139)/2</f>
        <v>4.15</v>
      </c>
      <c r="R141" s="369" t="n">
        <f aca="false">(S140+R140)*(S139-R139)/2</f>
        <v>4.05</v>
      </c>
      <c r="S141" s="369" t="n">
        <f aca="false">(T140+S140)*(T139-S139)/2</f>
        <v>3.9</v>
      </c>
      <c r="T141" s="369" t="n">
        <f aca="false">(U140+T140)*(U139-T139)/2</f>
        <v>5.25</v>
      </c>
      <c r="U141" s="369" t="n">
        <f aca="false">(V140+U140)*(V139-U139)/2</f>
        <v>1.47</v>
      </c>
      <c r="V141" s="369" t="n">
        <f aca="false">(W140+V140)*(W139-V139)/2</f>
        <v>1.2</v>
      </c>
      <c r="W141" s="369" t="n">
        <f aca="false">(X140+W140)*(X139-W139)/2</f>
        <v>0</v>
      </c>
      <c r="X141" s="369" t="n">
        <f aca="false">(Y140+X140)*(Y139-X139)/2</f>
        <v>0</v>
      </c>
      <c r="Y141" s="354"/>
    </row>
    <row r="142" customFormat="false" ht="12.75" hidden="false" customHeight="false" outlineLevel="0" collapsed="false">
      <c r="B142" s="355"/>
      <c r="C142" s="355"/>
      <c r="D142" s="355"/>
      <c r="E142" s="355"/>
      <c r="F142" s="355"/>
      <c r="G142" s="355"/>
      <c r="H142" s="355"/>
      <c r="I142" s="355"/>
      <c r="J142" s="355"/>
      <c r="K142" s="355"/>
      <c r="L142" s="355"/>
      <c r="M142" s="355"/>
      <c r="N142" s="355"/>
      <c r="O142" s="355"/>
      <c r="P142" s="355"/>
      <c r="Q142" s="355"/>
      <c r="R142" s="355"/>
      <c r="S142" s="355"/>
      <c r="T142" s="355"/>
      <c r="U142" s="355"/>
      <c r="V142" s="355"/>
      <c r="W142" s="355"/>
      <c r="X142" s="355"/>
      <c r="Y142" s="355"/>
    </row>
    <row r="143" customFormat="false" ht="13.5" hidden="false" customHeight="false" outlineLevel="0" collapsed="false">
      <c r="A143" s="357" t="s">
        <v>261</v>
      </c>
      <c r="B143" s="358" t="n">
        <f aca="false">ROW(A143)</f>
        <v>143</v>
      </c>
      <c r="C143" s="340" t="s">
        <v>212</v>
      </c>
      <c r="D143" s="341" t="n">
        <f aca="false">SUM(B146:Y146)</f>
        <v>54.1100161221195</v>
      </c>
      <c r="E143" s="340" t="s">
        <v>213</v>
      </c>
      <c r="F143" s="342" t="n">
        <f aca="false">D143/g/J143</f>
        <v>146.696857641246</v>
      </c>
      <c r="G143" s="340" t="s">
        <v>214</v>
      </c>
      <c r="H143" s="359" t="n">
        <v>0.1058</v>
      </c>
      <c r="I143" s="340" t="s">
        <v>225</v>
      </c>
      <c r="J143" s="343" t="n">
        <f aca="false">H143-L143</f>
        <v>0.0376</v>
      </c>
      <c r="K143" s="340" t="s">
        <v>226</v>
      </c>
      <c r="L143" s="359" t="n">
        <v>0.0682</v>
      </c>
      <c r="M143" s="340" t="s">
        <v>217</v>
      </c>
      <c r="N143" s="360" t="n">
        <v>49</v>
      </c>
      <c r="O143" s="340" t="s">
        <v>218</v>
      </c>
      <c r="P143" s="360" t="n">
        <v>49</v>
      </c>
      <c r="Q143" s="340" t="s">
        <v>219</v>
      </c>
      <c r="R143" s="360" t="n">
        <v>98</v>
      </c>
      <c r="S143" s="340" t="s">
        <v>220</v>
      </c>
      <c r="T143" s="360" t="n">
        <v>29</v>
      </c>
      <c r="U143" s="340" t="s">
        <v>8</v>
      </c>
      <c r="V143" s="361" t="s">
        <v>250</v>
      </c>
      <c r="W143" s="346" t="s">
        <v>221</v>
      </c>
      <c r="X143" s="370" t="n">
        <v>1.9</v>
      </c>
      <c r="Y143" s="346" t="s">
        <v>222</v>
      </c>
      <c r="Z143" s="345" t="n">
        <v>12</v>
      </c>
    </row>
    <row r="144" customFormat="false" ht="12" hidden="false" customHeight="false" outlineLevel="0" collapsed="false">
      <c r="A144" s="338" t="s">
        <v>227</v>
      </c>
      <c r="B144" s="378" t="n">
        <v>0</v>
      </c>
      <c r="C144" s="373" t="n">
        <v>0.025</v>
      </c>
      <c r="D144" s="373" t="n">
        <v>0.05</v>
      </c>
      <c r="E144" s="373" t="n">
        <v>0.075</v>
      </c>
      <c r="F144" s="373" t="n">
        <v>0.1</v>
      </c>
      <c r="G144" s="373" t="n">
        <v>0.15</v>
      </c>
      <c r="H144" s="373" t="n">
        <v>0.175</v>
      </c>
      <c r="I144" s="373" t="n">
        <v>0.2</v>
      </c>
      <c r="J144" s="373" t="n">
        <v>0.3</v>
      </c>
      <c r="K144" s="373" t="n">
        <v>0.4</v>
      </c>
      <c r="L144" s="373" t="n">
        <v>0.5</v>
      </c>
      <c r="M144" s="373" t="n">
        <v>0.6</v>
      </c>
      <c r="N144" s="373" t="n">
        <v>0.7</v>
      </c>
      <c r="O144" s="373" t="n">
        <v>0.8</v>
      </c>
      <c r="P144" s="373" t="n">
        <v>0.9</v>
      </c>
      <c r="Q144" s="373" t="n">
        <v>1.1</v>
      </c>
      <c r="R144" s="373" t="n">
        <v>1.2</v>
      </c>
      <c r="S144" s="373" t="n">
        <v>1.6</v>
      </c>
      <c r="T144" s="373" t="n">
        <v>1.7</v>
      </c>
      <c r="U144" s="373" t="n">
        <v>1.8</v>
      </c>
      <c r="V144" s="373" t="n">
        <v>1.9</v>
      </c>
      <c r="W144" s="373" t="n">
        <v>1.9999</v>
      </c>
      <c r="X144" s="373" t="n">
        <v>2</v>
      </c>
      <c r="Y144" s="374" t="n">
        <v>1000</v>
      </c>
    </row>
    <row r="145" customFormat="false" ht="12" hidden="false" customHeight="false" outlineLevel="0" collapsed="false">
      <c r="A145" s="364" t="s">
        <v>228</v>
      </c>
      <c r="B145" s="379" t="n">
        <v>0</v>
      </c>
      <c r="C145" s="380" t="n">
        <v>15.2574001848975</v>
      </c>
      <c r="D145" s="380" t="n">
        <v>26.3779542555225</v>
      </c>
      <c r="E145" s="380" t="n">
        <v>21.4849104644475</v>
      </c>
      <c r="F145" s="380" t="n">
        <v>24.02039679255</v>
      </c>
      <c r="G145" s="380" t="n">
        <v>28.11276069054</v>
      </c>
      <c r="H145" s="380" t="n">
        <v>28.6910295022125</v>
      </c>
      <c r="I145" s="380" t="n">
        <v>29.18033388132</v>
      </c>
      <c r="J145" s="380" t="n">
        <v>31.49340912801</v>
      </c>
      <c r="K145" s="380" t="n">
        <v>32.56098231879</v>
      </c>
      <c r="L145" s="380" t="n">
        <v>32.827875616485</v>
      </c>
      <c r="M145" s="380" t="n">
        <v>32.649946751355</v>
      </c>
      <c r="N145" s="380" t="n">
        <v>32.38305345366</v>
      </c>
      <c r="O145" s="380" t="n">
        <v>32.2496068048125</v>
      </c>
      <c r="P145" s="380" t="n">
        <v>31.8047846419875</v>
      </c>
      <c r="Q145" s="380" t="n">
        <v>30.5592825860775</v>
      </c>
      <c r="R145" s="380" t="n">
        <v>30.06997820697</v>
      </c>
      <c r="S145" s="380" t="n">
        <v>26.3779542555225</v>
      </c>
      <c r="T145" s="380" t="n">
        <v>24.8655589019175</v>
      </c>
      <c r="U145" s="380" t="n">
        <v>18.4601197572375</v>
      </c>
      <c r="V145" s="380" t="n">
        <v>7.5174945517425</v>
      </c>
      <c r="W145" s="380" t="n">
        <v>1.3789487047575</v>
      </c>
      <c r="X145" s="375" t="n">
        <v>0</v>
      </c>
      <c r="Y145" s="376" t="n">
        <v>0</v>
      </c>
    </row>
    <row r="146" customFormat="false" ht="12.75" hidden="false" customHeight="false" outlineLevel="0" collapsed="false">
      <c r="A146" s="351" t="s">
        <v>229</v>
      </c>
      <c r="B146" s="368" t="n">
        <f aca="false">(C145+B145)*(C144-B144)/2</f>
        <v>0.190717502311219</v>
      </c>
      <c r="C146" s="369" t="n">
        <f aca="false">(D145+C145)*(D144-C144)/2</f>
        <v>0.52044193050525</v>
      </c>
      <c r="D146" s="369" t="n">
        <f aca="false">(E145+D145)*(E144-D144)/2</f>
        <v>0.598285808999625</v>
      </c>
      <c r="E146" s="369" t="n">
        <f aca="false">(F145+E145)*(F144-E144)/2</f>
        <v>0.568816340712469</v>
      </c>
      <c r="F146" s="369" t="n">
        <f aca="false">(G145+F145)*(G144-F144)/2</f>
        <v>1.30332893707725</v>
      </c>
      <c r="G146" s="369" t="n">
        <f aca="false">(H145+G145)*(H144-G144)/2</f>
        <v>0.710047377409406</v>
      </c>
      <c r="H146" s="369" t="n">
        <f aca="false">(I145+H145)*(I144-H144)/2</f>
        <v>0.723392042294157</v>
      </c>
      <c r="I146" s="369" t="n">
        <f aca="false">(J145+I145)*(J144-I144)/2</f>
        <v>3.0336871504665</v>
      </c>
      <c r="J146" s="369" t="n">
        <f aca="false">(K145+J145)*(K144-J144)/2</f>
        <v>3.20271957234</v>
      </c>
      <c r="K146" s="369" t="n">
        <f aca="false">(L145+K145)*(L144-K144)/2</f>
        <v>3.26944289676375</v>
      </c>
      <c r="L146" s="369" t="n">
        <f aca="false">(M145+L145)*(M144-L144)/2</f>
        <v>3.273891118392</v>
      </c>
      <c r="M146" s="369" t="n">
        <f aca="false">(N145+M145)*(N144-M144)/2</f>
        <v>3.25165001025075</v>
      </c>
      <c r="N146" s="369" t="n">
        <f aca="false">(O145+N145)*(O144-N144)/2</f>
        <v>3.23163301292363</v>
      </c>
      <c r="O146" s="369" t="n">
        <f aca="false">(P145+O145)*(P144-O144)/2</f>
        <v>3.20271957234</v>
      </c>
      <c r="P146" s="369" t="n">
        <f aca="false">(Q145+P145)*(Q144-P144)/2</f>
        <v>6.2364067228065</v>
      </c>
      <c r="Q146" s="369" t="n">
        <f aca="false">(R145+Q145)*(R144-Q144)/2</f>
        <v>3.03146303965237</v>
      </c>
      <c r="R146" s="369" t="n">
        <f aca="false">(S145+R145)*(S144-R144)/2</f>
        <v>11.2895864924985</v>
      </c>
      <c r="S146" s="369" t="n">
        <f aca="false">(T145+S145)*(T144-S144)/2</f>
        <v>2.562175657872</v>
      </c>
      <c r="T146" s="369" t="n">
        <f aca="false">(U145+T145)*(U144-T144)/2</f>
        <v>2.16628393295775</v>
      </c>
      <c r="U146" s="369" t="n">
        <f aca="false">(V145+U145)*(V144-U144)/2</f>
        <v>1.298880715449</v>
      </c>
      <c r="V146" s="369" t="n">
        <f aca="false">(W145+V145)*(W144-V144)/2</f>
        <v>0.444377340662175</v>
      </c>
      <c r="W146" s="369" t="n">
        <f aca="false">(X145+W145)*(X144-W144)/2</f>
        <v>6.89474352378674E-005</v>
      </c>
      <c r="X146" s="369" t="n">
        <f aca="false">(Y145+X145)*(Y144-X144)/2</f>
        <v>0</v>
      </c>
      <c r="Y146" s="354"/>
    </row>
    <row r="147" customFormat="false" ht="12.75" hidden="false" customHeight="false" outlineLevel="0" collapsed="false">
      <c r="B147" s="355"/>
      <c r="C147" s="355"/>
      <c r="D147" s="355"/>
      <c r="E147" s="355"/>
      <c r="F147" s="355"/>
      <c r="G147" s="355"/>
      <c r="H147" s="355"/>
      <c r="I147" s="355"/>
      <c r="J147" s="355"/>
      <c r="K147" s="355"/>
      <c r="L147" s="355"/>
      <c r="M147" s="355"/>
      <c r="N147" s="355"/>
      <c r="O147" s="355"/>
      <c r="P147" s="355"/>
      <c r="Q147" s="355"/>
      <c r="R147" s="355"/>
      <c r="S147" s="355"/>
      <c r="T147" s="355"/>
      <c r="U147" s="355"/>
      <c r="V147" s="355"/>
      <c r="W147" s="355"/>
      <c r="X147" s="355"/>
      <c r="Y147" s="355"/>
    </row>
    <row r="148" customFormat="false" ht="13.5" hidden="false" customHeight="false" outlineLevel="0" collapsed="false">
      <c r="A148" s="357" t="s">
        <v>262</v>
      </c>
      <c r="B148" s="358" t="n">
        <f aca="false">ROW(A148)</f>
        <v>148</v>
      </c>
      <c r="C148" s="340" t="s">
        <v>212</v>
      </c>
      <c r="D148" s="341" t="n">
        <f aca="false">SUM(B151:Y151)</f>
        <v>55.589492</v>
      </c>
      <c r="E148" s="340" t="s">
        <v>213</v>
      </c>
      <c r="F148" s="342" t="n">
        <f aca="false">D148/g/J148</f>
        <v>177.081715086646</v>
      </c>
      <c r="G148" s="340" t="s">
        <v>214</v>
      </c>
      <c r="H148" s="359" t="n">
        <v>0.102</v>
      </c>
      <c r="I148" s="340" t="s">
        <v>225</v>
      </c>
      <c r="J148" s="343" t="n">
        <f aca="false">H148-L148</f>
        <v>0.032</v>
      </c>
      <c r="K148" s="340" t="s">
        <v>226</v>
      </c>
      <c r="L148" s="359" t="n">
        <v>0.07</v>
      </c>
      <c r="M148" s="340" t="s">
        <v>217</v>
      </c>
      <c r="N148" s="360" t="n">
        <v>49</v>
      </c>
      <c r="O148" s="340" t="s">
        <v>218</v>
      </c>
      <c r="P148" s="360" t="n">
        <v>49</v>
      </c>
      <c r="Q148" s="340" t="s">
        <v>219</v>
      </c>
      <c r="R148" s="360" t="n">
        <v>98</v>
      </c>
      <c r="S148" s="340" t="s">
        <v>220</v>
      </c>
      <c r="T148" s="360" t="n">
        <v>29</v>
      </c>
      <c r="U148" s="340" t="s">
        <v>8</v>
      </c>
      <c r="V148" s="361" t="s">
        <v>252</v>
      </c>
      <c r="W148" s="346" t="s">
        <v>221</v>
      </c>
      <c r="X148" s="370" t="n">
        <v>0.45</v>
      </c>
      <c r="Y148" s="346" t="s">
        <v>222</v>
      </c>
      <c r="Z148" s="345" t="n">
        <v>12</v>
      </c>
    </row>
    <row r="149" customFormat="false" ht="12" hidden="false" customHeight="false" outlineLevel="0" collapsed="false">
      <c r="A149" s="338" t="s">
        <v>227</v>
      </c>
      <c r="B149" s="378" t="n">
        <v>0</v>
      </c>
      <c r="C149" s="373" t="n">
        <v>0.001</v>
      </c>
      <c r="D149" s="373" t="n">
        <v>0.023</v>
      </c>
      <c r="E149" s="373" t="n">
        <v>0.05</v>
      </c>
      <c r="F149" s="373" t="n">
        <v>0.059</v>
      </c>
      <c r="G149" s="373" t="n">
        <v>0.095</v>
      </c>
      <c r="H149" s="373" t="n">
        <v>0.212</v>
      </c>
      <c r="I149" s="373" t="n">
        <v>0.344</v>
      </c>
      <c r="J149" s="373" t="n">
        <v>1.567</v>
      </c>
      <c r="K149" s="373" t="n">
        <v>1.631</v>
      </c>
      <c r="L149" s="373" t="n">
        <v>1.663</v>
      </c>
      <c r="M149" s="373" t="n">
        <v>1.785</v>
      </c>
      <c r="N149" s="373" t="n">
        <v>1.828</v>
      </c>
      <c r="O149" s="373" t="n">
        <v>2</v>
      </c>
      <c r="P149" s="373" t="n">
        <v>2</v>
      </c>
      <c r="Q149" s="373" t="n">
        <v>2</v>
      </c>
      <c r="R149" s="373" t="n">
        <v>2</v>
      </c>
      <c r="S149" s="373" t="n">
        <v>2</v>
      </c>
      <c r="T149" s="373" t="n">
        <v>2</v>
      </c>
      <c r="U149" s="373" t="n">
        <v>2</v>
      </c>
      <c r="V149" s="373" t="n">
        <v>2</v>
      </c>
      <c r="W149" s="373" t="n">
        <v>2</v>
      </c>
      <c r="X149" s="373" t="n">
        <v>2</v>
      </c>
      <c r="Y149" s="374" t="n">
        <v>1000</v>
      </c>
    </row>
    <row r="150" customFormat="false" ht="12" hidden="false" customHeight="false" outlineLevel="0" collapsed="false">
      <c r="A150" s="364" t="s">
        <v>228</v>
      </c>
      <c r="B150" s="379" t="n">
        <v>0</v>
      </c>
      <c r="C150" s="375" t="n">
        <v>3.483</v>
      </c>
      <c r="D150" s="375" t="n">
        <v>64.053</v>
      </c>
      <c r="E150" s="375" t="n">
        <v>31.347</v>
      </c>
      <c r="F150" s="375" t="n">
        <v>28.459</v>
      </c>
      <c r="G150" s="375" t="n">
        <v>32.027</v>
      </c>
      <c r="H150" s="375" t="n">
        <v>36.189</v>
      </c>
      <c r="I150" s="375" t="n">
        <v>37.549</v>
      </c>
      <c r="J150" s="375" t="n">
        <v>26.165</v>
      </c>
      <c r="K150" s="375" t="n">
        <v>26.93</v>
      </c>
      <c r="L150" s="375" t="n">
        <v>25.316</v>
      </c>
      <c r="M150" s="375" t="n">
        <v>3.653</v>
      </c>
      <c r="N150" s="375" t="n">
        <v>0</v>
      </c>
      <c r="O150" s="375" t="n">
        <v>0</v>
      </c>
      <c r="P150" s="375" t="n">
        <v>0</v>
      </c>
      <c r="Q150" s="375" t="n">
        <v>0</v>
      </c>
      <c r="R150" s="375" t="n">
        <v>0</v>
      </c>
      <c r="S150" s="375" t="n">
        <v>0</v>
      </c>
      <c r="T150" s="375" t="n">
        <v>0</v>
      </c>
      <c r="U150" s="375" t="n">
        <v>0</v>
      </c>
      <c r="V150" s="375" t="n">
        <v>0</v>
      </c>
      <c r="W150" s="375" t="n">
        <v>0</v>
      </c>
      <c r="X150" s="375" t="n">
        <v>0</v>
      </c>
      <c r="Y150" s="376" t="n">
        <v>0</v>
      </c>
    </row>
    <row r="151" customFormat="false" ht="12.75" hidden="false" customHeight="false" outlineLevel="0" collapsed="false">
      <c r="A151" s="351" t="s">
        <v>229</v>
      </c>
      <c r="B151" s="368" t="n">
        <f aca="false">(C150+B150)*(C149-B149)/2</f>
        <v>0.0017415</v>
      </c>
      <c r="C151" s="369" t="n">
        <f aca="false">(D150+C150)*(D149-C149)/2</f>
        <v>0.742896</v>
      </c>
      <c r="D151" s="369" t="n">
        <f aca="false">(E150+D150)*(E149-D149)/2</f>
        <v>1.2879</v>
      </c>
      <c r="E151" s="369" t="n">
        <f aca="false">(F150+E150)*(F149-E149)/2</f>
        <v>0.269127</v>
      </c>
      <c r="F151" s="369" t="n">
        <f aca="false">(G150+F150)*(G149-F149)/2</f>
        <v>1.088748</v>
      </c>
      <c r="G151" s="369" t="n">
        <f aca="false">(H150+G150)*(H149-G149)/2</f>
        <v>3.990636</v>
      </c>
      <c r="H151" s="369" t="n">
        <f aca="false">(I150+H150)*(I149-H149)/2</f>
        <v>4.866708</v>
      </c>
      <c r="I151" s="369" t="n">
        <f aca="false">(J150+I150)*(J149-I149)/2</f>
        <v>38.961111</v>
      </c>
      <c r="J151" s="369" t="n">
        <f aca="false">(K150+J150)*(K149-J149)/2</f>
        <v>1.69904</v>
      </c>
      <c r="K151" s="369" t="n">
        <f aca="false">(L150+K150)*(L149-K149)/2</f>
        <v>0.835936000000001</v>
      </c>
      <c r="L151" s="369" t="n">
        <f aca="false">(M150+L150)*(M149-L149)/2</f>
        <v>1.767109</v>
      </c>
      <c r="M151" s="369" t="n">
        <f aca="false">(N150+M150)*(N149-M149)/2</f>
        <v>0.0785395000000003</v>
      </c>
      <c r="N151" s="369" t="n">
        <f aca="false">(O150+N150)*(O149-N149)/2</f>
        <v>0</v>
      </c>
      <c r="O151" s="369" t="n">
        <f aca="false">(P150+O150)*(P149-O149)/2</f>
        <v>0</v>
      </c>
      <c r="P151" s="369" t="n">
        <f aca="false">(Q150+P150)*(Q149-P149)/2</f>
        <v>0</v>
      </c>
      <c r="Q151" s="369" t="n">
        <f aca="false">(R150+Q150)*(R149-Q149)/2</f>
        <v>0</v>
      </c>
      <c r="R151" s="369" t="n">
        <f aca="false">(S150+R150)*(S149-R149)/2</f>
        <v>0</v>
      </c>
      <c r="S151" s="369" t="n">
        <f aca="false">(T150+S150)*(T149-S149)/2</f>
        <v>0</v>
      </c>
      <c r="T151" s="369" t="n">
        <f aca="false">(U150+T150)*(U149-T149)/2</f>
        <v>0</v>
      </c>
      <c r="U151" s="369" t="n">
        <f aca="false">(V150+U150)*(V149-U149)/2</f>
        <v>0</v>
      </c>
      <c r="V151" s="369" t="n">
        <f aca="false">(W150+V150)*(W149-V149)/2</f>
        <v>0</v>
      </c>
      <c r="W151" s="369" t="n">
        <f aca="false">(X150+W150)*(X149-W149)/2</f>
        <v>0</v>
      </c>
      <c r="X151" s="369" t="n">
        <f aca="false">(Y150+X150)*(Y149-X149)/2</f>
        <v>0</v>
      </c>
      <c r="Y151" s="354"/>
    </row>
    <row r="152" customFormat="false" ht="12.75" hidden="false" customHeight="false" outlineLevel="0" collapsed="false">
      <c r="B152" s="355"/>
      <c r="C152" s="355"/>
      <c r="D152" s="355"/>
      <c r="E152" s="355"/>
      <c r="F152" s="355"/>
      <c r="G152" s="355"/>
      <c r="H152" s="355"/>
      <c r="I152" s="355"/>
      <c r="J152" s="355"/>
      <c r="K152" s="355"/>
      <c r="L152" s="355"/>
      <c r="M152" s="355"/>
      <c r="N152" s="355"/>
      <c r="O152" s="355"/>
      <c r="P152" s="355"/>
      <c r="Q152" s="355"/>
      <c r="R152" s="355"/>
      <c r="S152" s="355"/>
      <c r="T152" s="355"/>
      <c r="U152" s="355"/>
      <c r="V152" s="355"/>
      <c r="W152" s="355"/>
      <c r="X152" s="355"/>
      <c r="Y152" s="355"/>
    </row>
    <row r="153" customFormat="false" ht="13.5" hidden="false" customHeight="false" outlineLevel="0" collapsed="false">
      <c r="A153" s="357" t="s">
        <v>263</v>
      </c>
      <c r="B153" s="358" t="n">
        <f aca="false">ROW(A153)</f>
        <v>153</v>
      </c>
      <c r="C153" s="340" t="s">
        <v>212</v>
      </c>
      <c r="D153" s="341" t="n">
        <f aca="false">SUM(B156:Y156)</f>
        <v>55.7058845</v>
      </c>
      <c r="E153" s="340" t="s">
        <v>213</v>
      </c>
      <c r="F153" s="342" t="n">
        <f aca="false">D153/g/J153</f>
        <v>180.843298142413</v>
      </c>
      <c r="G153" s="340" t="s">
        <v>214</v>
      </c>
      <c r="H153" s="359" t="n">
        <v>0.1062</v>
      </c>
      <c r="I153" s="340" t="s">
        <v>225</v>
      </c>
      <c r="J153" s="343" t="n">
        <f aca="false">H153-L153</f>
        <v>0.0314</v>
      </c>
      <c r="K153" s="340" t="s">
        <v>226</v>
      </c>
      <c r="L153" s="359" t="n">
        <v>0.0748</v>
      </c>
      <c r="M153" s="340" t="s">
        <v>217</v>
      </c>
      <c r="N153" s="360" t="n">
        <v>49</v>
      </c>
      <c r="O153" s="340" t="s">
        <v>218</v>
      </c>
      <c r="P153" s="360" t="n">
        <v>49</v>
      </c>
      <c r="Q153" s="340" t="s">
        <v>219</v>
      </c>
      <c r="R153" s="360" t="n">
        <v>98</v>
      </c>
      <c r="S153" s="340" t="s">
        <v>220</v>
      </c>
      <c r="T153" s="360" t="n">
        <v>29</v>
      </c>
      <c r="U153" s="340" t="s">
        <v>8</v>
      </c>
      <c r="V153" s="361" t="s">
        <v>252</v>
      </c>
      <c r="W153" s="346" t="s">
        <v>221</v>
      </c>
      <c r="X153" s="370" t="n">
        <v>0.45</v>
      </c>
      <c r="Y153" s="346" t="s">
        <v>222</v>
      </c>
      <c r="Z153" s="345" t="n">
        <v>14</v>
      </c>
    </row>
    <row r="154" customFormat="false" ht="12" hidden="false" customHeight="false" outlineLevel="0" collapsed="false">
      <c r="A154" s="338" t="s">
        <v>227</v>
      </c>
      <c r="B154" s="378" t="n">
        <v>0</v>
      </c>
      <c r="C154" s="373" t="n">
        <v>0.013</v>
      </c>
      <c r="D154" s="373" t="n">
        <v>0.017</v>
      </c>
      <c r="E154" s="373" t="n">
        <v>0.04</v>
      </c>
      <c r="F154" s="373" t="n">
        <v>0.125</v>
      </c>
      <c r="G154" s="373" t="n">
        <v>0.179</v>
      </c>
      <c r="H154" s="373" t="n">
        <v>0.222</v>
      </c>
      <c r="I154" s="373" t="n">
        <v>0.289</v>
      </c>
      <c r="J154" s="373" t="n">
        <v>0.354</v>
      </c>
      <c r="K154" s="373" t="n">
        <v>0.394</v>
      </c>
      <c r="L154" s="373" t="n">
        <v>0.406</v>
      </c>
      <c r="M154" s="373" t="n">
        <v>0.416</v>
      </c>
      <c r="N154" s="373" t="n">
        <v>0.423</v>
      </c>
      <c r="O154" s="373" t="n">
        <v>0.431</v>
      </c>
      <c r="P154" s="373" t="n">
        <v>0.447</v>
      </c>
      <c r="Q154" s="373" t="n">
        <v>0.453</v>
      </c>
      <c r="R154" s="373" t="n">
        <v>0.455</v>
      </c>
      <c r="S154" s="373" t="n">
        <v>0.455</v>
      </c>
      <c r="T154" s="373" t="n">
        <v>0.455</v>
      </c>
      <c r="U154" s="373" t="n">
        <v>0.455</v>
      </c>
      <c r="V154" s="373" t="n">
        <v>0.455</v>
      </c>
      <c r="W154" s="373" t="n">
        <v>0.455</v>
      </c>
      <c r="X154" s="373" t="n">
        <v>2</v>
      </c>
      <c r="Y154" s="374" t="n">
        <v>1000</v>
      </c>
    </row>
    <row r="155" customFormat="false" ht="12" hidden="false" customHeight="false" outlineLevel="0" collapsed="false">
      <c r="A155" s="364" t="s">
        <v>228</v>
      </c>
      <c r="B155" s="379" t="n">
        <v>0</v>
      </c>
      <c r="C155" s="375" t="n">
        <v>79.242</v>
      </c>
      <c r="D155" s="375" t="n">
        <v>90.427</v>
      </c>
      <c r="E155" s="375" t="n">
        <v>101.422</v>
      </c>
      <c r="F155" s="375" t="n">
        <v>127.583</v>
      </c>
      <c r="G155" s="375" t="n">
        <v>136.114</v>
      </c>
      <c r="H155" s="375" t="n">
        <v>139.905</v>
      </c>
      <c r="I155" s="375" t="n">
        <v>143.507</v>
      </c>
      <c r="J155" s="375" t="n">
        <v>138.578</v>
      </c>
      <c r="K155" s="375" t="n">
        <v>125.498</v>
      </c>
      <c r="L155" s="375" t="n">
        <v>123.602</v>
      </c>
      <c r="M155" s="375" t="n">
        <v>125.118</v>
      </c>
      <c r="N155" s="375" t="n">
        <v>130.047</v>
      </c>
      <c r="O155" s="375" t="n">
        <v>120.569</v>
      </c>
      <c r="P155" s="375" t="n">
        <v>25.592</v>
      </c>
      <c r="Q155" s="375" t="n">
        <v>8.72</v>
      </c>
      <c r="R155" s="375" t="n">
        <v>0</v>
      </c>
      <c r="S155" s="375" t="n">
        <v>0</v>
      </c>
      <c r="T155" s="375" t="n">
        <v>0</v>
      </c>
      <c r="U155" s="375" t="n">
        <v>0</v>
      </c>
      <c r="V155" s="375" t="n">
        <v>0</v>
      </c>
      <c r="W155" s="375" t="n">
        <v>0</v>
      </c>
      <c r="X155" s="375" t="n">
        <v>0</v>
      </c>
      <c r="Y155" s="376" t="n">
        <v>0</v>
      </c>
    </row>
    <row r="156" customFormat="false" ht="12.75" hidden="false" customHeight="false" outlineLevel="0" collapsed="false">
      <c r="A156" s="351" t="s">
        <v>229</v>
      </c>
      <c r="B156" s="368" t="n">
        <f aca="false">(C155+B155)*(C154-B154)/2</f>
        <v>0.515073</v>
      </c>
      <c r="C156" s="369" t="n">
        <f aca="false">(D155+C155)*(D154-C154)/2</f>
        <v>0.339338</v>
      </c>
      <c r="D156" s="369" t="n">
        <f aca="false">(E155+D155)*(E154-D154)/2</f>
        <v>2.2062635</v>
      </c>
      <c r="E156" s="369" t="n">
        <f aca="false">(F155+E155)*(F154-E154)/2</f>
        <v>9.7327125</v>
      </c>
      <c r="F156" s="369" t="n">
        <f aca="false">(G155+F155)*(G154-F154)/2</f>
        <v>7.119819</v>
      </c>
      <c r="G156" s="369" t="n">
        <f aca="false">(H155+G155)*(H154-G154)/2</f>
        <v>5.9344085</v>
      </c>
      <c r="H156" s="369" t="n">
        <f aca="false">(I155+H155)*(I154-H154)/2</f>
        <v>9.494302</v>
      </c>
      <c r="I156" s="369" t="n">
        <f aca="false">(J155+I155)*(J154-I154)/2</f>
        <v>9.1677625</v>
      </c>
      <c r="J156" s="369" t="n">
        <f aca="false">(K155+J155)*(K154-J154)/2</f>
        <v>5.28152000000001</v>
      </c>
      <c r="K156" s="369" t="n">
        <f aca="false">(L155+K155)*(L154-K154)/2</f>
        <v>1.4946</v>
      </c>
      <c r="L156" s="369" t="n">
        <f aca="false">(M155+L155)*(M154-L154)/2</f>
        <v>1.24359999999999</v>
      </c>
      <c r="M156" s="369" t="n">
        <f aca="false">(N155+M155)*(N154-M154)/2</f>
        <v>0.893077500000001</v>
      </c>
      <c r="N156" s="369" t="n">
        <f aca="false">(O155+N155)*(O154-N154)/2</f>
        <v>1.002464</v>
      </c>
      <c r="O156" s="369" t="n">
        <f aca="false">(P155+O155)*(P154-O154)/2</f>
        <v>1.169288</v>
      </c>
      <c r="P156" s="369" t="n">
        <f aca="false">(Q155+P155)*(Q154-P154)/2</f>
        <v>0.102936</v>
      </c>
      <c r="Q156" s="369" t="n">
        <f aca="false">(R155+Q155)*(R154-Q154)/2</f>
        <v>0.00872000000000001</v>
      </c>
      <c r="R156" s="369" t="n">
        <f aca="false">(S155+R155)*(S154-R154)/2</f>
        <v>0</v>
      </c>
      <c r="S156" s="369" t="n">
        <f aca="false">(T155+S155)*(T154-S154)/2</f>
        <v>0</v>
      </c>
      <c r="T156" s="369" t="n">
        <f aca="false">(U155+T155)*(U154-T154)/2</f>
        <v>0</v>
      </c>
      <c r="U156" s="369" t="n">
        <f aca="false">(V155+U155)*(V154-U154)/2</f>
        <v>0</v>
      </c>
      <c r="V156" s="369" t="n">
        <f aca="false">(W155+V155)*(W154-V154)/2</f>
        <v>0</v>
      </c>
      <c r="W156" s="369" t="n">
        <f aca="false">(X155+W155)*(X154-W154)/2</f>
        <v>0</v>
      </c>
      <c r="X156" s="369" t="n">
        <f aca="false">(Y155+X155)*(Y154-X154)/2</f>
        <v>0</v>
      </c>
      <c r="Y156" s="354"/>
    </row>
    <row r="157" customFormat="false" ht="12.75" hidden="false" customHeight="false" outlineLevel="0" collapsed="false">
      <c r="B157" s="355"/>
      <c r="C157" s="355"/>
      <c r="D157" s="355"/>
      <c r="E157" s="355"/>
      <c r="F157" s="355"/>
      <c r="G157" s="355"/>
      <c r="H157" s="355"/>
      <c r="I157" s="355"/>
      <c r="J157" s="355"/>
      <c r="K157" s="355"/>
      <c r="L157" s="355"/>
      <c r="M157" s="355"/>
      <c r="N157" s="355"/>
      <c r="O157" s="355"/>
      <c r="P157" s="355"/>
      <c r="Q157" s="355"/>
      <c r="R157" s="355"/>
      <c r="S157" s="355"/>
      <c r="T157" s="355"/>
      <c r="U157" s="355"/>
      <c r="V157" s="355"/>
      <c r="W157" s="355"/>
      <c r="X157" s="355"/>
      <c r="Y157" s="355"/>
    </row>
    <row r="158" customFormat="false" ht="13.5" hidden="false" customHeight="false" outlineLevel="0" collapsed="false">
      <c r="A158" s="357" t="s">
        <v>264</v>
      </c>
      <c r="B158" s="358" t="n">
        <f aca="false">ROW(A158)</f>
        <v>158</v>
      </c>
      <c r="C158" s="340" t="s">
        <v>212</v>
      </c>
      <c r="D158" s="341" t="n">
        <f aca="false">SUM(B161:Y161)</f>
        <v>57.19</v>
      </c>
      <c r="E158" s="340" t="s">
        <v>213</v>
      </c>
      <c r="F158" s="342" t="n">
        <f aca="false">D158/g/J158</f>
        <v>188.05695307619</v>
      </c>
      <c r="G158" s="340" t="s">
        <v>214</v>
      </c>
      <c r="H158" s="359" t="n">
        <v>0.099</v>
      </c>
      <c r="I158" s="340" t="s">
        <v>225</v>
      </c>
      <c r="J158" s="343" t="n">
        <f aca="false">H158-L158</f>
        <v>0.031</v>
      </c>
      <c r="K158" s="340" t="s">
        <v>226</v>
      </c>
      <c r="L158" s="359" t="n">
        <v>0.068</v>
      </c>
      <c r="M158" s="340" t="s">
        <v>217</v>
      </c>
      <c r="N158" s="360" t="n">
        <v>49</v>
      </c>
      <c r="O158" s="340" t="s">
        <v>218</v>
      </c>
      <c r="P158" s="360" t="n">
        <v>49</v>
      </c>
      <c r="Q158" s="340" t="s">
        <v>219</v>
      </c>
      <c r="R158" s="360" t="n">
        <v>98</v>
      </c>
      <c r="S158" s="340" t="s">
        <v>220</v>
      </c>
      <c r="T158" s="360" t="n">
        <v>29</v>
      </c>
      <c r="U158" s="340" t="s">
        <v>8</v>
      </c>
      <c r="V158" s="361" t="s">
        <v>252</v>
      </c>
      <c r="W158" s="346" t="s">
        <v>221</v>
      </c>
      <c r="X158" s="370" t="n">
        <v>0.96</v>
      </c>
      <c r="Y158" s="346" t="s">
        <v>222</v>
      </c>
      <c r="Z158" s="345" t="n">
        <v>12</v>
      </c>
    </row>
    <row r="159" customFormat="false" ht="12" hidden="false" customHeight="false" outlineLevel="0" collapsed="false">
      <c r="A159" s="338" t="s">
        <v>227</v>
      </c>
      <c r="B159" s="378" t="n">
        <v>0</v>
      </c>
      <c r="C159" s="373" t="n">
        <v>0.01</v>
      </c>
      <c r="D159" s="373" t="n">
        <v>0.02</v>
      </c>
      <c r="E159" s="373" t="n">
        <v>0.03</v>
      </c>
      <c r="F159" s="373" t="n">
        <v>0.04</v>
      </c>
      <c r="G159" s="373" t="n">
        <v>0.07</v>
      </c>
      <c r="H159" s="373" t="n">
        <v>0.1</v>
      </c>
      <c r="I159" s="373" t="n">
        <v>0.2</v>
      </c>
      <c r="J159" s="373" t="n">
        <v>0.3</v>
      </c>
      <c r="K159" s="373" t="n">
        <v>0.4</v>
      </c>
      <c r="L159" s="373" t="n">
        <v>0.5</v>
      </c>
      <c r="M159" s="373" t="n">
        <v>0.6</v>
      </c>
      <c r="N159" s="373" t="n">
        <v>0.7</v>
      </c>
      <c r="O159" s="373" t="n">
        <v>0.87</v>
      </c>
      <c r="P159" s="373" t="n">
        <v>0.9</v>
      </c>
      <c r="Q159" s="373" t="n">
        <v>0.97</v>
      </c>
      <c r="R159" s="373" t="n">
        <v>0.97</v>
      </c>
      <c r="S159" s="373" t="n">
        <v>0.97</v>
      </c>
      <c r="T159" s="373" t="n">
        <v>0.97</v>
      </c>
      <c r="U159" s="373" t="n">
        <v>0.97</v>
      </c>
      <c r="V159" s="373" t="n">
        <v>0.97</v>
      </c>
      <c r="W159" s="373" t="n">
        <v>0.97</v>
      </c>
      <c r="X159" s="373" t="n">
        <v>2</v>
      </c>
      <c r="Y159" s="374" t="n">
        <v>1000</v>
      </c>
    </row>
    <row r="160" customFormat="false" ht="12" hidden="false" customHeight="false" outlineLevel="0" collapsed="false">
      <c r="A160" s="364" t="s">
        <v>228</v>
      </c>
      <c r="B160" s="379" t="n">
        <v>0</v>
      </c>
      <c r="C160" s="375" t="n">
        <v>16</v>
      </c>
      <c r="D160" s="375" t="n">
        <v>62</v>
      </c>
      <c r="E160" s="375" t="n">
        <v>67</v>
      </c>
      <c r="F160" s="375" t="n">
        <v>71</v>
      </c>
      <c r="G160" s="375" t="n">
        <v>58</v>
      </c>
      <c r="H160" s="375" t="n">
        <v>63</v>
      </c>
      <c r="I160" s="375" t="n">
        <v>67</v>
      </c>
      <c r="J160" s="375" t="n">
        <v>69</v>
      </c>
      <c r="K160" s="375" t="n">
        <v>67</v>
      </c>
      <c r="L160" s="375" t="n">
        <v>65</v>
      </c>
      <c r="M160" s="375" t="n">
        <v>63</v>
      </c>
      <c r="N160" s="375" t="n">
        <v>61</v>
      </c>
      <c r="O160" s="375" t="n">
        <v>60</v>
      </c>
      <c r="P160" s="375" t="n">
        <v>23</v>
      </c>
      <c r="Q160" s="375" t="n">
        <v>0</v>
      </c>
      <c r="R160" s="375" t="n">
        <v>0</v>
      </c>
      <c r="S160" s="375" t="n">
        <v>0</v>
      </c>
      <c r="T160" s="375" t="n">
        <v>0</v>
      </c>
      <c r="U160" s="375" t="n">
        <v>0</v>
      </c>
      <c r="V160" s="375" t="n">
        <v>0</v>
      </c>
      <c r="W160" s="375" t="n">
        <v>0</v>
      </c>
      <c r="X160" s="375" t="n">
        <v>0</v>
      </c>
      <c r="Y160" s="376" t="n">
        <v>0</v>
      </c>
    </row>
    <row r="161" customFormat="false" ht="12.75" hidden="false" customHeight="false" outlineLevel="0" collapsed="false">
      <c r="A161" s="351" t="s">
        <v>229</v>
      </c>
      <c r="B161" s="368" t="n">
        <f aca="false">(C160+B160)*(C159-B159)/2</f>
        <v>0.08</v>
      </c>
      <c r="C161" s="369" t="n">
        <f aca="false">(D160+C160)*(D159-C159)/2</f>
        <v>0.39</v>
      </c>
      <c r="D161" s="369" t="n">
        <f aca="false">(E160+D160)*(E159-D159)/2</f>
        <v>0.645</v>
      </c>
      <c r="E161" s="369" t="n">
        <f aca="false">(F160+E160)*(F159-E159)/2</f>
        <v>0.69</v>
      </c>
      <c r="F161" s="369" t="n">
        <f aca="false">(G160+F160)*(G159-F159)/2</f>
        <v>1.935</v>
      </c>
      <c r="G161" s="369" t="n">
        <f aca="false">(H160+G160)*(H159-G159)/2</f>
        <v>1.815</v>
      </c>
      <c r="H161" s="369" t="n">
        <f aca="false">(I160+H160)*(I159-H159)/2</f>
        <v>6.5</v>
      </c>
      <c r="I161" s="369" t="n">
        <f aca="false">(J160+I160)*(J159-I159)/2</f>
        <v>6.8</v>
      </c>
      <c r="J161" s="369" t="n">
        <f aca="false">(K160+J160)*(K159-J159)/2</f>
        <v>6.8</v>
      </c>
      <c r="K161" s="369" t="n">
        <f aca="false">(L160+K160)*(L159-K159)/2</f>
        <v>6.6</v>
      </c>
      <c r="L161" s="369" t="n">
        <f aca="false">(M160+L160)*(M159-L159)/2</f>
        <v>6.4</v>
      </c>
      <c r="M161" s="369" t="n">
        <f aca="false">(N160+M160)*(N159-M159)/2</f>
        <v>6.2</v>
      </c>
      <c r="N161" s="369" t="n">
        <f aca="false">(O160+N160)*(O159-N159)/2</f>
        <v>10.285</v>
      </c>
      <c r="O161" s="369" t="n">
        <f aca="false">(P160+O160)*(P159-O159)/2</f>
        <v>1.245</v>
      </c>
      <c r="P161" s="369" t="n">
        <f aca="false">(Q160+P160)*(Q159-P159)/2</f>
        <v>0.805</v>
      </c>
      <c r="Q161" s="369" t="n">
        <f aca="false">(R160+Q160)*(R159-Q159)/2</f>
        <v>0</v>
      </c>
      <c r="R161" s="369" t="n">
        <f aca="false">(S160+R160)*(S159-R159)/2</f>
        <v>0</v>
      </c>
      <c r="S161" s="369" t="n">
        <f aca="false">(T160+S160)*(T159-S159)/2</f>
        <v>0</v>
      </c>
      <c r="T161" s="369" t="n">
        <f aca="false">(U160+T160)*(U159-T159)/2</f>
        <v>0</v>
      </c>
      <c r="U161" s="369" t="n">
        <f aca="false">(V160+U160)*(V159-U159)/2</f>
        <v>0</v>
      </c>
      <c r="V161" s="369" t="n">
        <f aca="false">(W160+V160)*(W159-V159)/2</f>
        <v>0</v>
      </c>
      <c r="W161" s="369" t="n">
        <f aca="false">(X160+W160)*(X159-W159)/2</f>
        <v>0</v>
      </c>
      <c r="X161" s="369" t="n">
        <f aca="false">(Y160+X160)*(Y159-X159)/2</f>
        <v>0</v>
      </c>
      <c r="Y161" s="354"/>
    </row>
    <row r="162" customFormat="false" ht="13.5" hidden="false" customHeight="false" outlineLevel="0" collapsed="false">
      <c r="A162" s="356" t="s">
        <v>265</v>
      </c>
      <c r="B162" s="355"/>
      <c r="C162" s="355"/>
      <c r="D162" s="355"/>
      <c r="E162" s="355"/>
      <c r="F162" s="355"/>
      <c r="G162" s="355"/>
      <c r="H162" s="355"/>
      <c r="I162" s="355"/>
      <c r="J162" s="355"/>
      <c r="K162" s="355"/>
      <c r="L162" s="355"/>
      <c r="M162" s="355"/>
      <c r="N162" s="355"/>
      <c r="O162" s="355"/>
      <c r="P162" s="355"/>
      <c r="Q162" s="355"/>
      <c r="R162" s="355"/>
      <c r="S162" s="355"/>
      <c r="T162" s="355"/>
      <c r="U162" s="355"/>
      <c r="V162" s="355"/>
      <c r="W162" s="355"/>
      <c r="X162" s="355"/>
      <c r="Y162" s="355"/>
    </row>
    <row r="163" customFormat="false" ht="13.5" hidden="false" customHeight="false" outlineLevel="0" collapsed="false">
      <c r="A163" s="357" t="s">
        <v>266</v>
      </c>
      <c r="B163" s="358" t="n">
        <f aca="false">ROW(A163)</f>
        <v>163</v>
      </c>
      <c r="C163" s="340" t="s">
        <v>212</v>
      </c>
      <c r="D163" s="341" t="n">
        <f aca="false">SUM(B166:Y166)</f>
        <v>59.702267</v>
      </c>
      <c r="E163" s="340" t="s">
        <v>213</v>
      </c>
      <c r="F163" s="342" t="n">
        <f aca="false">D163/g/J163</f>
        <v>190.779247712813</v>
      </c>
      <c r="G163" s="340" t="s">
        <v>214</v>
      </c>
      <c r="H163" s="359" t="n">
        <v>0.0939</v>
      </c>
      <c r="I163" s="340" t="s">
        <v>225</v>
      </c>
      <c r="J163" s="343" t="n">
        <f aca="false">H163-L163</f>
        <v>0.0319</v>
      </c>
      <c r="K163" s="340" t="s">
        <v>226</v>
      </c>
      <c r="L163" s="359" t="n">
        <f aca="false">0.095-0.033</f>
        <v>0.062</v>
      </c>
      <c r="M163" s="340" t="s">
        <v>217</v>
      </c>
      <c r="N163" s="372" t="n">
        <v>66.5</v>
      </c>
      <c r="O163" s="340" t="s">
        <v>218</v>
      </c>
      <c r="P163" s="372" t="n">
        <v>66.5</v>
      </c>
      <c r="Q163" s="340" t="s">
        <v>219</v>
      </c>
      <c r="R163" s="360" t="n">
        <v>133</v>
      </c>
      <c r="S163" s="340" t="s">
        <v>220</v>
      </c>
      <c r="T163" s="360" t="n">
        <v>24</v>
      </c>
      <c r="U163" s="340" t="s">
        <v>8</v>
      </c>
      <c r="V163" s="361" t="s">
        <v>250</v>
      </c>
      <c r="W163" s="346" t="s">
        <v>221</v>
      </c>
      <c r="X163" s="370" t="n">
        <v>1.2</v>
      </c>
      <c r="Y163" s="346" t="s">
        <v>222</v>
      </c>
      <c r="Z163" s="345" t="n">
        <v>13</v>
      </c>
    </row>
    <row r="164" customFormat="false" ht="12" hidden="false" customHeight="false" outlineLevel="0" collapsed="false">
      <c r="A164" s="338" t="s">
        <v>227</v>
      </c>
      <c r="B164" s="362" t="n">
        <v>0</v>
      </c>
      <c r="C164" s="363" t="n">
        <v>0.015</v>
      </c>
      <c r="D164" s="363" t="n">
        <v>0.022</v>
      </c>
      <c r="E164" s="363" t="n">
        <v>0.064</v>
      </c>
      <c r="F164" s="363" t="n">
        <v>0.118</v>
      </c>
      <c r="G164" s="363" t="n">
        <v>0.342</v>
      </c>
      <c r="H164" s="363" t="n">
        <v>0.536</v>
      </c>
      <c r="I164" s="363" t="n">
        <v>0.743</v>
      </c>
      <c r="J164" s="363" t="n">
        <v>0.884</v>
      </c>
      <c r="K164" s="363" t="n">
        <v>0.976</v>
      </c>
      <c r="L164" s="363" t="n">
        <v>1.096</v>
      </c>
      <c r="M164" s="363" t="n">
        <v>1.246</v>
      </c>
      <c r="N164" s="363" t="n">
        <v>1.298</v>
      </c>
      <c r="O164" s="373" t="n">
        <v>2</v>
      </c>
      <c r="P164" s="373" t="n">
        <v>2</v>
      </c>
      <c r="Q164" s="373" t="n">
        <v>2</v>
      </c>
      <c r="R164" s="373" t="n">
        <v>2</v>
      </c>
      <c r="S164" s="373" t="n">
        <v>2</v>
      </c>
      <c r="T164" s="373" t="n">
        <v>2</v>
      </c>
      <c r="U164" s="373" t="n">
        <v>2</v>
      </c>
      <c r="V164" s="373" t="n">
        <v>2</v>
      </c>
      <c r="W164" s="373" t="n">
        <v>2</v>
      </c>
      <c r="X164" s="373" t="n">
        <f aca="false">W164</f>
        <v>2</v>
      </c>
      <c r="Y164" s="374" t="n">
        <v>1000</v>
      </c>
    </row>
    <row r="165" customFormat="false" ht="12" hidden="false" customHeight="false" outlineLevel="0" collapsed="false">
      <c r="A165" s="364" t="s">
        <v>228</v>
      </c>
      <c r="B165" s="365" t="n">
        <v>0</v>
      </c>
      <c r="C165" s="366" t="n">
        <v>64.982</v>
      </c>
      <c r="D165" s="366" t="n">
        <v>69.516</v>
      </c>
      <c r="E165" s="366" t="n">
        <v>55.537</v>
      </c>
      <c r="F165" s="366" t="n">
        <v>62.81</v>
      </c>
      <c r="G165" s="366" t="n">
        <v>62.149</v>
      </c>
      <c r="H165" s="366" t="n">
        <v>59.41</v>
      </c>
      <c r="I165" s="366" t="n">
        <v>53.837</v>
      </c>
      <c r="J165" s="366" t="n">
        <v>46.942</v>
      </c>
      <c r="K165" s="366" t="n">
        <v>40.047</v>
      </c>
      <c r="L165" s="366" t="n">
        <v>12.562</v>
      </c>
      <c r="M165" s="366" t="n">
        <v>2.078</v>
      </c>
      <c r="N165" s="366" t="n">
        <v>0</v>
      </c>
      <c r="O165" s="375" t="n">
        <v>0</v>
      </c>
      <c r="P165" s="375" t="n">
        <v>0</v>
      </c>
      <c r="Q165" s="375" t="n">
        <v>0</v>
      </c>
      <c r="R165" s="375" t="n">
        <v>0</v>
      </c>
      <c r="S165" s="375" t="n">
        <v>0</v>
      </c>
      <c r="T165" s="375" t="n">
        <f aca="false">S165</f>
        <v>0</v>
      </c>
      <c r="U165" s="375" t="n">
        <f aca="false">T165</f>
        <v>0</v>
      </c>
      <c r="V165" s="375" t="n">
        <f aca="false">U165</f>
        <v>0</v>
      </c>
      <c r="W165" s="375" t="n">
        <f aca="false">V165</f>
        <v>0</v>
      </c>
      <c r="X165" s="375" t="n">
        <f aca="false">W165</f>
        <v>0</v>
      </c>
      <c r="Y165" s="376" t="n">
        <v>0</v>
      </c>
    </row>
    <row r="166" customFormat="false" ht="12.75" hidden="false" customHeight="false" outlineLevel="0" collapsed="false">
      <c r="A166" s="351" t="s">
        <v>229</v>
      </c>
      <c r="B166" s="368" t="n">
        <f aca="false">(C165+B165)*(C164-B164)/2</f>
        <v>0.487365</v>
      </c>
      <c r="C166" s="369" t="n">
        <f aca="false">(D165+C165)*(D164-C164)/2</f>
        <v>0.470743</v>
      </c>
      <c r="D166" s="369" t="n">
        <f aca="false">(E165+D165)*(E164-D164)/2</f>
        <v>2.626113</v>
      </c>
      <c r="E166" s="369" t="n">
        <f aca="false">(F165+E165)*(F164-E164)/2</f>
        <v>3.195369</v>
      </c>
      <c r="F166" s="369" t="n">
        <f aca="false">(G165+F165)*(G164-F164)/2</f>
        <v>13.995408</v>
      </c>
      <c r="G166" s="369" t="n">
        <f aca="false">(H165+G165)*(H164-G164)/2</f>
        <v>11.791223</v>
      </c>
      <c r="H166" s="369" t="n">
        <f aca="false">(I165+H165)*(I164-H164)/2</f>
        <v>11.7210645</v>
      </c>
      <c r="I166" s="369" t="n">
        <f aca="false">(J165+I165)*(J164-I164)/2</f>
        <v>7.1049195</v>
      </c>
      <c r="J166" s="369" t="n">
        <f aca="false">(K165+J165)*(K164-J164)/2</f>
        <v>4.001494</v>
      </c>
      <c r="K166" s="369" t="n">
        <f aca="false">(L165+K165)*(L164-K164)/2</f>
        <v>3.15654</v>
      </c>
      <c r="L166" s="369" t="n">
        <f aca="false">(M165+L165)*(M164-L164)/2</f>
        <v>1.098</v>
      </c>
      <c r="M166" s="369" t="n">
        <f aca="false">(N165+M165)*(N164-M164)/2</f>
        <v>0.054028</v>
      </c>
      <c r="N166" s="369" t="n">
        <f aca="false">(O165+N165)*(O164-N164)/2</f>
        <v>0</v>
      </c>
      <c r="O166" s="369" t="n">
        <f aca="false">(P165+O165)*(P164-O164)/2</f>
        <v>0</v>
      </c>
      <c r="P166" s="369" t="n">
        <f aca="false">(Q165+P165)*(Q164-P164)/2</f>
        <v>0</v>
      </c>
      <c r="Q166" s="369" t="n">
        <f aca="false">(R165+Q165)*(R164-Q164)/2</f>
        <v>0</v>
      </c>
      <c r="R166" s="369" t="n">
        <f aca="false">(S165+R165)*(S164-R164)/2</f>
        <v>0</v>
      </c>
      <c r="S166" s="369" t="n">
        <f aca="false">(T165+S165)*(T164-S164)/2</f>
        <v>0</v>
      </c>
      <c r="T166" s="369" t="n">
        <f aca="false">(U165+T165)*(U164-T164)/2</f>
        <v>0</v>
      </c>
      <c r="U166" s="369" t="n">
        <f aca="false">(V165+U165)*(V164-U164)/2</f>
        <v>0</v>
      </c>
      <c r="V166" s="369" t="n">
        <f aca="false">(W165+V165)*(W164-V164)/2</f>
        <v>0</v>
      </c>
      <c r="W166" s="369" t="n">
        <f aca="false">(X165+W165)*(X164-W164)/2</f>
        <v>0</v>
      </c>
      <c r="X166" s="369" t="n">
        <f aca="false">(Y165+X165)*(Y164-X164)/2</f>
        <v>0</v>
      </c>
      <c r="Y166" s="354"/>
    </row>
    <row r="167" customFormat="false" ht="12.75" hidden="false" customHeight="false" outlineLevel="0" collapsed="false"/>
    <row r="168" customFormat="false" ht="13.5" hidden="false" customHeight="false" outlineLevel="0" collapsed="false">
      <c r="A168" s="357" t="s">
        <v>267</v>
      </c>
      <c r="B168" s="358" t="n">
        <f aca="false">ROW(A168)</f>
        <v>168</v>
      </c>
      <c r="C168" s="340" t="s">
        <v>212</v>
      </c>
      <c r="D168" s="341" t="n">
        <f aca="false">SUM(B171:Y171)</f>
        <v>68.380603</v>
      </c>
      <c r="E168" s="340" t="s">
        <v>213</v>
      </c>
      <c r="F168" s="342" t="n">
        <f aca="false">D168/g/J168</f>
        <v>134.048073002431</v>
      </c>
      <c r="G168" s="340" t="s">
        <v>214</v>
      </c>
      <c r="H168" s="359" t="n">
        <v>0.1075</v>
      </c>
      <c r="I168" s="340" t="s">
        <v>225</v>
      </c>
      <c r="J168" s="343" t="n">
        <f aca="false">H168-L168</f>
        <v>0.052</v>
      </c>
      <c r="K168" s="340" t="s">
        <v>226</v>
      </c>
      <c r="L168" s="359" t="n">
        <v>0.0555</v>
      </c>
      <c r="M168" s="340" t="s">
        <v>217</v>
      </c>
      <c r="N168" s="372" t="n">
        <v>66.5</v>
      </c>
      <c r="O168" s="340" t="s">
        <v>218</v>
      </c>
      <c r="P168" s="372" t="n">
        <v>66.5</v>
      </c>
      <c r="Q168" s="340" t="s">
        <v>219</v>
      </c>
      <c r="R168" s="360" t="n">
        <v>133</v>
      </c>
      <c r="S168" s="340" t="s">
        <v>220</v>
      </c>
      <c r="T168" s="360" t="n">
        <v>24</v>
      </c>
      <c r="U168" s="340" t="s">
        <v>8</v>
      </c>
      <c r="V168" s="361" t="s">
        <v>250</v>
      </c>
      <c r="W168" s="346" t="s">
        <v>221</v>
      </c>
      <c r="X168" s="370" t="n">
        <v>0.86</v>
      </c>
      <c r="Y168" s="346" t="s">
        <v>222</v>
      </c>
      <c r="Z168" s="345" t="n">
        <v>13</v>
      </c>
    </row>
    <row r="169" customFormat="false" ht="12" hidden="false" customHeight="false" outlineLevel="0" collapsed="false">
      <c r="A169" s="338" t="s">
        <v>227</v>
      </c>
      <c r="B169" s="378" t="n">
        <v>0</v>
      </c>
      <c r="C169" s="373" t="n">
        <v>0.005</v>
      </c>
      <c r="D169" s="373" t="n">
        <v>0.013</v>
      </c>
      <c r="E169" s="373" t="n">
        <v>0.022</v>
      </c>
      <c r="F169" s="373" t="n">
        <v>0.043</v>
      </c>
      <c r="G169" s="373" t="n">
        <v>0.119</v>
      </c>
      <c r="H169" s="373" t="n">
        <v>0.198</v>
      </c>
      <c r="I169" s="373" t="n">
        <v>0.267</v>
      </c>
      <c r="J169" s="373" t="n">
        <v>0.343</v>
      </c>
      <c r="K169" s="373" t="n">
        <v>0.404</v>
      </c>
      <c r="L169" s="373" t="n">
        <v>0.498</v>
      </c>
      <c r="M169" s="373" t="n">
        <v>0.555</v>
      </c>
      <c r="N169" s="373" t="n">
        <v>0.622</v>
      </c>
      <c r="O169" s="373" t="n">
        <v>0.663</v>
      </c>
      <c r="P169" s="373" t="n">
        <v>0.704</v>
      </c>
      <c r="Q169" s="373" t="n">
        <v>0.729</v>
      </c>
      <c r="R169" s="373" t="n">
        <v>0.747</v>
      </c>
      <c r="S169" s="373" t="n">
        <v>0.768</v>
      </c>
      <c r="T169" s="373" t="n">
        <v>0.821</v>
      </c>
      <c r="U169" s="373" t="n">
        <v>0.852</v>
      </c>
      <c r="V169" s="373" t="n">
        <v>0.892</v>
      </c>
      <c r="W169" s="373" t="n">
        <v>1</v>
      </c>
      <c r="X169" s="373" t="n">
        <v>2</v>
      </c>
      <c r="Y169" s="374" t="n">
        <v>1000</v>
      </c>
    </row>
    <row r="170" customFormat="false" ht="12" hidden="false" customHeight="false" outlineLevel="0" collapsed="false">
      <c r="A170" s="364" t="s">
        <v>228</v>
      </c>
      <c r="B170" s="379" t="n">
        <v>0</v>
      </c>
      <c r="C170" s="375" t="n">
        <v>60</v>
      </c>
      <c r="D170" s="375" t="n">
        <v>89.007</v>
      </c>
      <c r="E170" s="375" t="n">
        <v>96.291</v>
      </c>
      <c r="F170" s="375" t="n">
        <v>81.722</v>
      </c>
      <c r="G170" s="375" t="n">
        <v>85.563</v>
      </c>
      <c r="H170" s="375" t="n">
        <v>87.947</v>
      </c>
      <c r="I170" s="375" t="n">
        <v>89.272</v>
      </c>
      <c r="J170" s="375" t="n">
        <v>89.934</v>
      </c>
      <c r="K170" s="375" t="n">
        <v>90.861</v>
      </c>
      <c r="L170" s="375" t="n">
        <v>91.523</v>
      </c>
      <c r="M170" s="375" t="n">
        <v>89.669</v>
      </c>
      <c r="N170" s="375" t="n">
        <v>83.974</v>
      </c>
      <c r="O170" s="375" t="n">
        <v>80.53</v>
      </c>
      <c r="P170" s="375" t="n">
        <v>78.94</v>
      </c>
      <c r="Q170" s="375" t="n">
        <v>74.172</v>
      </c>
      <c r="R170" s="375" t="n">
        <v>66.887</v>
      </c>
      <c r="S170" s="375" t="n">
        <v>53.775</v>
      </c>
      <c r="T170" s="375" t="n">
        <v>18.543</v>
      </c>
      <c r="U170" s="375" t="n">
        <v>7.815</v>
      </c>
      <c r="V170" s="375" t="n">
        <v>2.119</v>
      </c>
      <c r="W170" s="375" t="n">
        <v>0</v>
      </c>
      <c r="X170" s="375" t="n">
        <v>0</v>
      </c>
      <c r="Y170" s="376" t="n">
        <v>0</v>
      </c>
    </row>
    <row r="171" customFormat="false" ht="12.75" hidden="false" customHeight="false" outlineLevel="0" collapsed="false">
      <c r="A171" s="351" t="s">
        <v>229</v>
      </c>
      <c r="B171" s="368" t="n">
        <f aca="false">(C170+B170)*(C169-B169)/2</f>
        <v>0.15</v>
      </c>
      <c r="C171" s="369" t="n">
        <f aca="false">(D170+C170)*(D169-C169)/2</f>
        <v>0.596028</v>
      </c>
      <c r="D171" s="369" t="n">
        <f aca="false">(E170+D170)*(E169-D169)/2</f>
        <v>0.833841</v>
      </c>
      <c r="E171" s="369" t="n">
        <f aca="false">(F170+E170)*(F169-E169)/2</f>
        <v>1.8691365</v>
      </c>
      <c r="F171" s="369" t="n">
        <f aca="false">(G170+F170)*(G169-F169)/2</f>
        <v>6.35683</v>
      </c>
      <c r="G171" s="369" t="n">
        <f aca="false">(H170+G170)*(H169-G169)/2</f>
        <v>6.853645</v>
      </c>
      <c r="H171" s="369" t="n">
        <f aca="false">(I170+H170)*(I169-H169)/2</f>
        <v>6.1140555</v>
      </c>
      <c r="I171" s="369" t="n">
        <f aca="false">(J170+I170)*(J169-I169)/2</f>
        <v>6.809828</v>
      </c>
      <c r="J171" s="369" t="n">
        <f aca="false">(K170+J170)*(K169-J169)/2</f>
        <v>5.5142475</v>
      </c>
      <c r="K171" s="369" t="n">
        <f aca="false">(L170+K170)*(L169-K169)/2</f>
        <v>8.572048</v>
      </c>
      <c r="L171" s="369" t="n">
        <f aca="false">(M170+L170)*(M169-L169)/2</f>
        <v>5.16397200000001</v>
      </c>
      <c r="M171" s="369" t="n">
        <f aca="false">(N170+M170)*(N169-M169)/2</f>
        <v>5.8170405</v>
      </c>
      <c r="N171" s="369" t="n">
        <f aca="false">(O170+N170)*(O169-N169)/2</f>
        <v>3.372332</v>
      </c>
      <c r="O171" s="369" t="n">
        <f aca="false">(P170+O170)*(P169-O169)/2</f>
        <v>3.26913499999999</v>
      </c>
      <c r="P171" s="369" t="n">
        <f aca="false">(Q170+P170)*(Q169-P169)/2</f>
        <v>1.9139</v>
      </c>
      <c r="Q171" s="369" t="n">
        <f aca="false">(R170+Q170)*(R169-Q169)/2</f>
        <v>1.269531</v>
      </c>
      <c r="R171" s="369" t="n">
        <f aca="false">(S170+R170)*(S169-R169)/2</f>
        <v>1.266951</v>
      </c>
      <c r="S171" s="369" t="n">
        <f aca="false">(T170+S170)*(T169-S169)/2</f>
        <v>1.916427</v>
      </c>
      <c r="T171" s="369" t="n">
        <f aca="false">(U170+T170)*(U169-T169)/2</f>
        <v>0.408549</v>
      </c>
      <c r="U171" s="369" t="n">
        <f aca="false">(V170+U170)*(V169-U169)/2</f>
        <v>0.19868</v>
      </c>
      <c r="V171" s="369" t="n">
        <f aca="false">(W170+V170)*(W169-V169)/2</f>
        <v>0.114426</v>
      </c>
      <c r="W171" s="369" t="n">
        <f aca="false">(X170+W170)*(X169-W169)/2</f>
        <v>0</v>
      </c>
      <c r="X171" s="369" t="n">
        <f aca="false">(Y170+X170)*(Y169-X169)/2</f>
        <v>0</v>
      </c>
      <c r="Y171" s="354"/>
    </row>
    <row r="172" customFormat="false" ht="12.75" hidden="false" customHeight="false" outlineLevel="0" collapsed="false">
      <c r="B172" s="355"/>
      <c r="C172" s="355"/>
      <c r="D172" s="355"/>
      <c r="E172" s="355"/>
      <c r="F172" s="355"/>
      <c r="G172" s="355"/>
      <c r="H172" s="355"/>
      <c r="I172" s="355"/>
      <c r="J172" s="355"/>
      <c r="K172" s="355"/>
      <c r="L172" s="355"/>
      <c r="M172" s="355"/>
      <c r="N172" s="355"/>
      <c r="O172" s="355"/>
      <c r="P172" s="355"/>
      <c r="Q172" s="355"/>
      <c r="R172" s="355"/>
      <c r="S172" s="355"/>
      <c r="T172" s="355"/>
      <c r="U172" s="355"/>
      <c r="V172" s="355"/>
      <c r="W172" s="355"/>
      <c r="X172" s="355"/>
      <c r="Y172" s="355"/>
    </row>
    <row r="173" customFormat="false" ht="13.5" hidden="false" customHeight="false" outlineLevel="0" collapsed="false">
      <c r="A173" s="357" t="s">
        <v>268</v>
      </c>
      <c r="B173" s="358" t="n">
        <f aca="false">ROW(A173)</f>
        <v>173</v>
      </c>
      <c r="C173" s="340" t="s">
        <v>212</v>
      </c>
      <c r="D173" s="341" t="n">
        <f aca="false">SUM(B176:Y176)</f>
        <v>67.9854285</v>
      </c>
      <c r="E173" s="340" t="s">
        <v>213</v>
      </c>
      <c r="F173" s="342" t="n">
        <f aca="false">D173/g/J173</f>
        <v>181.895458595199</v>
      </c>
      <c r="G173" s="340" t="s">
        <v>214</v>
      </c>
      <c r="H173" s="359" t="n">
        <v>0.0918</v>
      </c>
      <c r="I173" s="340" t="s">
        <v>225</v>
      </c>
      <c r="J173" s="343" t="n">
        <f aca="false">H173-L173</f>
        <v>0.0381</v>
      </c>
      <c r="K173" s="340" t="s">
        <v>226</v>
      </c>
      <c r="L173" s="359" t="n">
        <v>0.0537</v>
      </c>
      <c r="M173" s="340" t="s">
        <v>217</v>
      </c>
      <c r="N173" s="372" t="n">
        <v>66.5</v>
      </c>
      <c r="O173" s="340" t="s">
        <v>218</v>
      </c>
      <c r="P173" s="372" t="n">
        <v>66.5</v>
      </c>
      <c r="Q173" s="340" t="s">
        <v>219</v>
      </c>
      <c r="R173" s="360" t="n">
        <v>133</v>
      </c>
      <c r="S173" s="340" t="s">
        <v>220</v>
      </c>
      <c r="T173" s="360" t="n">
        <v>24</v>
      </c>
      <c r="U173" s="340" t="s">
        <v>8</v>
      </c>
      <c r="V173" s="361" t="s">
        <v>250</v>
      </c>
      <c r="W173" s="346" t="s">
        <v>221</v>
      </c>
      <c r="X173" s="370" t="n">
        <v>0.33</v>
      </c>
      <c r="Y173" s="346" t="s">
        <v>222</v>
      </c>
      <c r="Z173" s="345" t="n">
        <v>15</v>
      </c>
    </row>
    <row r="174" customFormat="false" ht="12" hidden="false" customHeight="false" outlineLevel="0" collapsed="false">
      <c r="A174" s="338" t="s">
        <v>227</v>
      </c>
      <c r="B174" s="378" t="n">
        <v>0</v>
      </c>
      <c r="C174" s="373" t="n">
        <v>0.004</v>
      </c>
      <c r="D174" s="373" t="n">
        <v>0.007</v>
      </c>
      <c r="E174" s="373" t="n">
        <v>0.01</v>
      </c>
      <c r="F174" s="373" t="n">
        <v>0.022</v>
      </c>
      <c r="G174" s="373" t="n">
        <v>0.028</v>
      </c>
      <c r="H174" s="373" t="n">
        <v>0.041</v>
      </c>
      <c r="I174" s="373" t="n">
        <v>0.058</v>
      </c>
      <c r="J174" s="373" t="n">
        <v>0.077</v>
      </c>
      <c r="K174" s="373" t="n">
        <v>0.089</v>
      </c>
      <c r="L174" s="373" t="n">
        <v>0.097</v>
      </c>
      <c r="M174" s="373" t="n">
        <v>0.119</v>
      </c>
      <c r="N174" s="373" t="n">
        <v>0.147</v>
      </c>
      <c r="O174" s="373" t="n">
        <v>0.177</v>
      </c>
      <c r="P174" s="373" t="n">
        <v>0.207</v>
      </c>
      <c r="Q174" s="373" t="n">
        <v>0.253</v>
      </c>
      <c r="R174" s="373" t="n">
        <v>0.259</v>
      </c>
      <c r="S174" s="373" t="n">
        <v>0.272</v>
      </c>
      <c r="T174" s="373" t="n">
        <v>0.28</v>
      </c>
      <c r="U174" s="373" t="n">
        <v>0.286</v>
      </c>
      <c r="V174" s="373" t="n">
        <v>0.294</v>
      </c>
      <c r="W174" s="373" t="n">
        <v>0.328</v>
      </c>
      <c r="X174" s="373" t="n">
        <v>2</v>
      </c>
      <c r="Y174" s="374" t="n">
        <v>1000</v>
      </c>
    </row>
    <row r="175" customFormat="false" ht="12" hidden="false" customHeight="false" outlineLevel="0" collapsed="false">
      <c r="A175" s="364" t="s">
        <v>228</v>
      </c>
      <c r="B175" s="379" t="n">
        <v>0</v>
      </c>
      <c r="C175" s="380" t="n">
        <v>100.528</v>
      </c>
      <c r="D175" s="380" t="n">
        <v>197.493</v>
      </c>
      <c r="E175" s="380" t="n">
        <v>222.032</v>
      </c>
      <c r="F175" s="380" t="n">
        <v>241.425</v>
      </c>
      <c r="G175" s="380" t="n">
        <v>237.863</v>
      </c>
      <c r="H175" s="380" t="n">
        <v>239.446</v>
      </c>
      <c r="I175" s="380" t="n">
        <v>252.507</v>
      </c>
      <c r="J175" s="380" t="n">
        <v>263.984</v>
      </c>
      <c r="K175" s="380" t="n">
        <v>275.462</v>
      </c>
      <c r="L175" s="380" t="n">
        <v>271.504</v>
      </c>
      <c r="M175" s="380" t="n">
        <v>278.628</v>
      </c>
      <c r="N175" s="380" t="n">
        <v>281.398</v>
      </c>
      <c r="O175" s="380" t="n">
        <v>272.296</v>
      </c>
      <c r="P175" s="380" t="n">
        <v>258.443</v>
      </c>
      <c r="Q175" s="380" t="n">
        <v>218.47</v>
      </c>
      <c r="R175" s="380" t="n">
        <v>188.786</v>
      </c>
      <c r="S175" s="380" t="n">
        <v>74.802</v>
      </c>
      <c r="T175" s="380" t="n">
        <v>31.266</v>
      </c>
      <c r="U175" s="380" t="n">
        <v>15.831</v>
      </c>
      <c r="V175" s="380" t="n">
        <v>8.707</v>
      </c>
      <c r="W175" s="380" t="n">
        <v>0</v>
      </c>
      <c r="X175" s="375" t="n">
        <v>0</v>
      </c>
      <c r="Y175" s="376" t="n">
        <v>0</v>
      </c>
    </row>
    <row r="176" customFormat="false" ht="12.75" hidden="false" customHeight="false" outlineLevel="0" collapsed="false">
      <c r="A176" s="351" t="s">
        <v>229</v>
      </c>
      <c r="B176" s="368" t="n">
        <f aca="false">(C175+B175)*(C174-B174)/2</f>
        <v>0.201056</v>
      </c>
      <c r="C176" s="369" t="n">
        <f aca="false">(D175+C175)*(D174-C174)/2</f>
        <v>0.4470315</v>
      </c>
      <c r="D176" s="369" t="n">
        <f aca="false">(E175+D175)*(E174-D174)/2</f>
        <v>0.6292875</v>
      </c>
      <c r="E176" s="369" t="n">
        <f aca="false">(F175+E175)*(F174-E174)/2</f>
        <v>2.780742</v>
      </c>
      <c r="F176" s="369" t="n">
        <f aca="false">(G175+F175)*(G174-F174)/2</f>
        <v>1.437864</v>
      </c>
      <c r="G176" s="369" t="n">
        <f aca="false">(H175+G175)*(H174-G174)/2</f>
        <v>3.1025085</v>
      </c>
      <c r="H176" s="369" t="n">
        <f aca="false">(I175+H175)*(I174-H174)/2</f>
        <v>4.1816005</v>
      </c>
      <c r="I176" s="369" t="n">
        <f aca="false">(J175+I175)*(J174-I174)/2</f>
        <v>4.9066645</v>
      </c>
      <c r="J176" s="369" t="n">
        <f aca="false">(K175+J175)*(K174-J174)/2</f>
        <v>3.236676</v>
      </c>
      <c r="K176" s="369" t="n">
        <f aca="false">(L175+K175)*(L174-K174)/2</f>
        <v>2.187864</v>
      </c>
      <c r="L176" s="369" t="n">
        <f aca="false">(M175+L175)*(M174-L174)/2</f>
        <v>6.051452</v>
      </c>
      <c r="M176" s="369" t="n">
        <f aca="false">(N175+M175)*(N174-M174)/2</f>
        <v>7.840364</v>
      </c>
      <c r="N176" s="369" t="n">
        <f aca="false">(O175+N175)*(O174-N174)/2</f>
        <v>8.30541</v>
      </c>
      <c r="O176" s="369" t="n">
        <f aca="false">(P175+O175)*(P174-O174)/2</f>
        <v>7.961085</v>
      </c>
      <c r="P176" s="369" t="n">
        <f aca="false">(Q175+P175)*(Q174-P174)/2</f>
        <v>10.968999</v>
      </c>
      <c r="Q176" s="369" t="n">
        <f aca="false">(R175+Q175)*(R174-Q174)/2</f>
        <v>1.221768</v>
      </c>
      <c r="R176" s="369" t="n">
        <f aca="false">(S175+R175)*(S174-R174)/2</f>
        <v>1.713322</v>
      </c>
      <c r="S176" s="369" t="n">
        <f aca="false">(T175+S175)*(T174-S174)/2</f>
        <v>0.424272</v>
      </c>
      <c r="T176" s="369" t="n">
        <f aca="false">(U175+T175)*(U174-T174)/2</f>
        <v>0.141290999999999</v>
      </c>
      <c r="U176" s="369" t="n">
        <f aca="false">(V175+U175)*(V174-U174)/2</f>
        <v>0.0981520000000001</v>
      </c>
      <c r="V176" s="369" t="n">
        <f aca="false">(W175+V175)*(W174-V174)/2</f>
        <v>0.148019</v>
      </c>
      <c r="W176" s="369" t="n">
        <f aca="false">(X175+W175)*(X174-W174)/2</f>
        <v>0</v>
      </c>
      <c r="X176" s="369" t="n">
        <f aca="false">(Y175+X175)*(Y174-X174)/2</f>
        <v>0</v>
      </c>
      <c r="Y176" s="354"/>
    </row>
    <row r="177" customFormat="false" ht="12.75" hidden="false" customHeight="false" outlineLevel="0" collapsed="false">
      <c r="B177" s="355"/>
      <c r="C177" s="355"/>
      <c r="D177" s="355"/>
      <c r="E177" s="355"/>
      <c r="F177" s="355"/>
      <c r="G177" s="355"/>
      <c r="H177" s="355"/>
      <c r="I177" s="355"/>
      <c r="J177" s="355"/>
      <c r="K177" s="355"/>
      <c r="L177" s="355"/>
      <c r="M177" s="355"/>
      <c r="N177" s="355"/>
      <c r="O177" s="355"/>
      <c r="P177" s="355"/>
      <c r="Q177" s="355"/>
      <c r="R177" s="355"/>
      <c r="S177" s="355"/>
      <c r="T177" s="355"/>
      <c r="U177" s="355"/>
      <c r="V177" s="355"/>
      <c r="W177" s="355"/>
      <c r="X177" s="355"/>
      <c r="Y177" s="355"/>
    </row>
    <row r="178" customFormat="false" ht="13.5" hidden="false" customHeight="false" outlineLevel="0" collapsed="false">
      <c r="A178" s="357" t="s">
        <v>269</v>
      </c>
      <c r="B178" s="358" t="n">
        <f aca="false">ROW(A178)</f>
        <v>178</v>
      </c>
      <c r="C178" s="340" t="s">
        <v>212</v>
      </c>
      <c r="D178" s="341" t="n">
        <f aca="false">SUM(B181:Y181)</f>
        <v>73.5573815</v>
      </c>
      <c r="E178" s="340" t="s">
        <v>213</v>
      </c>
      <c r="F178" s="342" t="n">
        <f aca="false">D178/g/J178</f>
        <v>156.866193023087</v>
      </c>
      <c r="G178" s="340" t="s">
        <v>214</v>
      </c>
      <c r="H178" s="359" t="n">
        <v>0.1022</v>
      </c>
      <c r="I178" s="340" t="s">
        <v>225</v>
      </c>
      <c r="J178" s="343" t="n">
        <f aca="false">H178-L178</f>
        <v>0.0478</v>
      </c>
      <c r="K178" s="340" t="s">
        <v>226</v>
      </c>
      <c r="L178" s="359" t="n">
        <v>0.0544</v>
      </c>
      <c r="M178" s="340" t="s">
        <v>217</v>
      </c>
      <c r="N178" s="372" t="n">
        <v>66.5</v>
      </c>
      <c r="O178" s="340" t="s">
        <v>218</v>
      </c>
      <c r="P178" s="372" t="n">
        <v>66.5</v>
      </c>
      <c r="Q178" s="340" t="s">
        <v>219</v>
      </c>
      <c r="R178" s="360" t="n">
        <v>133</v>
      </c>
      <c r="S178" s="340" t="s">
        <v>220</v>
      </c>
      <c r="T178" s="360" t="n">
        <v>24</v>
      </c>
      <c r="U178" s="340" t="s">
        <v>8</v>
      </c>
      <c r="V178" s="361" t="s">
        <v>250</v>
      </c>
      <c r="W178" s="346" t="s">
        <v>221</v>
      </c>
      <c r="X178" s="370" t="n">
        <v>2.36</v>
      </c>
      <c r="Y178" s="346" t="s">
        <v>222</v>
      </c>
      <c r="Z178" s="345" t="n">
        <v>6</v>
      </c>
    </row>
    <row r="179" customFormat="false" ht="12" hidden="false" customHeight="false" outlineLevel="0" collapsed="false">
      <c r="A179" s="338" t="s">
        <v>227</v>
      </c>
      <c r="B179" s="378" t="n">
        <v>0</v>
      </c>
      <c r="C179" s="373" t="n">
        <v>0.014</v>
      </c>
      <c r="D179" s="373" t="n">
        <v>0.056</v>
      </c>
      <c r="E179" s="373" t="n">
        <v>0.092</v>
      </c>
      <c r="F179" s="373" t="n">
        <v>0.16</v>
      </c>
      <c r="G179" s="373" t="n">
        <v>0.232</v>
      </c>
      <c r="H179" s="373" t="n">
        <v>0.363</v>
      </c>
      <c r="I179" s="373" t="n">
        <v>0.499</v>
      </c>
      <c r="J179" s="373" t="n">
        <v>0.655</v>
      </c>
      <c r="K179" s="373" t="n">
        <v>0.843</v>
      </c>
      <c r="L179" s="373" t="n">
        <v>1.216</v>
      </c>
      <c r="M179" s="373" t="n">
        <v>1.368</v>
      </c>
      <c r="N179" s="373" t="n">
        <v>1.54</v>
      </c>
      <c r="O179" s="373" t="n">
        <v>1.675</v>
      </c>
      <c r="P179" s="373" t="n">
        <v>1.861</v>
      </c>
      <c r="Q179" s="373" t="n">
        <v>2.013</v>
      </c>
      <c r="R179" s="373" t="n">
        <v>2.159</v>
      </c>
      <c r="S179" s="373" t="n">
        <v>2.302</v>
      </c>
      <c r="T179" s="373" t="n">
        <v>2.462</v>
      </c>
      <c r="U179" s="373" t="n">
        <v>2.598</v>
      </c>
      <c r="V179" s="373" t="n">
        <v>2.598</v>
      </c>
      <c r="W179" s="373" t="n">
        <v>2.598</v>
      </c>
      <c r="X179" s="373" t="n">
        <v>2.598</v>
      </c>
      <c r="Y179" s="374" t="n">
        <v>1000</v>
      </c>
    </row>
    <row r="180" customFormat="false" ht="12" hidden="false" customHeight="false" outlineLevel="0" collapsed="false">
      <c r="A180" s="364" t="s">
        <v>228</v>
      </c>
      <c r="B180" s="379" t="n">
        <v>0</v>
      </c>
      <c r="C180" s="380" t="n">
        <v>54.222</v>
      </c>
      <c r="D180" s="380" t="n">
        <v>43.456</v>
      </c>
      <c r="E180" s="380" t="n">
        <v>50.185</v>
      </c>
      <c r="F180" s="380" t="n">
        <v>54.063</v>
      </c>
      <c r="G180" s="380" t="n">
        <v>48.364</v>
      </c>
      <c r="H180" s="380" t="n">
        <v>45.752</v>
      </c>
      <c r="I180" s="380" t="n">
        <v>43.14</v>
      </c>
      <c r="J180" s="380" t="n">
        <v>40.29</v>
      </c>
      <c r="K180" s="380" t="n">
        <v>37.836</v>
      </c>
      <c r="L180" s="380" t="n">
        <v>32.612</v>
      </c>
      <c r="M180" s="380" t="n">
        <v>30.317</v>
      </c>
      <c r="N180" s="380" t="n">
        <v>26.359</v>
      </c>
      <c r="O180" s="380" t="n">
        <v>23.509</v>
      </c>
      <c r="P180" s="380" t="n">
        <v>19.077</v>
      </c>
      <c r="Q180" s="380" t="n">
        <v>14.565</v>
      </c>
      <c r="R180" s="380" t="n">
        <v>10.053</v>
      </c>
      <c r="S180" s="380" t="n">
        <v>4.828</v>
      </c>
      <c r="T180" s="380" t="n">
        <v>1.504</v>
      </c>
      <c r="U180" s="375" t="n">
        <v>0</v>
      </c>
      <c r="V180" s="375" t="n">
        <v>0</v>
      </c>
      <c r="W180" s="375" t="n">
        <v>0</v>
      </c>
      <c r="X180" s="375" t="n">
        <v>0</v>
      </c>
      <c r="Y180" s="376" t="n">
        <v>0</v>
      </c>
    </row>
    <row r="181" customFormat="false" ht="12.75" hidden="false" customHeight="false" outlineLevel="0" collapsed="false">
      <c r="A181" s="351" t="s">
        <v>229</v>
      </c>
      <c r="B181" s="368" t="n">
        <f aca="false">(C180+B180)*(C179-B179)/2</f>
        <v>0.379554</v>
      </c>
      <c r="C181" s="369" t="n">
        <f aca="false">(D180+C180)*(D179-C179)/2</f>
        <v>2.051238</v>
      </c>
      <c r="D181" s="369" t="n">
        <f aca="false">(E180+D180)*(E179-D179)/2</f>
        <v>1.685538</v>
      </c>
      <c r="E181" s="369" t="n">
        <f aca="false">(F180+E180)*(F179-E179)/2</f>
        <v>3.544432</v>
      </c>
      <c r="F181" s="369" t="n">
        <f aca="false">(G180+F180)*(G179-F179)/2</f>
        <v>3.687372</v>
      </c>
      <c r="G181" s="369" t="n">
        <f aca="false">(H180+G180)*(H179-G179)/2</f>
        <v>6.164598</v>
      </c>
      <c r="H181" s="369" t="n">
        <f aca="false">(I180+H180)*(I179-H179)/2</f>
        <v>6.044656</v>
      </c>
      <c r="I181" s="369" t="n">
        <f aca="false">(J180+I180)*(J179-I179)/2</f>
        <v>6.50754</v>
      </c>
      <c r="J181" s="369" t="n">
        <f aca="false">(K180+J180)*(K179-J179)/2</f>
        <v>7.343844</v>
      </c>
      <c r="K181" s="369" t="n">
        <f aca="false">(L180+K180)*(L179-K179)/2</f>
        <v>13.138552</v>
      </c>
      <c r="L181" s="369" t="n">
        <f aca="false">(M180+L180)*(M179-L179)/2</f>
        <v>4.782604</v>
      </c>
      <c r="M181" s="369" t="n">
        <f aca="false">(N180+M180)*(N179-M179)/2</f>
        <v>4.874136</v>
      </c>
      <c r="N181" s="369" t="n">
        <f aca="false">(O180+N180)*(O179-N179)/2</f>
        <v>3.36609</v>
      </c>
      <c r="O181" s="369" t="n">
        <f aca="false">(P180+O180)*(P179-O179)/2</f>
        <v>3.960498</v>
      </c>
      <c r="P181" s="369" t="n">
        <f aca="false">(Q180+P180)*(Q179-P179)/2</f>
        <v>2.556792</v>
      </c>
      <c r="Q181" s="369" t="n">
        <f aca="false">(R180+Q180)*(R179-Q179)/2</f>
        <v>1.797114</v>
      </c>
      <c r="R181" s="369" t="n">
        <f aca="false">(S180+R180)*(S179-R179)/2</f>
        <v>1.0639915</v>
      </c>
      <c r="S181" s="369" t="n">
        <f aca="false">(T180+S180)*(T179-S179)/2</f>
        <v>0.506560000000001</v>
      </c>
      <c r="T181" s="369" t="n">
        <f aca="false">(U180+T180)*(U179-T179)/2</f>
        <v>0.102272</v>
      </c>
      <c r="U181" s="369" t="n">
        <f aca="false">(V180+U180)*(V179-U179)/2</f>
        <v>0</v>
      </c>
      <c r="V181" s="369" t="n">
        <f aca="false">(W180+V180)*(W179-V179)/2</f>
        <v>0</v>
      </c>
      <c r="W181" s="369" t="n">
        <f aca="false">(X180+W180)*(X179-W179)/2</f>
        <v>0</v>
      </c>
      <c r="X181" s="369" t="n">
        <f aca="false">(Y180+X180)*(Y179-X179)/2</f>
        <v>0</v>
      </c>
      <c r="Y181" s="354"/>
    </row>
    <row r="182" customFormat="false" ht="12.75" hidden="false" customHeight="false" outlineLevel="0" collapsed="false">
      <c r="B182" s="355"/>
      <c r="C182" s="355"/>
      <c r="D182" s="355"/>
      <c r="E182" s="355"/>
      <c r="F182" s="355"/>
      <c r="G182" s="355"/>
      <c r="H182" s="355"/>
      <c r="I182" s="355"/>
      <c r="J182" s="355"/>
      <c r="K182" s="355"/>
      <c r="L182" s="355"/>
      <c r="M182" s="355"/>
      <c r="N182" s="355"/>
      <c r="O182" s="355"/>
      <c r="P182" s="355"/>
      <c r="Q182" s="355"/>
      <c r="R182" s="355"/>
      <c r="S182" s="355"/>
      <c r="T182" s="355"/>
      <c r="U182" s="355"/>
      <c r="V182" s="355"/>
      <c r="W182" s="355"/>
      <c r="X182" s="355"/>
      <c r="Y182" s="355"/>
    </row>
    <row r="183" customFormat="false" ht="13.5" hidden="false" customHeight="false" outlineLevel="0" collapsed="false">
      <c r="A183" s="357" t="s">
        <v>270</v>
      </c>
      <c r="B183" s="358" t="n">
        <f aca="false">ROW(A183)</f>
        <v>183</v>
      </c>
      <c r="C183" s="340" t="s">
        <v>212</v>
      </c>
      <c r="D183" s="341" t="n">
        <f aca="false">SUM(B186:Y186)</f>
        <v>73.169518</v>
      </c>
      <c r="E183" s="340" t="s">
        <v>213</v>
      </c>
      <c r="F183" s="342" t="n">
        <f aca="false">D183/g/J183</f>
        <v>177.587296733168</v>
      </c>
      <c r="G183" s="340" t="s">
        <v>214</v>
      </c>
      <c r="H183" s="359" t="n">
        <v>0.096</v>
      </c>
      <c r="I183" s="340" t="s">
        <v>225</v>
      </c>
      <c r="J183" s="343" t="n">
        <f aca="false">H183-L183</f>
        <v>0.042</v>
      </c>
      <c r="K183" s="340" t="s">
        <v>226</v>
      </c>
      <c r="L183" s="359" t="n">
        <v>0.054</v>
      </c>
      <c r="M183" s="340" t="s">
        <v>217</v>
      </c>
      <c r="N183" s="372" t="n">
        <v>66.5</v>
      </c>
      <c r="O183" s="340" t="s">
        <v>218</v>
      </c>
      <c r="P183" s="372" t="n">
        <v>66.5</v>
      </c>
      <c r="Q183" s="340" t="s">
        <v>219</v>
      </c>
      <c r="R183" s="360" t="n">
        <v>133</v>
      </c>
      <c r="S183" s="340" t="s">
        <v>220</v>
      </c>
      <c r="T183" s="360" t="n">
        <v>24</v>
      </c>
      <c r="U183" s="340" t="s">
        <v>8</v>
      </c>
      <c r="V183" s="361" t="s">
        <v>250</v>
      </c>
      <c r="W183" s="346" t="s">
        <v>221</v>
      </c>
      <c r="X183" s="370" t="n">
        <v>0.87</v>
      </c>
      <c r="Y183" s="346" t="s">
        <v>222</v>
      </c>
      <c r="Z183" s="345" t="n">
        <v>15</v>
      </c>
    </row>
    <row r="184" customFormat="false" ht="12" hidden="false" customHeight="false" outlineLevel="0" collapsed="false">
      <c r="A184" s="338" t="s">
        <v>227</v>
      </c>
      <c r="B184" s="378" t="n">
        <v>0</v>
      </c>
      <c r="C184" s="373" t="n">
        <v>0.01</v>
      </c>
      <c r="D184" s="373" t="n">
        <v>0.023</v>
      </c>
      <c r="E184" s="373" t="n">
        <v>0.04</v>
      </c>
      <c r="F184" s="373" t="n">
        <v>0.118</v>
      </c>
      <c r="G184" s="373" t="n">
        <v>0.283</v>
      </c>
      <c r="H184" s="373" t="n">
        <v>0.51</v>
      </c>
      <c r="I184" s="373" t="n">
        <v>0.688</v>
      </c>
      <c r="J184" s="373" t="n">
        <v>0.787</v>
      </c>
      <c r="K184" s="373" t="n">
        <v>0.852</v>
      </c>
      <c r="L184" s="373" t="n">
        <v>0.873</v>
      </c>
      <c r="M184" s="373" t="n">
        <v>0.873</v>
      </c>
      <c r="N184" s="373" t="n">
        <v>0.873</v>
      </c>
      <c r="O184" s="373" t="n">
        <v>0.873</v>
      </c>
      <c r="P184" s="373" t="n">
        <v>0.873</v>
      </c>
      <c r="Q184" s="373" t="n">
        <v>0.873</v>
      </c>
      <c r="R184" s="373" t="n">
        <v>0.873</v>
      </c>
      <c r="S184" s="373" t="n">
        <v>0.873</v>
      </c>
      <c r="T184" s="373" t="n">
        <v>0.873</v>
      </c>
      <c r="U184" s="373" t="n">
        <v>0.873</v>
      </c>
      <c r="V184" s="373" t="n">
        <v>0.873</v>
      </c>
      <c r="W184" s="373" t="n">
        <v>0.873</v>
      </c>
      <c r="X184" s="373" t="n">
        <v>2</v>
      </c>
      <c r="Y184" s="374" t="n">
        <v>1000</v>
      </c>
    </row>
    <row r="185" customFormat="false" ht="12" hidden="false" customHeight="false" outlineLevel="0" collapsed="false">
      <c r="A185" s="364" t="s">
        <v>228</v>
      </c>
      <c r="B185" s="379" t="n">
        <v>0</v>
      </c>
      <c r="C185" s="380" t="n">
        <v>76.074</v>
      </c>
      <c r="D185" s="380" t="n">
        <v>100.185</v>
      </c>
      <c r="E185" s="380" t="n">
        <v>92.425</v>
      </c>
      <c r="F185" s="380" t="n">
        <v>100.878</v>
      </c>
      <c r="G185" s="380" t="n">
        <v>102.402</v>
      </c>
      <c r="H185" s="380" t="n">
        <v>96.443</v>
      </c>
      <c r="I185" s="380" t="n">
        <v>87.436</v>
      </c>
      <c r="J185" s="380" t="n">
        <v>25.912</v>
      </c>
      <c r="K185" s="380" t="n">
        <v>7.206</v>
      </c>
      <c r="L185" s="375" t="n">
        <v>0</v>
      </c>
      <c r="M185" s="375" t="n">
        <v>0</v>
      </c>
      <c r="N185" s="375" t="n">
        <v>0</v>
      </c>
      <c r="O185" s="375" t="n">
        <v>0</v>
      </c>
      <c r="P185" s="375" t="n">
        <v>0</v>
      </c>
      <c r="Q185" s="375" t="n">
        <v>0</v>
      </c>
      <c r="R185" s="375" t="n">
        <v>0</v>
      </c>
      <c r="S185" s="375" t="n">
        <v>0</v>
      </c>
      <c r="T185" s="375" t="n">
        <v>0</v>
      </c>
      <c r="U185" s="375" t="n">
        <v>0</v>
      </c>
      <c r="V185" s="375" t="n">
        <v>0</v>
      </c>
      <c r="W185" s="375" t="n">
        <v>0</v>
      </c>
      <c r="X185" s="375" t="n">
        <v>0</v>
      </c>
      <c r="Y185" s="376" t="n">
        <v>0</v>
      </c>
    </row>
    <row r="186" customFormat="false" ht="12.75" hidden="false" customHeight="false" outlineLevel="0" collapsed="false">
      <c r="A186" s="351" t="s">
        <v>229</v>
      </c>
      <c r="B186" s="368" t="n">
        <f aca="false">(C185+B185)*(C184-B184)/2</f>
        <v>0.38037</v>
      </c>
      <c r="C186" s="369" t="n">
        <f aca="false">(D185+C185)*(D184-C184)/2</f>
        <v>1.1456835</v>
      </c>
      <c r="D186" s="369" t="n">
        <f aca="false">(E185+D185)*(E184-D184)/2</f>
        <v>1.637185</v>
      </c>
      <c r="E186" s="369" t="n">
        <f aca="false">(F185+E185)*(F184-E184)/2</f>
        <v>7.538817</v>
      </c>
      <c r="F186" s="369" t="n">
        <f aca="false">(G185+F185)*(G184-F184)/2</f>
        <v>16.7706</v>
      </c>
      <c r="G186" s="369" t="n">
        <f aca="false">(H185+G185)*(H184-G184)/2</f>
        <v>22.5689075</v>
      </c>
      <c r="H186" s="369" t="n">
        <f aca="false">(I185+H185)*(I184-H184)/2</f>
        <v>16.365231</v>
      </c>
      <c r="I186" s="369" t="n">
        <f aca="false">(J185+I185)*(J184-I184)/2</f>
        <v>5.61072600000001</v>
      </c>
      <c r="J186" s="369" t="n">
        <f aca="false">(K185+J185)*(K184-J184)/2</f>
        <v>1.076335</v>
      </c>
      <c r="K186" s="369" t="n">
        <f aca="false">(L185+K185)*(L184-K184)/2</f>
        <v>0.0756630000000001</v>
      </c>
      <c r="L186" s="369" t="n">
        <f aca="false">(M185+L185)*(M184-L184)/2</f>
        <v>0</v>
      </c>
      <c r="M186" s="369" t="n">
        <f aca="false">(N185+M185)*(N184-M184)/2</f>
        <v>0</v>
      </c>
      <c r="N186" s="369" t="n">
        <f aca="false">(O185+N185)*(O184-N184)/2</f>
        <v>0</v>
      </c>
      <c r="O186" s="369" t="n">
        <f aca="false">(P185+O185)*(P184-O184)/2</f>
        <v>0</v>
      </c>
      <c r="P186" s="369" t="n">
        <f aca="false">(Q185+P185)*(Q184-P184)/2</f>
        <v>0</v>
      </c>
      <c r="Q186" s="369" t="n">
        <f aca="false">(R185+Q185)*(R184-Q184)/2</f>
        <v>0</v>
      </c>
      <c r="R186" s="369" t="n">
        <f aca="false">(S185+R185)*(S184-R184)/2</f>
        <v>0</v>
      </c>
      <c r="S186" s="369" t="n">
        <f aca="false">(T185+S185)*(T184-S184)/2</f>
        <v>0</v>
      </c>
      <c r="T186" s="369" t="n">
        <f aca="false">(U185+T185)*(U184-T184)/2</f>
        <v>0</v>
      </c>
      <c r="U186" s="369" t="n">
        <f aca="false">(V185+U185)*(V184-U184)/2</f>
        <v>0</v>
      </c>
      <c r="V186" s="369" t="n">
        <f aca="false">(W185+V185)*(W184-V184)/2</f>
        <v>0</v>
      </c>
      <c r="W186" s="369" t="n">
        <f aca="false">(X185+W185)*(X184-W184)/2</f>
        <v>0</v>
      </c>
      <c r="X186" s="369" t="n">
        <f aca="false">(Y185+X185)*(Y184-X184)/2</f>
        <v>0</v>
      </c>
      <c r="Y186" s="354"/>
    </row>
    <row r="187" customFormat="false" ht="12.75" hidden="false" customHeight="false" outlineLevel="0" collapsed="false">
      <c r="B187" s="355"/>
      <c r="C187" s="355"/>
      <c r="D187" s="355"/>
      <c r="E187" s="355"/>
      <c r="F187" s="355"/>
      <c r="G187" s="355"/>
      <c r="H187" s="355"/>
      <c r="I187" s="355"/>
      <c r="J187" s="355"/>
      <c r="K187" s="355"/>
      <c r="L187" s="355"/>
      <c r="M187" s="355"/>
      <c r="N187" s="355"/>
      <c r="O187" s="355"/>
      <c r="P187" s="355"/>
      <c r="Q187" s="355"/>
      <c r="R187" s="355"/>
      <c r="S187" s="355"/>
      <c r="T187" s="355"/>
      <c r="U187" s="355"/>
      <c r="V187" s="355"/>
      <c r="W187" s="355"/>
      <c r="X187" s="355"/>
      <c r="Y187" s="355"/>
    </row>
    <row r="188" customFormat="false" ht="13.5" hidden="false" customHeight="false" outlineLevel="0" collapsed="false">
      <c r="A188" s="357" t="s">
        <v>271</v>
      </c>
      <c r="B188" s="358" t="n">
        <f aca="false">ROW(A188)</f>
        <v>188</v>
      </c>
      <c r="C188" s="340" t="s">
        <v>212</v>
      </c>
      <c r="D188" s="341" t="n">
        <f aca="false">SUM(B191:Y191)</f>
        <v>75.254384</v>
      </c>
      <c r="E188" s="340" t="s">
        <v>213</v>
      </c>
      <c r="F188" s="342" t="n">
        <f aca="false">D188/g/J188</f>
        <v>232.460334229142</v>
      </c>
      <c r="G188" s="340" t="s">
        <v>214</v>
      </c>
      <c r="H188" s="359" t="n">
        <v>0.095</v>
      </c>
      <c r="I188" s="340" t="s">
        <v>225</v>
      </c>
      <c r="J188" s="343" t="n">
        <f aca="false">H188-L188</f>
        <v>0.033</v>
      </c>
      <c r="K188" s="340" t="s">
        <v>226</v>
      </c>
      <c r="L188" s="359" t="n">
        <f aca="false">0.095-0.033</f>
        <v>0.062</v>
      </c>
      <c r="M188" s="340" t="s">
        <v>217</v>
      </c>
      <c r="N188" s="372" t="n">
        <v>66.5</v>
      </c>
      <c r="O188" s="340" t="s">
        <v>218</v>
      </c>
      <c r="P188" s="372" t="n">
        <v>66.5</v>
      </c>
      <c r="Q188" s="340" t="s">
        <v>219</v>
      </c>
      <c r="R188" s="360" t="n">
        <v>133</v>
      </c>
      <c r="S188" s="340" t="s">
        <v>220</v>
      </c>
      <c r="T188" s="360" t="n">
        <v>24</v>
      </c>
      <c r="U188" s="340" t="s">
        <v>8</v>
      </c>
      <c r="V188" s="361" t="s">
        <v>250</v>
      </c>
      <c r="W188" s="346" t="s">
        <v>221</v>
      </c>
      <c r="X188" s="370" t="n">
        <v>1.5</v>
      </c>
      <c r="Y188" s="346" t="s">
        <v>222</v>
      </c>
      <c r="Z188" s="345" t="n">
        <v>12</v>
      </c>
    </row>
    <row r="189" customFormat="false" ht="12" hidden="false" customHeight="false" outlineLevel="0" collapsed="false">
      <c r="A189" s="338" t="s">
        <v>227</v>
      </c>
      <c r="B189" s="362" t="n">
        <v>0</v>
      </c>
      <c r="C189" s="363" t="n">
        <v>0.02</v>
      </c>
      <c r="D189" s="363" t="n">
        <v>0.031</v>
      </c>
      <c r="E189" s="363" t="n">
        <v>0.062</v>
      </c>
      <c r="F189" s="363" t="n">
        <v>0.117</v>
      </c>
      <c r="G189" s="363" t="n">
        <v>1.211</v>
      </c>
      <c r="H189" s="363" t="n">
        <v>1.376</v>
      </c>
      <c r="I189" s="363" t="n">
        <v>1.456</v>
      </c>
      <c r="J189" s="363" t="n">
        <v>1.532</v>
      </c>
      <c r="K189" s="363" t="n">
        <v>1.577</v>
      </c>
      <c r="L189" s="373" t="n">
        <v>2</v>
      </c>
      <c r="M189" s="373" t="n">
        <v>2</v>
      </c>
      <c r="N189" s="373" t="n">
        <v>2</v>
      </c>
      <c r="O189" s="373" t="n">
        <v>2</v>
      </c>
      <c r="P189" s="373" t="n">
        <v>2</v>
      </c>
      <c r="Q189" s="373" t="n">
        <v>2</v>
      </c>
      <c r="R189" s="373" t="n">
        <v>2</v>
      </c>
      <c r="S189" s="373" t="n">
        <v>2</v>
      </c>
      <c r="T189" s="373" t="n">
        <v>2</v>
      </c>
      <c r="U189" s="373" t="n">
        <v>2</v>
      </c>
      <c r="V189" s="373" t="n">
        <v>2</v>
      </c>
      <c r="W189" s="373" t="n">
        <v>2</v>
      </c>
      <c r="X189" s="373" t="n">
        <f aca="false">W189</f>
        <v>2</v>
      </c>
      <c r="Y189" s="374" t="n">
        <v>1000</v>
      </c>
    </row>
    <row r="190" customFormat="false" ht="12" hidden="false" customHeight="false" outlineLevel="0" collapsed="false">
      <c r="A190" s="364" t="s">
        <v>228</v>
      </c>
      <c r="B190" s="365" t="n">
        <v>0</v>
      </c>
      <c r="C190" s="366" t="n">
        <v>75.924</v>
      </c>
      <c r="D190" s="366" t="n">
        <v>84.148</v>
      </c>
      <c r="E190" s="366" t="n">
        <v>70.441</v>
      </c>
      <c r="F190" s="366" t="n">
        <v>73.659</v>
      </c>
      <c r="G190" s="366" t="n">
        <v>38.737</v>
      </c>
      <c r="H190" s="366" t="n">
        <v>14.779</v>
      </c>
      <c r="I190" s="366" t="n">
        <v>7.271</v>
      </c>
      <c r="J190" s="366" t="n">
        <v>3.337</v>
      </c>
      <c r="K190" s="366" t="n">
        <v>0</v>
      </c>
      <c r="L190" s="375" t="n">
        <v>0</v>
      </c>
      <c r="M190" s="375" t="n">
        <v>0</v>
      </c>
      <c r="N190" s="375" t="n">
        <v>0</v>
      </c>
      <c r="O190" s="375" t="n">
        <v>0</v>
      </c>
      <c r="P190" s="375" t="n">
        <v>0</v>
      </c>
      <c r="Q190" s="375" t="n">
        <v>0</v>
      </c>
      <c r="R190" s="375" t="n">
        <v>0</v>
      </c>
      <c r="S190" s="375" t="n">
        <v>0</v>
      </c>
      <c r="T190" s="375" t="n">
        <f aca="false">S190</f>
        <v>0</v>
      </c>
      <c r="U190" s="375" t="n">
        <f aca="false">T190</f>
        <v>0</v>
      </c>
      <c r="V190" s="375" t="n">
        <f aca="false">U190</f>
        <v>0</v>
      </c>
      <c r="W190" s="375" t="n">
        <f aca="false">V190</f>
        <v>0</v>
      </c>
      <c r="X190" s="375" t="n">
        <f aca="false">W190</f>
        <v>0</v>
      </c>
      <c r="Y190" s="376" t="n">
        <v>0</v>
      </c>
    </row>
    <row r="191" customFormat="false" ht="12.75" hidden="false" customHeight="false" outlineLevel="0" collapsed="false">
      <c r="A191" s="351" t="s">
        <v>229</v>
      </c>
      <c r="B191" s="368" t="n">
        <f aca="false">(C190+B190)*(C189-B189)/2</f>
        <v>0.75924</v>
      </c>
      <c r="C191" s="369" t="n">
        <f aca="false">(D190+C190)*(D189-C189)/2</f>
        <v>0.880396</v>
      </c>
      <c r="D191" s="369" t="n">
        <f aca="false">(E190+D190)*(E189-D189)/2</f>
        <v>2.3961295</v>
      </c>
      <c r="E191" s="369" t="n">
        <f aca="false">(F190+E190)*(F189-E189)/2</f>
        <v>3.96275</v>
      </c>
      <c r="F191" s="369" t="n">
        <f aca="false">(G190+F190)*(G189-F189)/2</f>
        <v>61.480612</v>
      </c>
      <c r="G191" s="369" t="n">
        <f aca="false">(H190+G190)*(H189-G189)/2</f>
        <v>4.41507</v>
      </c>
      <c r="H191" s="369" t="n">
        <f aca="false">(I190+H190)*(I189-H189)/2</f>
        <v>0.882000000000001</v>
      </c>
      <c r="I191" s="369" t="n">
        <f aca="false">(J190+I190)*(J189-I189)/2</f>
        <v>0.403104</v>
      </c>
      <c r="J191" s="369" t="n">
        <f aca="false">(K190+J190)*(K189-J189)/2</f>
        <v>0.0750824999999999</v>
      </c>
      <c r="K191" s="369" t="n">
        <f aca="false">(L190+K190)*(L189-K189)/2</f>
        <v>0</v>
      </c>
      <c r="L191" s="369" t="n">
        <f aca="false">(M190+L190)*(M189-L189)/2</f>
        <v>0</v>
      </c>
      <c r="M191" s="369" t="n">
        <f aca="false">(N190+M190)*(N189-M189)/2</f>
        <v>0</v>
      </c>
      <c r="N191" s="369" t="n">
        <f aca="false">(O190+N190)*(O189-N189)/2</f>
        <v>0</v>
      </c>
      <c r="O191" s="369" t="n">
        <f aca="false">(P190+O190)*(P189-O189)/2</f>
        <v>0</v>
      </c>
      <c r="P191" s="369" t="n">
        <f aca="false">(Q190+P190)*(Q189-P189)/2</f>
        <v>0</v>
      </c>
      <c r="Q191" s="369" t="n">
        <f aca="false">(R190+Q190)*(R189-Q189)/2</f>
        <v>0</v>
      </c>
      <c r="R191" s="369" t="n">
        <f aca="false">(S190+R190)*(S189-R189)/2</f>
        <v>0</v>
      </c>
      <c r="S191" s="369" t="n">
        <f aca="false">(T190+S190)*(T189-S189)/2</f>
        <v>0</v>
      </c>
      <c r="T191" s="369" t="n">
        <f aca="false">(U190+T190)*(U189-T189)/2</f>
        <v>0</v>
      </c>
      <c r="U191" s="369" t="n">
        <f aca="false">(V190+U190)*(V189-U189)/2</f>
        <v>0</v>
      </c>
      <c r="V191" s="369" t="n">
        <f aca="false">(W190+V190)*(W189-V189)/2</f>
        <v>0</v>
      </c>
      <c r="W191" s="369" t="n">
        <f aca="false">(X190+W190)*(X189-W189)/2</f>
        <v>0</v>
      </c>
      <c r="X191" s="369" t="n">
        <f aca="false">(Y190+X190)*(Y189-X189)/2</f>
        <v>0</v>
      </c>
      <c r="Y191" s="354"/>
    </row>
    <row r="192" customFormat="false" ht="13.5" hidden="false" customHeight="false" outlineLevel="0" collapsed="false">
      <c r="A192" s="356" t="s">
        <v>272</v>
      </c>
      <c r="B192" s="355"/>
      <c r="C192" s="355"/>
      <c r="D192" s="355"/>
      <c r="E192" s="355"/>
      <c r="F192" s="355"/>
      <c r="G192" s="355"/>
      <c r="H192" s="355"/>
      <c r="I192" s="355"/>
      <c r="J192" s="355"/>
      <c r="K192" s="355"/>
      <c r="L192" s="355"/>
      <c r="M192" s="355"/>
      <c r="N192" s="355"/>
      <c r="O192" s="355"/>
      <c r="P192" s="355"/>
      <c r="Q192" s="355"/>
      <c r="R192" s="355"/>
      <c r="S192" s="355"/>
      <c r="T192" s="355"/>
      <c r="U192" s="355"/>
      <c r="V192" s="355"/>
      <c r="W192" s="355"/>
      <c r="X192" s="355"/>
      <c r="Y192" s="355"/>
    </row>
    <row r="193" customFormat="false" ht="13.5" hidden="false" customHeight="false" outlineLevel="0" collapsed="false">
      <c r="A193" s="357" t="s">
        <v>273</v>
      </c>
      <c r="B193" s="358" t="n">
        <f aca="false">ROW(A193)</f>
        <v>193</v>
      </c>
      <c r="C193" s="340" t="s">
        <v>212</v>
      </c>
      <c r="D193" s="341" t="n">
        <f aca="false">SUM(B196:Y196)</f>
        <v>141.05</v>
      </c>
      <c r="E193" s="340" t="s">
        <v>213</v>
      </c>
      <c r="F193" s="342" t="n">
        <f aca="false">D193/g/J193</f>
        <v>186.245926489307</v>
      </c>
      <c r="G193" s="340" t="s">
        <v>214</v>
      </c>
      <c r="H193" s="359" t="n">
        <v>0.1619</v>
      </c>
      <c r="I193" s="340" t="s">
        <v>225</v>
      </c>
      <c r="J193" s="343" t="n">
        <f aca="false">H193-L193</f>
        <v>0.0772</v>
      </c>
      <c r="K193" s="340" t="s">
        <v>226</v>
      </c>
      <c r="L193" s="359" t="n">
        <v>0.0847</v>
      </c>
      <c r="M193" s="340" t="s">
        <v>217</v>
      </c>
      <c r="N193" s="360" t="n">
        <v>114</v>
      </c>
      <c r="O193" s="340" t="s">
        <v>218</v>
      </c>
      <c r="P193" s="360" t="n">
        <v>114</v>
      </c>
      <c r="Q193" s="340" t="s">
        <v>219</v>
      </c>
      <c r="R193" s="360" t="n">
        <v>228</v>
      </c>
      <c r="S193" s="340" t="s">
        <v>220</v>
      </c>
      <c r="T193" s="360" t="n">
        <v>24</v>
      </c>
      <c r="U193" s="340" t="s">
        <v>8</v>
      </c>
      <c r="V193" s="361" t="s">
        <v>256</v>
      </c>
      <c r="W193" s="346" t="s">
        <v>221</v>
      </c>
      <c r="X193" s="370" t="n">
        <v>0.96</v>
      </c>
      <c r="Y193" s="346" t="s">
        <v>222</v>
      </c>
      <c r="Z193" s="345" t="n">
        <v>15</v>
      </c>
    </row>
    <row r="194" customFormat="false" ht="12" hidden="false" customHeight="false" outlineLevel="0" collapsed="false">
      <c r="A194" s="338" t="s">
        <v>227</v>
      </c>
      <c r="B194" s="378" t="n">
        <v>0</v>
      </c>
      <c r="C194" s="373" t="n">
        <v>0.02</v>
      </c>
      <c r="D194" s="373" t="n">
        <v>0.03</v>
      </c>
      <c r="E194" s="373" t="n">
        <v>0.05</v>
      </c>
      <c r="F194" s="373" t="n">
        <v>0.6</v>
      </c>
      <c r="G194" s="373" t="n">
        <v>0.67</v>
      </c>
      <c r="H194" s="373" t="n">
        <v>0.7</v>
      </c>
      <c r="I194" s="373" t="n">
        <v>0.8</v>
      </c>
      <c r="J194" s="373" t="n">
        <v>0.9</v>
      </c>
      <c r="K194" s="373" t="n">
        <v>1.05</v>
      </c>
      <c r="L194" s="373" t="n">
        <f aca="false">K194</f>
        <v>1.05</v>
      </c>
      <c r="M194" s="373" t="n">
        <f aca="false">L194</f>
        <v>1.05</v>
      </c>
      <c r="N194" s="373" t="n">
        <f aca="false">M194</f>
        <v>1.05</v>
      </c>
      <c r="O194" s="373" t="n">
        <f aca="false">N194</f>
        <v>1.05</v>
      </c>
      <c r="P194" s="373" t="n">
        <f aca="false">O194</f>
        <v>1.05</v>
      </c>
      <c r="Q194" s="373" t="n">
        <f aca="false">P194</f>
        <v>1.05</v>
      </c>
      <c r="R194" s="373" t="n">
        <f aca="false">Q194</f>
        <v>1.05</v>
      </c>
      <c r="S194" s="373" t="n">
        <f aca="false">R194</f>
        <v>1.05</v>
      </c>
      <c r="T194" s="373" t="n">
        <f aca="false">S194</f>
        <v>1.05</v>
      </c>
      <c r="U194" s="373" t="n">
        <f aca="false">T194</f>
        <v>1.05</v>
      </c>
      <c r="V194" s="373" t="n">
        <f aca="false">U194</f>
        <v>1.05</v>
      </c>
      <c r="W194" s="373" t="n">
        <f aca="false">V194</f>
        <v>1.05</v>
      </c>
      <c r="X194" s="373" t="n">
        <v>2</v>
      </c>
      <c r="Y194" s="374" t="n">
        <v>1000</v>
      </c>
    </row>
    <row r="195" customFormat="false" ht="12" hidden="false" customHeight="false" outlineLevel="0" collapsed="false">
      <c r="A195" s="364" t="s">
        <v>228</v>
      </c>
      <c r="B195" s="379" t="n">
        <v>0</v>
      </c>
      <c r="C195" s="375" t="n">
        <v>350</v>
      </c>
      <c r="D195" s="375" t="n">
        <v>250</v>
      </c>
      <c r="E195" s="375" t="n">
        <v>210</v>
      </c>
      <c r="F195" s="375" t="n">
        <v>150</v>
      </c>
      <c r="G195" s="375" t="n">
        <v>140</v>
      </c>
      <c r="H195" s="375" t="n">
        <v>130</v>
      </c>
      <c r="I195" s="375" t="n">
        <v>65</v>
      </c>
      <c r="J195" s="375" t="n">
        <v>30</v>
      </c>
      <c r="K195" s="375" t="n">
        <v>0</v>
      </c>
      <c r="L195" s="375" t="n">
        <v>0</v>
      </c>
      <c r="M195" s="375" t="n">
        <v>0</v>
      </c>
      <c r="N195" s="375" t="n">
        <v>0</v>
      </c>
      <c r="O195" s="375" t="n">
        <v>0</v>
      </c>
      <c r="P195" s="375" t="n">
        <v>0</v>
      </c>
      <c r="Q195" s="375" t="n">
        <v>0</v>
      </c>
      <c r="R195" s="375" t="n">
        <v>0</v>
      </c>
      <c r="S195" s="375" t="n">
        <f aca="false">R195</f>
        <v>0</v>
      </c>
      <c r="T195" s="375" t="n">
        <f aca="false">S195</f>
        <v>0</v>
      </c>
      <c r="U195" s="375" t="n">
        <f aca="false">T195</f>
        <v>0</v>
      </c>
      <c r="V195" s="375" t="n">
        <f aca="false">U195</f>
        <v>0</v>
      </c>
      <c r="W195" s="375" t="n">
        <f aca="false">V195</f>
        <v>0</v>
      </c>
      <c r="X195" s="375" t="n">
        <f aca="false">W195</f>
        <v>0</v>
      </c>
      <c r="Y195" s="376" t="n">
        <v>0</v>
      </c>
    </row>
    <row r="196" customFormat="false" ht="12.75" hidden="false" customHeight="false" outlineLevel="0" collapsed="false">
      <c r="A196" s="351" t="s">
        <v>229</v>
      </c>
      <c r="B196" s="368" t="n">
        <f aca="false">(C195+B195)*(C194-B194)/2</f>
        <v>3.5</v>
      </c>
      <c r="C196" s="369" t="n">
        <f aca="false">(D195+C195)*(D194-C194)/2</f>
        <v>3</v>
      </c>
      <c r="D196" s="369" t="n">
        <f aca="false">(E195+D195)*(E194-D194)/2</f>
        <v>4.6</v>
      </c>
      <c r="E196" s="369" t="n">
        <f aca="false">(F195+E195)*(F194-E194)/2</f>
        <v>99</v>
      </c>
      <c r="F196" s="369" t="n">
        <f aca="false">(G195+F195)*(G194-F194)/2</f>
        <v>10.15</v>
      </c>
      <c r="G196" s="369" t="n">
        <f aca="false">(H195+G195)*(H194-G194)/2</f>
        <v>4.04999999999999</v>
      </c>
      <c r="H196" s="369" t="n">
        <f aca="false">(I195+H195)*(I194-H194)/2</f>
        <v>9.75000000000001</v>
      </c>
      <c r="I196" s="369" t="n">
        <f aca="false">(J195+I195)*(J194-I194)/2</f>
        <v>4.75</v>
      </c>
      <c r="J196" s="369" t="n">
        <f aca="false">(K195+J195)*(K194-J194)/2</f>
        <v>2.25</v>
      </c>
      <c r="K196" s="369" t="n">
        <f aca="false">(L195+K195)*(L194-K194)/2</f>
        <v>0</v>
      </c>
      <c r="L196" s="369" t="n">
        <f aca="false">(M195+L195)*(M194-L194)/2</f>
        <v>0</v>
      </c>
      <c r="M196" s="369" t="n">
        <f aca="false">(N195+M195)*(N194-M194)/2</f>
        <v>0</v>
      </c>
      <c r="N196" s="369" t="n">
        <f aca="false">(O195+N195)*(O194-N194)/2</f>
        <v>0</v>
      </c>
      <c r="O196" s="369" t="n">
        <f aca="false">(P195+O195)*(P194-O194)/2</f>
        <v>0</v>
      </c>
      <c r="P196" s="369" t="n">
        <f aca="false">(Q195+P195)*(Q194-P194)/2</f>
        <v>0</v>
      </c>
      <c r="Q196" s="369" t="n">
        <f aca="false">(R195+Q195)*(R194-Q194)/2</f>
        <v>0</v>
      </c>
      <c r="R196" s="369" t="n">
        <f aca="false">(S195+R195)*(S194-R194)/2</f>
        <v>0</v>
      </c>
      <c r="S196" s="369" t="n">
        <f aca="false">(T195+S195)*(T194-S194)/2</f>
        <v>0</v>
      </c>
      <c r="T196" s="369" t="n">
        <f aca="false">(U195+T195)*(U194-T194)/2</f>
        <v>0</v>
      </c>
      <c r="U196" s="369" t="n">
        <f aca="false">(V195+U195)*(V194-U194)/2</f>
        <v>0</v>
      </c>
      <c r="V196" s="369" t="n">
        <f aca="false">(W195+V195)*(W194-V194)/2</f>
        <v>0</v>
      </c>
      <c r="W196" s="369" t="n">
        <f aca="false">(X195+W195)*(X194-W194)/2</f>
        <v>0</v>
      </c>
      <c r="X196" s="369" t="n">
        <f aca="false">(Y195+X195)*(Y194-X194)/2</f>
        <v>0</v>
      </c>
      <c r="Y196" s="354"/>
    </row>
    <row r="197" customFormat="false" ht="12.75" hidden="false" customHeight="false" outlineLevel="0" collapsed="false">
      <c r="A197" s="355" t="s">
        <v>274</v>
      </c>
      <c r="B197" s="355"/>
      <c r="C197" s="355"/>
      <c r="D197" s="355"/>
      <c r="E197" s="355"/>
      <c r="F197" s="355"/>
      <c r="G197" s="355"/>
      <c r="H197" s="355"/>
      <c r="I197" s="355"/>
      <c r="J197" s="355"/>
      <c r="K197" s="355"/>
      <c r="L197" s="355"/>
      <c r="M197" s="355"/>
      <c r="N197" s="355"/>
      <c r="O197" s="355"/>
      <c r="P197" s="355"/>
      <c r="Q197" s="355"/>
      <c r="R197" s="355"/>
      <c r="S197" s="355"/>
      <c r="T197" s="355"/>
      <c r="U197" s="355"/>
      <c r="V197" s="355"/>
      <c r="W197" s="355"/>
      <c r="X197" s="355"/>
      <c r="Y197" s="355"/>
    </row>
    <row r="198" customFormat="false" ht="13.5" hidden="false" customHeight="false" outlineLevel="0" collapsed="false">
      <c r="A198" s="357" t="s">
        <v>275</v>
      </c>
      <c r="B198" s="358" t="n">
        <f aca="false">ROW(A198)</f>
        <v>198</v>
      </c>
      <c r="C198" s="340" t="s">
        <v>212</v>
      </c>
      <c r="D198" s="341" t="n">
        <f aca="false">SUM(B201:Y201)</f>
        <v>142.44</v>
      </c>
      <c r="E198" s="340" t="s">
        <v>213</v>
      </c>
      <c r="F198" s="342" t="n">
        <f aca="false">D198/g/J198</f>
        <v>192.061874019061</v>
      </c>
      <c r="G198" s="340" t="s">
        <v>214</v>
      </c>
      <c r="H198" s="359" t="n">
        <v>0.1599</v>
      </c>
      <c r="I198" s="340" t="s">
        <v>225</v>
      </c>
      <c r="J198" s="343" t="n">
        <f aca="false">H198-L198</f>
        <v>0.0756</v>
      </c>
      <c r="K198" s="340" t="s">
        <v>226</v>
      </c>
      <c r="L198" s="359" t="n">
        <v>0.0843</v>
      </c>
      <c r="M198" s="340" t="s">
        <v>217</v>
      </c>
      <c r="N198" s="360" t="n">
        <v>114</v>
      </c>
      <c r="O198" s="340" t="s">
        <v>218</v>
      </c>
      <c r="P198" s="360" t="n">
        <v>114</v>
      </c>
      <c r="Q198" s="340" t="s">
        <v>219</v>
      </c>
      <c r="R198" s="360" t="n">
        <v>228</v>
      </c>
      <c r="S198" s="340" t="s">
        <v>220</v>
      </c>
      <c r="T198" s="360" t="n">
        <v>24</v>
      </c>
      <c r="U198" s="340" t="s">
        <v>8</v>
      </c>
      <c r="V198" s="361" t="s">
        <v>245</v>
      </c>
      <c r="W198" s="346" t="s">
        <v>221</v>
      </c>
      <c r="X198" s="370" t="n">
        <v>0.97</v>
      </c>
      <c r="Y198" s="346" t="s">
        <v>222</v>
      </c>
      <c r="Z198" s="345"/>
    </row>
    <row r="199" customFormat="false" ht="12" hidden="false" customHeight="false" outlineLevel="0" collapsed="false">
      <c r="A199" s="338" t="s">
        <v>227</v>
      </c>
      <c r="B199" s="378" t="n">
        <v>0</v>
      </c>
      <c r="C199" s="373" t="n">
        <v>0.02</v>
      </c>
      <c r="D199" s="373" t="n">
        <v>0.04</v>
      </c>
      <c r="E199" s="373" t="n">
        <v>0.62</v>
      </c>
      <c r="F199" s="373" t="n">
        <v>0.66</v>
      </c>
      <c r="G199" s="373" t="n">
        <v>0.68</v>
      </c>
      <c r="H199" s="373" t="n">
        <v>0.8</v>
      </c>
      <c r="I199" s="373" t="n">
        <v>0.84</v>
      </c>
      <c r="J199" s="373" t="n">
        <v>0.88</v>
      </c>
      <c r="K199" s="373" t="n">
        <v>0.92</v>
      </c>
      <c r="L199" s="373" t="n">
        <v>0.96</v>
      </c>
      <c r="M199" s="373" t="n">
        <v>1</v>
      </c>
      <c r="N199" s="373" t="n">
        <v>1.08</v>
      </c>
      <c r="O199" s="373" t="n">
        <v>2</v>
      </c>
      <c r="P199" s="373" t="n">
        <v>2</v>
      </c>
      <c r="Q199" s="373" t="n">
        <v>2</v>
      </c>
      <c r="R199" s="373" t="n">
        <v>2</v>
      </c>
      <c r="S199" s="373" t="n">
        <f aca="false">R199</f>
        <v>2</v>
      </c>
      <c r="T199" s="373" t="n">
        <f aca="false">S199</f>
        <v>2</v>
      </c>
      <c r="U199" s="373" t="n">
        <f aca="false">T199</f>
        <v>2</v>
      </c>
      <c r="V199" s="373" t="n">
        <f aca="false">U199</f>
        <v>2</v>
      </c>
      <c r="W199" s="373" t="n">
        <f aca="false">V199</f>
        <v>2</v>
      </c>
      <c r="X199" s="373" t="n">
        <f aca="false">W199</f>
        <v>2</v>
      </c>
      <c r="Y199" s="374" t="n">
        <v>1000</v>
      </c>
    </row>
    <row r="200" customFormat="false" ht="12" hidden="false" customHeight="false" outlineLevel="0" collapsed="false">
      <c r="A200" s="364" t="s">
        <v>228</v>
      </c>
      <c r="B200" s="379" t="n">
        <v>0</v>
      </c>
      <c r="C200" s="375" t="n">
        <v>250</v>
      </c>
      <c r="D200" s="375" t="n">
        <v>210</v>
      </c>
      <c r="E200" s="375" t="n">
        <v>160</v>
      </c>
      <c r="F200" s="375" t="n">
        <v>150</v>
      </c>
      <c r="G200" s="375" t="n">
        <v>142</v>
      </c>
      <c r="H200" s="375" t="n">
        <v>62</v>
      </c>
      <c r="I200" s="375" t="n">
        <v>48</v>
      </c>
      <c r="J200" s="375" t="n">
        <v>34</v>
      </c>
      <c r="K200" s="375" t="n">
        <v>24</v>
      </c>
      <c r="L200" s="375" t="n">
        <v>15</v>
      </c>
      <c r="M200" s="375" t="n">
        <v>10</v>
      </c>
      <c r="N200" s="375" t="n">
        <v>0</v>
      </c>
      <c r="O200" s="375" t="n">
        <v>0</v>
      </c>
      <c r="P200" s="375" t="n">
        <v>0</v>
      </c>
      <c r="Q200" s="375" t="n">
        <v>0</v>
      </c>
      <c r="R200" s="375" t="n">
        <v>0</v>
      </c>
      <c r="S200" s="375" t="n">
        <f aca="false">R200</f>
        <v>0</v>
      </c>
      <c r="T200" s="375" t="n">
        <f aca="false">S200</f>
        <v>0</v>
      </c>
      <c r="U200" s="375" t="n">
        <f aca="false">T200</f>
        <v>0</v>
      </c>
      <c r="V200" s="375" t="n">
        <f aca="false">U200</f>
        <v>0</v>
      </c>
      <c r="W200" s="375" t="n">
        <f aca="false">V200</f>
        <v>0</v>
      </c>
      <c r="X200" s="375" t="n">
        <f aca="false">W200</f>
        <v>0</v>
      </c>
      <c r="Y200" s="376" t="n">
        <v>0</v>
      </c>
    </row>
    <row r="201" customFormat="false" ht="12.75" hidden="false" customHeight="false" outlineLevel="0" collapsed="false">
      <c r="A201" s="351" t="s">
        <v>229</v>
      </c>
      <c r="B201" s="368" t="n">
        <f aca="false">(C200+B200)*(C199-B199)/2</f>
        <v>2.5</v>
      </c>
      <c r="C201" s="369" t="n">
        <f aca="false">(D200+C200)*(D199-C199)/2</f>
        <v>4.6</v>
      </c>
      <c r="D201" s="369" t="n">
        <f aca="false">(E200+D200)*(E199-D199)/2</f>
        <v>107.3</v>
      </c>
      <c r="E201" s="369" t="n">
        <f aca="false">(F200+E200)*(F199-E199)/2</f>
        <v>6.20000000000001</v>
      </c>
      <c r="F201" s="369" t="n">
        <f aca="false">(G200+F200)*(G199-F199)/2</f>
        <v>2.92</v>
      </c>
      <c r="G201" s="369" t="n">
        <f aca="false">(H200+G200)*(H199-G199)/2</f>
        <v>12.24</v>
      </c>
      <c r="H201" s="369" t="n">
        <f aca="false">(I200+H200)*(I199-H199)/2</f>
        <v>2.2</v>
      </c>
      <c r="I201" s="369" t="n">
        <f aca="false">(J200+I200)*(J199-I199)/2</f>
        <v>1.64</v>
      </c>
      <c r="J201" s="369" t="n">
        <f aca="false">(K200+J200)*(K199-J199)/2</f>
        <v>1.16</v>
      </c>
      <c r="K201" s="369" t="n">
        <f aca="false">(L200+K200)*(L199-K199)/2</f>
        <v>0.779999999999999</v>
      </c>
      <c r="L201" s="369" t="n">
        <f aca="false">(M200+L200)*(M199-L199)/2</f>
        <v>0.5</v>
      </c>
      <c r="M201" s="369" t="n">
        <f aca="false">(N200+M200)*(N199-M199)/2</f>
        <v>0.4</v>
      </c>
      <c r="N201" s="369" t="n">
        <f aca="false">(O200+N200)*(O199-N199)/2</f>
        <v>0</v>
      </c>
      <c r="O201" s="369" t="n">
        <f aca="false">(P200+O200)*(P199-O199)/2</f>
        <v>0</v>
      </c>
      <c r="P201" s="369" t="n">
        <f aca="false">(Q200+P200)*(Q199-P199)/2</f>
        <v>0</v>
      </c>
      <c r="Q201" s="369" t="n">
        <f aca="false">(R200+Q200)*(R199-Q199)/2</f>
        <v>0</v>
      </c>
      <c r="R201" s="369" t="n">
        <f aca="false">(S200+R200)*(S199-R199)/2</f>
        <v>0</v>
      </c>
      <c r="S201" s="369" t="n">
        <f aca="false">(T200+S200)*(T199-S199)/2</f>
        <v>0</v>
      </c>
      <c r="T201" s="369" t="n">
        <f aca="false">(U200+T200)*(U199-T199)/2</f>
        <v>0</v>
      </c>
      <c r="U201" s="369" t="n">
        <f aca="false">(V200+U200)*(V199-U199)/2</f>
        <v>0</v>
      </c>
      <c r="V201" s="369" t="n">
        <f aca="false">(W200+V200)*(W199-V199)/2</f>
        <v>0</v>
      </c>
      <c r="W201" s="369" t="n">
        <f aca="false">(X200+W200)*(X199-W199)/2</f>
        <v>0</v>
      </c>
      <c r="X201" s="369" t="n">
        <f aca="false">(Y200+X200)*(Y199-X199)/2</f>
        <v>0</v>
      </c>
      <c r="Y201" s="354"/>
    </row>
    <row r="202" customFormat="false" ht="12.75" hidden="false" customHeight="false" outlineLevel="0" collapsed="false">
      <c r="B202" s="355"/>
      <c r="C202" s="355"/>
      <c r="D202" s="355"/>
      <c r="E202" s="355"/>
      <c r="F202" s="355"/>
      <c r="G202" s="355"/>
      <c r="H202" s="355"/>
      <c r="I202" s="355"/>
      <c r="J202" s="355"/>
      <c r="K202" s="355"/>
      <c r="L202" s="355"/>
      <c r="M202" s="355"/>
      <c r="N202" s="355"/>
      <c r="O202" s="355"/>
      <c r="P202" s="355"/>
      <c r="Q202" s="355"/>
      <c r="R202" s="355"/>
      <c r="S202" s="355"/>
      <c r="T202" s="355"/>
      <c r="U202" s="355"/>
      <c r="V202" s="355"/>
      <c r="W202" s="355"/>
      <c r="X202" s="355"/>
      <c r="Y202" s="355"/>
    </row>
    <row r="203" customFormat="false" ht="13.5" hidden="false" customHeight="false" outlineLevel="0" collapsed="false">
      <c r="A203" s="357" t="s">
        <v>276</v>
      </c>
      <c r="B203" s="358" t="n">
        <f aca="false">ROW(A203)</f>
        <v>203</v>
      </c>
      <c r="C203" s="340" t="s">
        <v>212</v>
      </c>
      <c r="D203" s="341" t="n">
        <f aca="false">SUM(B206:Y206)</f>
        <v>143.08845</v>
      </c>
      <c r="E203" s="340" t="s">
        <v>213</v>
      </c>
      <c r="F203" s="342" t="n">
        <f aca="false">D203/g/J203</f>
        <v>168.235047211905</v>
      </c>
      <c r="G203" s="340" t="s">
        <v>214</v>
      </c>
      <c r="H203" s="359" t="n">
        <v>0.1725</v>
      </c>
      <c r="I203" s="340" t="s">
        <v>225</v>
      </c>
      <c r="J203" s="343" t="n">
        <f aca="false">H203-L203</f>
        <v>0.0867</v>
      </c>
      <c r="K203" s="340" t="s">
        <v>226</v>
      </c>
      <c r="L203" s="359" t="n">
        <v>0.0858</v>
      </c>
      <c r="M203" s="340" t="s">
        <v>217</v>
      </c>
      <c r="N203" s="360" t="n">
        <v>114</v>
      </c>
      <c r="O203" s="340" t="s">
        <v>218</v>
      </c>
      <c r="P203" s="360" t="n">
        <v>114</v>
      </c>
      <c r="Q203" s="340" t="s">
        <v>219</v>
      </c>
      <c r="R203" s="360" t="n">
        <v>228</v>
      </c>
      <c r="S203" s="340" t="s">
        <v>220</v>
      </c>
      <c r="T203" s="360" t="n">
        <v>24</v>
      </c>
      <c r="U203" s="340" t="s">
        <v>8</v>
      </c>
      <c r="V203" s="361" t="s">
        <v>256</v>
      </c>
      <c r="W203" s="346" t="s">
        <v>221</v>
      </c>
      <c r="X203" s="370" t="n">
        <v>0.97</v>
      </c>
      <c r="Y203" s="346" t="s">
        <v>222</v>
      </c>
      <c r="Z203" s="345" t="n">
        <v>11</v>
      </c>
    </row>
    <row r="204" customFormat="false" ht="12" hidden="false" customHeight="false" outlineLevel="0" collapsed="false">
      <c r="A204" s="338" t="s">
        <v>227</v>
      </c>
      <c r="B204" s="378" t="n">
        <v>0</v>
      </c>
      <c r="C204" s="373" t="n">
        <v>0.008</v>
      </c>
      <c r="D204" s="373" t="n">
        <v>0.013</v>
      </c>
      <c r="E204" s="373" t="n">
        <v>0.022</v>
      </c>
      <c r="F204" s="373" t="n">
        <v>0.035</v>
      </c>
      <c r="G204" s="373" t="n">
        <v>0.063</v>
      </c>
      <c r="H204" s="373" t="n">
        <v>0.103</v>
      </c>
      <c r="I204" s="373" t="n">
        <v>0.196</v>
      </c>
      <c r="J204" s="373" t="n">
        <v>0.311</v>
      </c>
      <c r="K204" s="373" t="n">
        <v>0.474</v>
      </c>
      <c r="L204" s="373" t="n">
        <v>0.564</v>
      </c>
      <c r="M204" s="373" t="n">
        <v>0.762</v>
      </c>
      <c r="N204" s="373" t="n">
        <v>0.858</v>
      </c>
      <c r="O204" s="373" t="n">
        <v>0.928</v>
      </c>
      <c r="P204" s="373" t="n">
        <v>1.038</v>
      </c>
      <c r="Q204" s="373" t="n">
        <v>1.08</v>
      </c>
      <c r="R204" s="373" t="n">
        <v>1.131</v>
      </c>
      <c r="S204" s="373" t="n">
        <v>1.185</v>
      </c>
      <c r="T204" s="373" t="n">
        <v>1.224</v>
      </c>
      <c r="U204" s="373" t="n">
        <v>1.258</v>
      </c>
      <c r="V204" s="373" t="n">
        <v>1.4</v>
      </c>
      <c r="W204" s="373" t="n">
        <v>1.441</v>
      </c>
      <c r="X204" s="373" t="n">
        <v>2</v>
      </c>
      <c r="Y204" s="374" t="n">
        <v>1000</v>
      </c>
    </row>
    <row r="205" customFormat="false" ht="12" hidden="false" customHeight="false" outlineLevel="0" collapsed="false">
      <c r="A205" s="364" t="s">
        <v>228</v>
      </c>
      <c r="B205" s="379" t="n">
        <v>0</v>
      </c>
      <c r="C205" s="375" t="n">
        <v>168.643</v>
      </c>
      <c r="D205" s="375" t="n">
        <v>177.339</v>
      </c>
      <c r="E205" s="375" t="n">
        <v>177.866</v>
      </c>
      <c r="F205" s="375" t="n">
        <v>171.278</v>
      </c>
      <c r="G205" s="375" t="n">
        <v>157.839</v>
      </c>
      <c r="H205" s="375" t="n">
        <v>154.941</v>
      </c>
      <c r="I205" s="375" t="n">
        <v>148.88</v>
      </c>
      <c r="J205" s="375" t="n">
        <v>144.137</v>
      </c>
      <c r="K205" s="375" t="n">
        <v>138.076</v>
      </c>
      <c r="L205" s="375" t="n">
        <v>135.705</v>
      </c>
      <c r="M205" s="375" t="n">
        <v>125.955</v>
      </c>
      <c r="N205" s="375" t="n">
        <v>116.733</v>
      </c>
      <c r="O205" s="375" t="n">
        <v>101.713</v>
      </c>
      <c r="P205" s="375" t="n">
        <v>57.444</v>
      </c>
      <c r="Q205" s="375" t="n">
        <v>42.688</v>
      </c>
      <c r="R205" s="375" t="n">
        <v>31.884</v>
      </c>
      <c r="S205" s="375" t="n">
        <v>17.655</v>
      </c>
      <c r="T205" s="375" t="n">
        <v>9.486</v>
      </c>
      <c r="U205" s="375" t="n">
        <v>5.27</v>
      </c>
      <c r="V205" s="375" t="n">
        <v>0.791</v>
      </c>
      <c r="W205" s="375" t="n">
        <v>0</v>
      </c>
      <c r="X205" s="375" t="n">
        <f aca="false">W205</f>
        <v>0</v>
      </c>
      <c r="Y205" s="376" t="n">
        <v>0</v>
      </c>
    </row>
    <row r="206" customFormat="false" ht="12.75" hidden="false" customHeight="false" outlineLevel="0" collapsed="false">
      <c r="A206" s="351" t="s">
        <v>229</v>
      </c>
      <c r="B206" s="368" t="n">
        <f aca="false">(C205+B205)*(C204-B204)/2</f>
        <v>0.674572</v>
      </c>
      <c r="C206" s="369" t="n">
        <f aca="false">(D205+C205)*(D204-C204)/2</f>
        <v>0.864955</v>
      </c>
      <c r="D206" s="369" t="n">
        <f aca="false">(E205+D205)*(E204-D204)/2</f>
        <v>1.5984225</v>
      </c>
      <c r="E206" s="369" t="n">
        <f aca="false">(F205+E205)*(F204-E204)/2</f>
        <v>2.269436</v>
      </c>
      <c r="F206" s="369" t="n">
        <f aca="false">(G205+F205)*(G204-F204)/2</f>
        <v>4.607638</v>
      </c>
      <c r="G206" s="369" t="n">
        <f aca="false">(H205+G205)*(H204-G204)/2</f>
        <v>6.2556</v>
      </c>
      <c r="H206" s="369" t="n">
        <f aca="false">(I205+H205)*(I204-H204)/2</f>
        <v>14.1276765</v>
      </c>
      <c r="I206" s="369" t="n">
        <f aca="false">(J205+I205)*(J204-I204)/2</f>
        <v>16.8484775</v>
      </c>
      <c r="J206" s="369" t="n">
        <f aca="false">(K205+J205)*(K204-J204)/2</f>
        <v>23.0003595</v>
      </c>
      <c r="K206" s="369" t="n">
        <f aca="false">(L205+K205)*(L204-K204)/2</f>
        <v>12.320145</v>
      </c>
      <c r="L206" s="369" t="n">
        <f aca="false">(M205+L205)*(M204-L204)/2</f>
        <v>25.90434</v>
      </c>
      <c r="M206" s="369" t="n">
        <f aca="false">(N205+M205)*(N204-M204)/2</f>
        <v>11.649024</v>
      </c>
      <c r="N206" s="369" t="n">
        <f aca="false">(O205+N205)*(O204-N204)/2</f>
        <v>7.64561000000001</v>
      </c>
      <c r="O206" s="369" t="n">
        <f aca="false">(P205+O205)*(P204-O204)/2</f>
        <v>8.753635</v>
      </c>
      <c r="P206" s="369" t="n">
        <f aca="false">(Q205+P205)*(Q204-P204)/2</f>
        <v>2.102772</v>
      </c>
      <c r="Q206" s="369" t="n">
        <f aca="false">(R205+Q205)*(R204-Q204)/2</f>
        <v>1.901586</v>
      </c>
      <c r="R206" s="369" t="n">
        <f aca="false">(S205+R205)*(S204-R204)/2</f>
        <v>1.337553</v>
      </c>
      <c r="S206" s="369" t="n">
        <f aca="false">(T205+S205)*(T204-S204)/2</f>
        <v>0.529249499999999</v>
      </c>
      <c r="T206" s="369" t="n">
        <f aca="false">(U205+T205)*(U204-T204)/2</f>
        <v>0.250852</v>
      </c>
      <c r="U206" s="369" t="n">
        <f aca="false">(V205+U205)*(V204-U204)/2</f>
        <v>0.430331</v>
      </c>
      <c r="V206" s="369" t="n">
        <f aca="false">(W205+V205)*(W204-V204)/2</f>
        <v>0.0162155000000001</v>
      </c>
      <c r="W206" s="369" t="n">
        <f aca="false">(X205+W205)*(X204-W204)/2</f>
        <v>0</v>
      </c>
      <c r="X206" s="369" t="n">
        <f aca="false">(Y205+X205)*(Y204-X204)/2</f>
        <v>0</v>
      </c>
      <c r="Y206" s="354"/>
    </row>
    <row r="207" customFormat="false" ht="12.75" hidden="false" customHeight="false" outlineLevel="0" collapsed="false">
      <c r="B207" s="355"/>
      <c r="C207" s="355"/>
      <c r="D207" s="355"/>
      <c r="E207" s="355"/>
      <c r="F207" s="355"/>
      <c r="G207" s="355"/>
      <c r="H207" s="355"/>
      <c r="I207" s="355"/>
      <c r="J207" s="355"/>
      <c r="K207" s="355"/>
      <c r="L207" s="355"/>
      <c r="M207" s="355"/>
      <c r="N207" s="355"/>
      <c r="O207" s="355"/>
      <c r="P207" s="355"/>
      <c r="Q207" s="355"/>
      <c r="R207" s="355"/>
      <c r="S207" s="355"/>
      <c r="T207" s="355"/>
      <c r="U207" s="355"/>
      <c r="V207" s="355"/>
      <c r="W207" s="355"/>
      <c r="X207" s="355"/>
      <c r="Y207" s="355"/>
    </row>
    <row r="208" customFormat="false" ht="13.5" hidden="false" customHeight="false" outlineLevel="0" collapsed="false">
      <c r="A208" s="357" t="s">
        <v>277</v>
      </c>
      <c r="B208" s="358" t="n">
        <f aca="false">ROW(A208)</f>
        <v>208</v>
      </c>
      <c r="C208" s="340" t="s">
        <v>212</v>
      </c>
      <c r="D208" s="341" t="n">
        <f aca="false">SUM(B211:Y211)</f>
        <v>139.423417</v>
      </c>
      <c r="E208" s="340" t="s">
        <v>213</v>
      </c>
      <c r="F208" s="342" t="n">
        <f aca="false">D208/g/J208</f>
        <v>158.620277459225</v>
      </c>
      <c r="G208" s="340" t="s">
        <v>214</v>
      </c>
      <c r="H208" s="359" t="n">
        <v>0.1945</v>
      </c>
      <c r="I208" s="340" t="s">
        <v>225</v>
      </c>
      <c r="J208" s="343" t="n">
        <f aca="false">H208-L208</f>
        <v>0.0896</v>
      </c>
      <c r="K208" s="340" t="s">
        <v>226</v>
      </c>
      <c r="L208" s="359" t="n">
        <v>0.1049</v>
      </c>
      <c r="M208" s="340" t="s">
        <v>217</v>
      </c>
      <c r="N208" s="360" t="n">
        <v>114</v>
      </c>
      <c r="O208" s="340" t="s">
        <v>218</v>
      </c>
      <c r="P208" s="360" t="n">
        <v>144</v>
      </c>
      <c r="Q208" s="340" t="s">
        <v>219</v>
      </c>
      <c r="R208" s="360" t="n">
        <v>228</v>
      </c>
      <c r="S208" s="340" t="s">
        <v>220</v>
      </c>
      <c r="T208" s="360" t="n">
        <v>24</v>
      </c>
      <c r="U208" s="340" t="s">
        <v>8</v>
      </c>
      <c r="V208" s="361" t="s">
        <v>256</v>
      </c>
      <c r="W208" s="346" t="s">
        <v>221</v>
      </c>
      <c r="X208" s="370" t="n">
        <v>1.3</v>
      </c>
      <c r="Y208" s="346" t="s">
        <v>222</v>
      </c>
      <c r="Z208" s="345" t="n">
        <v>12</v>
      </c>
    </row>
    <row r="209" customFormat="false" ht="12" hidden="false" customHeight="false" outlineLevel="0" collapsed="false">
      <c r="A209" s="338" t="s">
        <v>227</v>
      </c>
      <c r="B209" s="378" t="n">
        <v>0</v>
      </c>
      <c r="C209" s="373" t="n">
        <v>0.011</v>
      </c>
      <c r="D209" s="373" t="n">
        <v>0.022</v>
      </c>
      <c r="E209" s="373" t="n">
        <v>0.046</v>
      </c>
      <c r="F209" s="373" t="n">
        <v>0.081</v>
      </c>
      <c r="G209" s="373" t="n">
        <v>0.219</v>
      </c>
      <c r="H209" s="373" t="n">
        <v>0.253</v>
      </c>
      <c r="I209" s="373" t="n">
        <v>0.274</v>
      </c>
      <c r="J209" s="373" t="n">
        <v>0.305</v>
      </c>
      <c r="K209" s="373" t="n">
        <v>0.412</v>
      </c>
      <c r="L209" s="373" t="n">
        <v>0.789</v>
      </c>
      <c r="M209" s="373" t="n">
        <v>0.899</v>
      </c>
      <c r="N209" s="373" t="n">
        <v>0.953</v>
      </c>
      <c r="O209" s="373" t="n">
        <v>0.999</v>
      </c>
      <c r="P209" s="373" t="n">
        <v>1.03</v>
      </c>
      <c r="Q209" s="373" t="n">
        <v>1.057</v>
      </c>
      <c r="R209" s="373" t="n">
        <v>1.102</v>
      </c>
      <c r="S209" s="373" t="n">
        <v>1.154</v>
      </c>
      <c r="T209" s="373" t="n">
        <v>1.197</v>
      </c>
      <c r="U209" s="373" t="n">
        <v>1.277</v>
      </c>
      <c r="V209" s="373" t="n">
        <v>1.335</v>
      </c>
      <c r="W209" s="373" t="n">
        <v>1.451</v>
      </c>
      <c r="X209" s="373" t="n">
        <v>2</v>
      </c>
      <c r="Y209" s="374" t="n">
        <v>1000</v>
      </c>
    </row>
    <row r="210" customFormat="false" ht="12" hidden="false" customHeight="false" outlineLevel="0" collapsed="false">
      <c r="A210" s="364" t="s">
        <v>228</v>
      </c>
      <c r="B210" s="379" t="n">
        <v>0</v>
      </c>
      <c r="C210" s="375" t="n">
        <v>198.418</v>
      </c>
      <c r="D210" s="375" t="n">
        <v>221.835</v>
      </c>
      <c r="E210" s="375" t="n">
        <v>212.658</v>
      </c>
      <c r="F210" s="375" t="n">
        <v>218.354</v>
      </c>
      <c r="G210" s="375" t="n">
        <v>204.43</v>
      </c>
      <c r="H210" s="375" t="n">
        <v>195.886</v>
      </c>
      <c r="I210" s="375" t="n">
        <v>183.544</v>
      </c>
      <c r="J210" s="375" t="n">
        <v>88.291</v>
      </c>
      <c r="K210" s="375" t="n">
        <v>93.671</v>
      </c>
      <c r="L210" s="375" t="n">
        <v>93.987</v>
      </c>
      <c r="M210" s="375" t="n">
        <v>91.139</v>
      </c>
      <c r="N210" s="375" t="n">
        <v>89.873</v>
      </c>
      <c r="O210" s="375" t="n">
        <v>87.025</v>
      </c>
      <c r="P210" s="375" t="n">
        <v>81.329</v>
      </c>
      <c r="Q210" s="375" t="n">
        <v>69.937</v>
      </c>
      <c r="R210" s="375" t="n">
        <v>54.114</v>
      </c>
      <c r="S210" s="375" t="n">
        <v>42.405</v>
      </c>
      <c r="T210" s="375" t="n">
        <v>31.646</v>
      </c>
      <c r="U210" s="375" t="n">
        <v>17.089</v>
      </c>
      <c r="V210" s="375" t="n">
        <v>9.81</v>
      </c>
      <c r="W210" s="375" t="n">
        <v>0</v>
      </c>
      <c r="X210" s="375" t="n">
        <v>0</v>
      </c>
      <c r="Y210" s="376" t="n">
        <v>0</v>
      </c>
    </row>
    <row r="211" customFormat="false" ht="12.75" hidden="false" customHeight="false" outlineLevel="0" collapsed="false">
      <c r="A211" s="351" t="s">
        <v>229</v>
      </c>
      <c r="B211" s="368" t="n">
        <f aca="false">(C210+B210)*(C209-B209)/2</f>
        <v>1.091299</v>
      </c>
      <c r="C211" s="369" t="n">
        <f aca="false">(D210+C210)*(D209-C209)/2</f>
        <v>2.3113915</v>
      </c>
      <c r="D211" s="369" t="n">
        <f aca="false">(E210+D210)*(E209-D209)/2</f>
        <v>5.213916</v>
      </c>
      <c r="E211" s="369" t="n">
        <f aca="false">(F210+E210)*(F209-E209)/2</f>
        <v>7.54271</v>
      </c>
      <c r="F211" s="369" t="n">
        <f aca="false">(G210+F210)*(G209-F209)/2</f>
        <v>29.172096</v>
      </c>
      <c r="G211" s="369" t="n">
        <f aca="false">(H210+G210)*(H209-G209)/2</f>
        <v>6.805372</v>
      </c>
      <c r="H211" s="369" t="n">
        <f aca="false">(I210+H210)*(I209-H209)/2</f>
        <v>3.984015</v>
      </c>
      <c r="I211" s="369" t="n">
        <f aca="false">(J210+I210)*(J209-I209)/2</f>
        <v>4.2134425</v>
      </c>
      <c r="J211" s="369" t="n">
        <f aca="false">(K210+J210)*(K209-J209)/2</f>
        <v>9.734967</v>
      </c>
      <c r="K211" s="369" t="n">
        <f aca="false">(L210+K210)*(L209-K209)/2</f>
        <v>35.373533</v>
      </c>
      <c r="L211" s="369" t="n">
        <f aca="false">(M210+L210)*(M209-L209)/2</f>
        <v>10.18193</v>
      </c>
      <c r="M211" s="369" t="n">
        <f aca="false">(N210+M210)*(N209-M209)/2</f>
        <v>4.88732399999999</v>
      </c>
      <c r="N211" s="369" t="n">
        <f aca="false">(O210+N210)*(O209-N209)/2</f>
        <v>4.068654</v>
      </c>
      <c r="O211" s="369" t="n">
        <f aca="false">(P210+O210)*(P209-O209)/2</f>
        <v>2.609487</v>
      </c>
      <c r="P211" s="369" t="n">
        <f aca="false">(Q210+P210)*(Q209-P209)/2</f>
        <v>2.04209099999999</v>
      </c>
      <c r="Q211" s="369" t="n">
        <f aca="false">(R210+Q210)*(R209-Q209)/2</f>
        <v>2.79114750000001</v>
      </c>
      <c r="R211" s="369" t="n">
        <f aca="false">(S210+R210)*(S209-R209)/2</f>
        <v>2.50949399999999</v>
      </c>
      <c r="S211" s="369" t="n">
        <f aca="false">(T210+S210)*(T209-S209)/2</f>
        <v>1.59209650000001</v>
      </c>
      <c r="T211" s="369" t="n">
        <f aca="false">(U210+T210)*(U209-T209)/2</f>
        <v>1.9494</v>
      </c>
      <c r="U211" s="369" t="n">
        <f aca="false">(V210+U210)*(V209-U209)/2</f>
        <v>0.780071000000001</v>
      </c>
      <c r="V211" s="369" t="n">
        <f aca="false">(W210+V210)*(W209-V209)/2</f>
        <v>0.568980000000001</v>
      </c>
      <c r="W211" s="369" t="n">
        <f aca="false">(X210+W210)*(X209-W209)/2</f>
        <v>0</v>
      </c>
      <c r="X211" s="369" t="n">
        <f aca="false">(Y210+X210)*(Y209-X209)/2</f>
        <v>0</v>
      </c>
      <c r="Y211" s="354"/>
    </row>
    <row r="212" customFormat="false" ht="13.5" hidden="false" customHeight="false" outlineLevel="0" collapsed="false">
      <c r="A212" s="356" t="s">
        <v>278</v>
      </c>
      <c r="B212" s="355"/>
      <c r="C212" s="355"/>
      <c r="D212" s="355"/>
      <c r="E212" s="355"/>
      <c r="F212" s="355"/>
      <c r="G212" s="355"/>
      <c r="H212" s="355"/>
      <c r="I212" s="355"/>
      <c r="J212" s="355"/>
      <c r="K212" s="355"/>
      <c r="L212" s="355"/>
      <c r="M212" s="355"/>
      <c r="N212" s="355"/>
      <c r="O212" s="355"/>
      <c r="P212" s="355"/>
      <c r="Q212" s="355"/>
      <c r="R212" s="355"/>
      <c r="S212" s="355"/>
      <c r="T212" s="355"/>
      <c r="U212" s="355"/>
      <c r="V212" s="355"/>
      <c r="W212" s="355"/>
      <c r="X212" s="355"/>
      <c r="Y212" s="355"/>
    </row>
    <row r="213" customFormat="false" ht="13.5" hidden="false" customHeight="false" outlineLevel="0" collapsed="false">
      <c r="A213" s="357" t="s">
        <v>279</v>
      </c>
      <c r="B213" s="358" t="n">
        <f aca="false">ROW(A213)</f>
        <v>213</v>
      </c>
      <c r="C213" s="340" t="s">
        <v>212</v>
      </c>
      <c r="D213" s="341" t="n">
        <f aca="false">SUM(B216:Y216)</f>
        <v>82.7985</v>
      </c>
      <c r="E213" s="340" t="s">
        <v>213</v>
      </c>
      <c r="F213" s="342" t="n">
        <f aca="false">D213/g/J213</f>
        <v>131.878344801223</v>
      </c>
      <c r="G213" s="340" t="s">
        <v>214</v>
      </c>
      <c r="H213" s="359" t="n">
        <v>0.152</v>
      </c>
      <c r="I213" s="340" t="s">
        <v>225</v>
      </c>
      <c r="J213" s="343" t="n">
        <f aca="false">H213-L213</f>
        <v>0.064</v>
      </c>
      <c r="K213" s="340" t="s">
        <v>226</v>
      </c>
      <c r="L213" s="359" t="n">
        <v>0.088</v>
      </c>
      <c r="M213" s="340" t="s">
        <v>217</v>
      </c>
      <c r="N213" s="360" t="n">
        <v>71</v>
      </c>
      <c r="O213" s="340" t="s">
        <v>218</v>
      </c>
      <c r="P213" s="360" t="n">
        <v>71</v>
      </c>
      <c r="Q213" s="340" t="s">
        <v>219</v>
      </c>
      <c r="R213" s="360" t="n">
        <v>142</v>
      </c>
      <c r="S213" s="340" t="s">
        <v>220</v>
      </c>
      <c r="T213" s="360" t="n">
        <v>29</v>
      </c>
      <c r="U213" s="340" t="s">
        <v>8</v>
      </c>
      <c r="V213" s="361" t="s">
        <v>256</v>
      </c>
      <c r="W213" s="346" t="s">
        <v>221</v>
      </c>
      <c r="X213" s="370" t="n">
        <v>0.96</v>
      </c>
      <c r="Y213" s="346" t="s">
        <v>222</v>
      </c>
      <c r="Z213" s="345" t="n">
        <v>11</v>
      </c>
    </row>
    <row r="214" customFormat="false" ht="12" hidden="false" customHeight="false" outlineLevel="0" collapsed="false">
      <c r="A214" s="338" t="s">
        <v>227</v>
      </c>
      <c r="B214" s="378" t="n">
        <v>0</v>
      </c>
      <c r="C214" s="373" t="n">
        <v>0.02</v>
      </c>
      <c r="D214" s="373" t="n">
        <v>0.03</v>
      </c>
      <c r="E214" s="373" t="n">
        <v>0.04</v>
      </c>
      <c r="F214" s="373" t="n">
        <v>0.06</v>
      </c>
      <c r="G214" s="373" t="n">
        <v>0.08</v>
      </c>
      <c r="H214" s="373" t="n">
        <v>0.15</v>
      </c>
      <c r="I214" s="373" t="n">
        <v>0.18</v>
      </c>
      <c r="J214" s="373" t="n">
        <v>0.2</v>
      </c>
      <c r="K214" s="373" t="n">
        <v>0.3</v>
      </c>
      <c r="L214" s="373" t="n">
        <v>0.4</v>
      </c>
      <c r="M214" s="373" t="n">
        <v>0.5</v>
      </c>
      <c r="N214" s="373" t="n">
        <v>0.6</v>
      </c>
      <c r="O214" s="373" t="n">
        <v>0.7</v>
      </c>
      <c r="P214" s="373" t="n">
        <v>0.82</v>
      </c>
      <c r="Q214" s="373" t="n">
        <v>0.93</v>
      </c>
      <c r="R214" s="373" t="n">
        <v>1</v>
      </c>
      <c r="S214" s="373" t="n">
        <f aca="false">R214</f>
        <v>1</v>
      </c>
      <c r="T214" s="373" t="n">
        <f aca="false">S214</f>
        <v>1</v>
      </c>
      <c r="U214" s="373" t="n">
        <f aca="false">T214</f>
        <v>1</v>
      </c>
      <c r="V214" s="373" t="n">
        <f aca="false">U214</f>
        <v>1</v>
      </c>
      <c r="W214" s="373" t="n">
        <f aca="false">V214</f>
        <v>1</v>
      </c>
      <c r="X214" s="373" t="n">
        <v>2</v>
      </c>
      <c r="Y214" s="374" t="n">
        <v>1000</v>
      </c>
    </row>
    <row r="215" customFormat="false" ht="12" hidden="false" customHeight="false" outlineLevel="0" collapsed="false">
      <c r="A215" s="364" t="s">
        <v>228</v>
      </c>
      <c r="B215" s="379" t="n">
        <v>0</v>
      </c>
      <c r="C215" s="375" t="n">
        <v>41.9</v>
      </c>
      <c r="D215" s="375" t="n">
        <v>92.1</v>
      </c>
      <c r="E215" s="375" t="n">
        <v>116.7</v>
      </c>
      <c r="F215" s="375" t="n">
        <v>112.7</v>
      </c>
      <c r="G215" s="375" t="n">
        <v>82.7</v>
      </c>
      <c r="H215" s="375" t="n">
        <v>84.7</v>
      </c>
      <c r="I215" s="375" t="n">
        <v>86.2</v>
      </c>
      <c r="J215" s="375" t="n">
        <v>87.9</v>
      </c>
      <c r="K215" s="375" t="n">
        <v>90.9</v>
      </c>
      <c r="L215" s="375" t="n">
        <v>93.9</v>
      </c>
      <c r="M215" s="375" t="n">
        <v>95.3</v>
      </c>
      <c r="N215" s="375" t="n">
        <v>96.8</v>
      </c>
      <c r="O215" s="375" t="n">
        <v>97.6</v>
      </c>
      <c r="P215" s="375" t="n">
        <v>108.2</v>
      </c>
      <c r="Q215" s="375" t="n">
        <v>11</v>
      </c>
      <c r="R215" s="375" t="n">
        <v>0</v>
      </c>
      <c r="S215" s="375" t="n">
        <f aca="false">R215</f>
        <v>0</v>
      </c>
      <c r="T215" s="375" t="n">
        <f aca="false">S215</f>
        <v>0</v>
      </c>
      <c r="U215" s="375" t="n">
        <f aca="false">T215</f>
        <v>0</v>
      </c>
      <c r="V215" s="375" t="n">
        <f aca="false">U215</f>
        <v>0</v>
      </c>
      <c r="W215" s="375" t="n">
        <f aca="false">V215</f>
        <v>0</v>
      </c>
      <c r="X215" s="375" t="n">
        <f aca="false">W215</f>
        <v>0</v>
      </c>
      <c r="Y215" s="376" t="n">
        <v>0</v>
      </c>
    </row>
    <row r="216" customFormat="false" ht="12.75" hidden="false" customHeight="false" outlineLevel="0" collapsed="false">
      <c r="A216" s="351" t="s">
        <v>229</v>
      </c>
      <c r="B216" s="368" t="n">
        <f aca="false">(C215+B215)*(C214-B214)/2</f>
        <v>0.419</v>
      </c>
      <c r="C216" s="369" t="n">
        <f aca="false">(D215+C215)*(D214-C214)/2</f>
        <v>0.67</v>
      </c>
      <c r="D216" s="369" t="n">
        <f aca="false">(E215+D215)*(E214-D214)/2</f>
        <v>1.044</v>
      </c>
      <c r="E216" s="369" t="n">
        <f aca="false">(F215+E215)*(F214-E214)/2</f>
        <v>2.294</v>
      </c>
      <c r="F216" s="369" t="n">
        <f aca="false">(G215+F215)*(G214-F214)/2</f>
        <v>1.954</v>
      </c>
      <c r="G216" s="369" t="n">
        <f aca="false">(H215+G215)*(H214-G214)/2</f>
        <v>5.859</v>
      </c>
      <c r="H216" s="369" t="n">
        <f aca="false">(I215+H215)*(I214-H214)/2</f>
        <v>2.5635</v>
      </c>
      <c r="I216" s="369" t="n">
        <f aca="false">(J215+I215)*(J214-I214)/2</f>
        <v>1.741</v>
      </c>
      <c r="J216" s="369" t="n">
        <f aca="false">(K215+J215)*(K214-J214)/2</f>
        <v>8.94</v>
      </c>
      <c r="K216" s="369" t="n">
        <f aca="false">(L215+K215)*(L214-K214)/2</f>
        <v>9.24</v>
      </c>
      <c r="L216" s="369" t="n">
        <f aca="false">(M215+L215)*(M214-L214)/2</f>
        <v>9.46</v>
      </c>
      <c r="M216" s="369" t="n">
        <f aca="false">(N215+M215)*(N214-M214)/2</f>
        <v>9.605</v>
      </c>
      <c r="N216" s="369" t="n">
        <f aca="false">(O215+N215)*(O214-N214)/2</f>
        <v>9.72</v>
      </c>
      <c r="O216" s="369" t="n">
        <f aca="false">(P215+O215)*(P214-O214)/2</f>
        <v>12.348</v>
      </c>
      <c r="P216" s="369" t="n">
        <f aca="false">(Q215+P215)*(Q214-P214)/2</f>
        <v>6.55600000000001</v>
      </c>
      <c r="Q216" s="369" t="n">
        <f aca="false">(R215+Q215)*(R214-Q214)/2</f>
        <v>0.385</v>
      </c>
      <c r="R216" s="369" t="n">
        <f aca="false">(S215+R215)*(S214-R214)/2</f>
        <v>0</v>
      </c>
      <c r="S216" s="369" t="n">
        <f aca="false">(T215+S215)*(T214-S214)/2</f>
        <v>0</v>
      </c>
      <c r="T216" s="369" t="n">
        <f aca="false">(U215+T215)*(U214-T214)/2</f>
        <v>0</v>
      </c>
      <c r="U216" s="369" t="n">
        <f aca="false">(V215+U215)*(V214-U214)/2</f>
        <v>0</v>
      </c>
      <c r="V216" s="369" t="n">
        <f aca="false">(W215+V215)*(W214-V214)/2</f>
        <v>0</v>
      </c>
      <c r="W216" s="369" t="n">
        <f aca="false">(X215+W215)*(X214-W214)/2</f>
        <v>0</v>
      </c>
      <c r="X216" s="369" t="n">
        <f aca="false">(Y215+X215)*(Y214-X214)/2</f>
        <v>0</v>
      </c>
      <c r="Y216" s="354"/>
    </row>
    <row r="217" customFormat="false" ht="12.75" hidden="false" customHeight="false" outlineLevel="0" collapsed="false">
      <c r="B217" s="355"/>
      <c r="C217" s="355"/>
      <c r="D217" s="355"/>
      <c r="E217" s="355"/>
      <c r="F217" s="355"/>
      <c r="G217" s="355"/>
      <c r="H217" s="355"/>
      <c r="I217" s="355"/>
      <c r="J217" s="355"/>
      <c r="K217" s="355"/>
      <c r="L217" s="355"/>
      <c r="M217" s="355"/>
      <c r="N217" s="355"/>
      <c r="O217" s="355"/>
      <c r="P217" s="355"/>
      <c r="Q217" s="355"/>
      <c r="R217" s="355"/>
      <c r="S217" s="355"/>
      <c r="T217" s="355"/>
      <c r="U217" s="355"/>
      <c r="V217" s="355"/>
      <c r="W217" s="355"/>
      <c r="X217" s="355"/>
      <c r="Y217" s="355"/>
    </row>
    <row r="218" customFormat="false" ht="13.5" hidden="false" customHeight="false" outlineLevel="0" collapsed="false">
      <c r="A218" s="357" t="s">
        <v>280</v>
      </c>
      <c r="B218" s="358" t="n">
        <f aca="false">ROW(A218)</f>
        <v>218</v>
      </c>
      <c r="C218" s="340" t="s">
        <v>212</v>
      </c>
      <c r="D218" s="341" t="n">
        <f aca="false">SUM(B221:Y221)</f>
        <v>98.2571011630364</v>
      </c>
      <c r="E218" s="340" t="s">
        <v>213</v>
      </c>
      <c r="F218" s="342" t="n">
        <f aca="false">D218/g/J218</f>
        <v>177.588907618938</v>
      </c>
      <c r="G218" s="340" t="s">
        <v>214</v>
      </c>
      <c r="H218" s="359" t="n">
        <v>0.1432</v>
      </c>
      <c r="I218" s="340" t="s">
        <v>225</v>
      </c>
      <c r="J218" s="343" t="n">
        <f aca="false">H218-L218</f>
        <v>0.0564</v>
      </c>
      <c r="K218" s="340" t="s">
        <v>226</v>
      </c>
      <c r="L218" s="359" t="n">
        <v>0.0868</v>
      </c>
      <c r="M218" s="340" t="s">
        <v>217</v>
      </c>
      <c r="N218" s="360" t="n">
        <v>71</v>
      </c>
      <c r="O218" s="340" t="s">
        <v>218</v>
      </c>
      <c r="P218" s="360" t="n">
        <v>71</v>
      </c>
      <c r="Q218" s="340" t="s">
        <v>219</v>
      </c>
      <c r="R218" s="360" t="n">
        <v>142</v>
      </c>
      <c r="S218" s="340" t="s">
        <v>220</v>
      </c>
      <c r="T218" s="360" t="n">
        <v>29</v>
      </c>
      <c r="U218" s="340" t="s">
        <v>8</v>
      </c>
      <c r="V218" s="361" t="s">
        <v>256</v>
      </c>
      <c r="W218" s="346" t="s">
        <v>221</v>
      </c>
      <c r="X218" s="370" t="n">
        <v>1.15</v>
      </c>
      <c r="Y218" s="346" t="s">
        <v>222</v>
      </c>
      <c r="Z218" s="345" t="n">
        <v>14</v>
      </c>
    </row>
    <row r="219" customFormat="false" ht="12" hidden="false" customHeight="false" outlineLevel="0" collapsed="false">
      <c r="A219" s="338" t="s">
        <v>227</v>
      </c>
      <c r="B219" s="378" t="n">
        <v>0</v>
      </c>
      <c r="C219" s="373" t="n">
        <v>0.015</v>
      </c>
      <c r="D219" s="373" t="n">
        <v>0.03</v>
      </c>
      <c r="E219" s="373" t="n">
        <v>0.045</v>
      </c>
      <c r="F219" s="373" t="n">
        <v>0.06</v>
      </c>
      <c r="G219" s="373" t="n">
        <v>0.075</v>
      </c>
      <c r="H219" s="373" t="n">
        <v>0.09</v>
      </c>
      <c r="I219" s="373" t="n">
        <v>0.105</v>
      </c>
      <c r="J219" s="373" t="n">
        <v>0.12</v>
      </c>
      <c r="K219" s="373" t="n">
        <v>0.18</v>
      </c>
      <c r="L219" s="373" t="n">
        <v>0.24</v>
      </c>
      <c r="M219" s="373" t="n">
        <v>0.3</v>
      </c>
      <c r="N219" s="373" t="n">
        <v>0.48</v>
      </c>
      <c r="O219" s="373" t="n">
        <v>0.6</v>
      </c>
      <c r="P219" s="373" t="n">
        <v>0.66</v>
      </c>
      <c r="Q219" s="373" t="n">
        <v>0.72</v>
      </c>
      <c r="R219" s="373" t="n">
        <v>0.78</v>
      </c>
      <c r="S219" s="373" t="n">
        <v>0.84</v>
      </c>
      <c r="T219" s="373" t="n">
        <v>0.9</v>
      </c>
      <c r="U219" s="373" t="n">
        <v>0.96</v>
      </c>
      <c r="V219" s="373" t="n">
        <v>1.035</v>
      </c>
      <c r="W219" s="373" t="n">
        <v>1.2</v>
      </c>
      <c r="X219" s="373" t="n">
        <v>2</v>
      </c>
      <c r="Y219" s="374" t="n">
        <v>1000</v>
      </c>
    </row>
    <row r="220" customFormat="false" ht="12" hidden="false" customHeight="false" outlineLevel="0" collapsed="false">
      <c r="A220" s="364" t="s">
        <v>228</v>
      </c>
      <c r="B220" s="379" t="n">
        <v>0</v>
      </c>
      <c r="C220" s="380" t="n">
        <v>99.3287889588225</v>
      </c>
      <c r="D220" s="380" t="n">
        <v>109.07039432469</v>
      </c>
      <c r="E220" s="380" t="n">
        <v>65.2554112864275</v>
      </c>
      <c r="F220" s="380" t="n">
        <v>67.5684865331175</v>
      </c>
      <c r="G220" s="380" t="n">
        <v>73.929443461515</v>
      </c>
      <c r="H220" s="380" t="n">
        <v>74.3297834080575</v>
      </c>
      <c r="I220" s="380" t="n">
        <v>78.1552540083525</v>
      </c>
      <c r="J220" s="380" t="n">
        <v>78.6000761711775</v>
      </c>
      <c r="K220" s="380" t="n">
        <v>82.20313569006</v>
      </c>
      <c r="L220" s="380" t="n">
        <v>84.51621093675</v>
      </c>
      <c r="M220" s="380" t="n">
        <v>88.519610402175</v>
      </c>
      <c r="N220" s="380" t="n">
        <v>95.102978411985</v>
      </c>
      <c r="O220" s="380" t="n">
        <v>95.54780057481</v>
      </c>
      <c r="P220" s="380" t="n">
        <v>94.48022738403</v>
      </c>
      <c r="Q220" s="380" t="n">
        <v>92.1226699210575</v>
      </c>
      <c r="R220" s="380" t="n">
        <v>90.7437212163</v>
      </c>
      <c r="S220" s="380" t="n">
        <v>88.964432565</v>
      </c>
      <c r="T220" s="380" t="n">
        <v>85.4058552624</v>
      </c>
      <c r="U220" s="380" t="n">
        <v>83.44863774597</v>
      </c>
      <c r="V220" s="380" t="n">
        <v>88.07478823935</v>
      </c>
      <c r="W220" s="380" t="n">
        <v>0</v>
      </c>
      <c r="X220" s="375" t="n">
        <v>0</v>
      </c>
      <c r="Y220" s="376" t="n">
        <v>0</v>
      </c>
    </row>
    <row r="221" customFormat="false" ht="12.75" hidden="false" customHeight="false" outlineLevel="0" collapsed="false">
      <c r="A221" s="351" t="s">
        <v>229</v>
      </c>
      <c r="B221" s="368" t="n">
        <f aca="false">(C220+B220)*(C219-B219)/2</f>
        <v>0.744965917191169</v>
      </c>
      <c r="C221" s="369" t="n">
        <f aca="false">(D220+C220)*(D219-C219)/2</f>
        <v>1.56299387462634</v>
      </c>
      <c r="D221" s="369" t="n">
        <f aca="false">(E220+D220)*(E219-D219)/2</f>
        <v>1.30744354208338</v>
      </c>
      <c r="E221" s="369" t="n">
        <f aca="false">(F220+E220)*(F219-E219)/2</f>
        <v>0.996179233646587</v>
      </c>
      <c r="F221" s="369" t="n">
        <f aca="false">(G220+F220)*(G219-F219)/2</f>
        <v>1.06123447495974</v>
      </c>
      <c r="G221" s="369" t="n">
        <f aca="false">(H220+G220)*(H219-G219)/2</f>
        <v>1.11194420152179</v>
      </c>
      <c r="H221" s="369" t="n">
        <f aca="false">(I220+H220)*(I219-H219)/2</f>
        <v>1.14363778062307</v>
      </c>
      <c r="I221" s="369" t="n">
        <f aca="false">(J220+I220)*(J219-I219)/2</f>
        <v>1.17566497634648</v>
      </c>
      <c r="J221" s="369" t="n">
        <f aca="false">(K220+J220)*(K219-J219)/2</f>
        <v>4.82409635583713</v>
      </c>
      <c r="K221" s="369" t="n">
        <f aca="false">(L220+K220)*(L219-K219)/2</f>
        <v>5.0015803988043</v>
      </c>
      <c r="L221" s="369" t="n">
        <f aca="false">(M220+L220)*(M219-L219)/2</f>
        <v>5.19107464016775</v>
      </c>
      <c r="M221" s="369" t="n">
        <f aca="false">(N220+M220)*(N219-M219)/2</f>
        <v>16.5260329932744</v>
      </c>
      <c r="N221" s="369" t="n">
        <f aca="false">(O220+N220)*(O219-N219)/2</f>
        <v>11.4390467392077</v>
      </c>
      <c r="O221" s="369" t="n">
        <f aca="false">(P220+O220)*(P219-O219)/2</f>
        <v>5.7008408387652</v>
      </c>
      <c r="P221" s="369" t="n">
        <f aca="false">(Q220+P220)*(Q219-P219)/2</f>
        <v>5.59808691915262</v>
      </c>
      <c r="Q221" s="369" t="n">
        <f aca="false">(R220+Q220)*(R219-Q219)/2</f>
        <v>5.48599173412073</v>
      </c>
      <c r="R221" s="369" t="n">
        <f aca="false">(S220+R220)*(S219-R219)/2</f>
        <v>5.39124461343899</v>
      </c>
      <c r="S221" s="369" t="n">
        <f aca="false">(T220+S220)*(T219-S219)/2</f>
        <v>5.231108634822</v>
      </c>
      <c r="T221" s="369" t="n">
        <f aca="false">(U220+T220)*(U219-T219)/2</f>
        <v>5.0656347902511</v>
      </c>
      <c r="U221" s="369" t="n">
        <f aca="false">(V220+U220)*(V219-U219)/2</f>
        <v>6.4321284744495</v>
      </c>
      <c r="V221" s="369" t="n">
        <f aca="false">(W220+V220)*(W219-V219)/2</f>
        <v>7.26617002974638</v>
      </c>
      <c r="W221" s="369" t="n">
        <f aca="false">(X220+W220)*(X219-W219)/2</f>
        <v>0</v>
      </c>
      <c r="X221" s="369" t="n">
        <f aca="false">(Y220+X220)*(Y219-X219)/2</f>
        <v>0</v>
      </c>
      <c r="Y221" s="354"/>
    </row>
    <row r="222" customFormat="false" ht="12.75" hidden="false" customHeight="false" outlineLevel="0" collapsed="false">
      <c r="B222" s="355"/>
      <c r="C222" s="355"/>
      <c r="D222" s="355"/>
      <c r="E222" s="355"/>
      <c r="F222" s="355"/>
      <c r="G222" s="355"/>
      <c r="H222" s="355"/>
      <c r="I222" s="355"/>
      <c r="J222" s="355"/>
      <c r="K222" s="355"/>
      <c r="L222" s="355"/>
      <c r="M222" s="355"/>
      <c r="N222" s="355"/>
      <c r="O222" s="355"/>
      <c r="P222" s="355"/>
      <c r="Q222" s="355"/>
      <c r="R222" s="355"/>
      <c r="S222" s="355"/>
      <c r="T222" s="355"/>
      <c r="U222" s="355"/>
      <c r="V222" s="355"/>
      <c r="W222" s="355"/>
      <c r="X222" s="355"/>
      <c r="Y222" s="355"/>
    </row>
    <row r="223" customFormat="false" ht="13.5" hidden="false" customHeight="false" outlineLevel="0" collapsed="false">
      <c r="A223" s="357" t="s">
        <v>281</v>
      </c>
      <c r="B223" s="358" t="n">
        <f aca="false">ROW(A223)</f>
        <v>223</v>
      </c>
      <c r="C223" s="340" t="s">
        <v>212</v>
      </c>
      <c r="D223" s="341" t="n">
        <f aca="false">SUM(B226:Y226)</f>
        <v>109.6063985</v>
      </c>
      <c r="E223" s="340" t="s">
        <v>213</v>
      </c>
      <c r="F223" s="342" t="n">
        <f aca="false">D223/g/J223</f>
        <v>194.311746664894</v>
      </c>
      <c r="G223" s="340" t="s">
        <v>214</v>
      </c>
      <c r="H223" s="359" t="n">
        <v>0.1413</v>
      </c>
      <c r="I223" s="340" t="s">
        <v>225</v>
      </c>
      <c r="J223" s="343" t="n">
        <f aca="false">H223-L223</f>
        <v>0.0575</v>
      </c>
      <c r="K223" s="340" t="s">
        <v>226</v>
      </c>
      <c r="L223" s="359" t="n">
        <v>0.0838</v>
      </c>
      <c r="M223" s="340" t="s">
        <v>217</v>
      </c>
      <c r="N223" s="360" t="n">
        <v>71</v>
      </c>
      <c r="O223" s="340" t="s">
        <v>218</v>
      </c>
      <c r="P223" s="360" t="n">
        <v>71</v>
      </c>
      <c r="Q223" s="340" t="s">
        <v>219</v>
      </c>
      <c r="R223" s="360" t="n">
        <v>142</v>
      </c>
      <c r="S223" s="340" t="s">
        <v>220</v>
      </c>
      <c r="T223" s="360" t="n">
        <v>29</v>
      </c>
      <c r="U223" s="340" t="s">
        <v>8</v>
      </c>
      <c r="V223" s="361" t="s">
        <v>245</v>
      </c>
      <c r="W223" s="346" t="s">
        <v>221</v>
      </c>
      <c r="X223" s="370" t="n">
        <v>0.45</v>
      </c>
      <c r="Y223" s="346" t="s">
        <v>222</v>
      </c>
      <c r="Z223" s="345" t="n">
        <v>14</v>
      </c>
    </row>
    <row r="224" customFormat="false" ht="12" hidden="false" customHeight="false" outlineLevel="0" collapsed="false">
      <c r="A224" s="338" t="s">
        <v>227</v>
      </c>
      <c r="B224" s="378" t="n">
        <v>0</v>
      </c>
      <c r="C224" s="373" t="n">
        <v>0.006</v>
      </c>
      <c r="D224" s="373" t="n">
        <v>0.011</v>
      </c>
      <c r="E224" s="373" t="n">
        <v>0.016</v>
      </c>
      <c r="F224" s="373" t="n">
        <v>0.031</v>
      </c>
      <c r="G224" s="373" t="n">
        <v>0.075</v>
      </c>
      <c r="H224" s="373" t="n">
        <v>0.122</v>
      </c>
      <c r="I224" s="373" t="n">
        <v>0.216</v>
      </c>
      <c r="J224" s="373" t="n">
        <v>0.25</v>
      </c>
      <c r="K224" s="373" t="n">
        <v>0.287</v>
      </c>
      <c r="L224" s="373" t="n">
        <v>0.354</v>
      </c>
      <c r="M224" s="373" t="n">
        <v>0.374</v>
      </c>
      <c r="N224" s="373" t="n">
        <v>0.4</v>
      </c>
      <c r="O224" s="373" t="n">
        <v>0.413</v>
      </c>
      <c r="P224" s="373" t="n">
        <v>0.42</v>
      </c>
      <c r="Q224" s="373" t="n">
        <v>0.433</v>
      </c>
      <c r="R224" s="373" t="n">
        <v>0.445</v>
      </c>
      <c r="S224" s="373" t="n">
        <v>0.454</v>
      </c>
      <c r="T224" s="373" t="n">
        <f aca="false">S224</f>
        <v>0.454</v>
      </c>
      <c r="U224" s="373" t="n">
        <f aca="false">T224</f>
        <v>0.454</v>
      </c>
      <c r="V224" s="373" t="n">
        <f aca="false">U224</f>
        <v>0.454</v>
      </c>
      <c r="W224" s="373" t="n">
        <f aca="false">V224</f>
        <v>0.454</v>
      </c>
      <c r="X224" s="373" t="n">
        <v>2</v>
      </c>
      <c r="Y224" s="374" t="n">
        <v>1000</v>
      </c>
    </row>
    <row r="225" customFormat="false" ht="12" hidden="false" customHeight="false" outlineLevel="0" collapsed="false">
      <c r="A225" s="364" t="s">
        <v>228</v>
      </c>
      <c r="B225" s="379" t="n">
        <v>0</v>
      </c>
      <c r="C225" s="375" t="n">
        <v>151.621</v>
      </c>
      <c r="D225" s="375" t="n">
        <v>198.079</v>
      </c>
      <c r="E225" s="375" t="n">
        <v>203.121</v>
      </c>
      <c r="F225" s="375" t="n">
        <v>201.681</v>
      </c>
      <c r="G225" s="375" t="n">
        <v>226.17</v>
      </c>
      <c r="H225" s="375" t="n">
        <v>250.3</v>
      </c>
      <c r="I225" s="375" t="n">
        <v>280.192</v>
      </c>
      <c r="J225" s="375" t="n">
        <v>287.035</v>
      </c>
      <c r="K225" s="375" t="n">
        <v>284.874</v>
      </c>
      <c r="L225" s="375" t="n">
        <v>269.748</v>
      </c>
      <c r="M225" s="375" t="n">
        <v>258.583</v>
      </c>
      <c r="N225" s="375" t="n">
        <v>233.373</v>
      </c>
      <c r="O225" s="375" t="n">
        <v>234.094</v>
      </c>
      <c r="P225" s="375" t="n">
        <v>227.611</v>
      </c>
      <c r="Q225" s="375" t="n">
        <v>137.935</v>
      </c>
      <c r="R225" s="375" t="n">
        <v>33.854</v>
      </c>
      <c r="S225" s="375" t="n">
        <v>0</v>
      </c>
      <c r="T225" s="375" t="n">
        <f aca="false">S225</f>
        <v>0</v>
      </c>
      <c r="U225" s="375" t="n">
        <f aca="false">T225</f>
        <v>0</v>
      </c>
      <c r="V225" s="375" t="n">
        <f aca="false">U225</f>
        <v>0</v>
      </c>
      <c r="W225" s="375" t="n">
        <f aca="false">V225</f>
        <v>0</v>
      </c>
      <c r="X225" s="375" t="n">
        <f aca="false">W225</f>
        <v>0</v>
      </c>
      <c r="Y225" s="376" t="n">
        <v>0</v>
      </c>
    </row>
    <row r="226" customFormat="false" ht="12.75" hidden="false" customHeight="false" outlineLevel="0" collapsed="false">
      <c r="A226" s="351" t="s">
        <v>229</v>
      </c>
      <c r="B226" s="368" t="n">
        <f aca="false">(C225+B225)*(C224-B224)/2</f>
        <v>0.454863</v>
      </c>
      <c r="C226" s="369" t="n">
        <f aca="false">(D225+C225)*(D224-C224)/2</f>
        <v>0.87425</v>
      </c>
      <c r="D226" s="369" t="n">
        <f aca="false">(E225+D225)*(E224-D224)/2</f>
        <v>1.003</v>
      </c>
      <c r="E226" s="369" t="n">
        <f aca="false">(F225+E225)*(F224-E224)/2</f>
        <v>3.036015</v>
      </c>
      <c r="F226" s="369" t="n">
        <f aca="false">(G225+F225)*(G224-F224)/2</f>
        <v>9.412722</v>
      </c>
      <c r="G226" s="369" t="n">
        <f aca="false">(H225+G225)*(H224-G224)/2</f>
        <v>11.197045</v>
      </c>
      <c r="H226" s="369" t="n">
        <f aca="false">(I225+H225)*(I224-H224)/2</f>
        <v>24.933124</v>
      </c>
      <c r="I226" s="369" t="n">
        <f aca="false">(J225+I225)*(J224-I224)/2</f>
        <v>9.642859</v>
      </c>
      <c r="J226" s="369" t="n">
        <f aca="false">(K225+J225)*(K224-J224)/2</f>
        <v>10.5803165</v>
      </c>
      <c r="K226" s="369" t="n">
        <f aca="false">(L225+K225)*(L224-K224)/2</f>
        <v>18.579837</v>
      </c>
      <c r="L226" s="369" t="n">
        <f aca="false">(M225+L225)*(M224-L224)/2</f>
        <v>5.28331000000001</v>
      </c>
      <c r="M226" s="369" t="n">
        <f aca="false">(N225+M225)*(N224-M224)/2</f>
        <v>6.39542800000001</v>
      </c>
      <c r="N226" s="369" t="n">
        <f aca="false">(O225+N225)*(O224-N224)/2</f>
        <v>3.03853549999999</v>
      </c>
      <c r="O226" s="369" t="n">
        <f aca="false">(P225+O225)*(P224-O224)/2</f>
        <v>1.6159675</v>
      </c>
      <c r="P226" s="369" t="n">
        <f aca="false">(Q225+P225)*(Q224-P224)/2</f>
        <v>2.376049</v>
      </c>
      <c r="Q226" s="369" t="n">
        <f aca="false">(R225+Q225)*(R224-Q224)/2</f>
        <v>1.030734</v>
      </c>
      <c r="R226" s="369" t="n">
        <f aca="false">(S225+R225)*(S224-R224)/2</f>
        <v>0.152343</v>
      </c>
      <c r="S226" s="369" t="n">
        <f aca="false">(T225+S225)*(T224-S224)/2</f>
        <v>0</v>
      </c>
      <c r="T226" s="369" t="n">
        <f aca="false">(U225+T225)*(U224-T224)/2</f>
        <v>0</v>
      </c>
      <c r="U226" s="369" t="n">
        <f aca="false">(V225+U225)*(V224-U224)/2</f>
        <v>0</v>
      </c>
      <c r="V226" s="369" t="n">
        <f aca="false">(W225+V225)*(W224-V224)/2</f>
        <v>0</v>
      </c>
      <c r="W226" s="369" t="n">
        <f aca="false">(X225+W225)*(X224-W224)/2</f>
        <v>0</v>
      </c>
      <c r="X226" s="369" t="n">
        <f aca="false">(Y225+X225)*(Y224-X224)/2</f>
        <v>0</v>
      </c>
      <c r="Y226" s="354"/>
    </row>
    <row r="227" customFormat="false" ht="12.75" hidden="false" customHeight="false" outlineLevel="0" collapsed="false">
      <c r="B227" s="355"/>
      <c r="C227" s="355"/>
      <c r="D227" s="355"/>
      <c r="E227" s="355"/>
      <c r="F227" s="355"/>
      <c r="G227" s="355"/>
      <c r="H227" s="355"/>
      <c r="I227" s="355"/>
      <c r="J227" s="355"/>
      <c r="K227" s="355"/>
      <c r="L227" s="355"/>
      <c r="M227" s="355"/>
      <c r="N227" s="355"/>
      <c r="O227" s="355"/>
      <c r="P227" s="355"/>
      <c r="Q227" s="355"/>
      <c r="R227" s="355"/>
      <c r="S227" s="355"/>
      <c r="T227" s="355"/>
      <c r="U227" s="355"/>
      <c r="V227" s="355"/>
      <c r="W227" s="355"/>
      <c r="X227" s="355"/>
      <c r="Y227" s="355"/>
    </row>
    <row r="228" customFormat="false" ht="13.5" hidden="false" customHeight="false" outlineLevel="0" collapsed="false">
      <c r="A228" s="357" t="s">
        <v>282</v>
      </c>
      <c r="B228" s="358" t="n">
        <f aca="false">ROW(A228)</f>
        <v>228</v>
      </c>
      <c r="C228" s="340" t="s">
        <v>212</v>
      </c>
      <c r="D228" s="341" t="n">
        <f aca="false">SUM(B231:Y231)</f>
        <v>115.63</v>
      </c>
      <c r="E228" s="340" t="s">
        <v>213</v>
      </c>
      <c r="F228" s="342" t="n">
        <f aca="false">D228/g/J228</f>
        <v>199.77884897804</v>
      </c>
      <c r="G228" s="340" t="s">
        <v>214</v>
      </c>
      <c r="H228" s="359" t="n">
        <v>0.145</v>
      </c>
      <c r="I228" s="340" t="s">
        <v>225</v>
      </c>
      <c r="J228" s="343" t="n">
        <f aca="false">H228-L228</f>
        <v>0.059</v>
      </c>
      <c r="K228" s="340" t="s">
        <v>226</v>
      </c>
      <c r="L228" s="359" t="n">
        <v>0.086</v>
      </c>
      <c r="M228" s="340" t="s">
        <v>217</v>
      </c>
      <c r="N228" s="360" t="n">
        <v>71</v>
      </c>
      <c r="O228" s="340" t="s">
        <v>218</v>
      </c>
      <c r="P228" s="360" t="n">
        <v>71</v>
      </c>
      <c r="Q228" s="340" t="s">
        <v>219</v>
      </c>
      <c r="R228" s="360" t="n">
        <v>142</v>
      </c>
      <c r="S228" s="340" t="s">
        <v>220</v>
      </c>
      <c r="T228" s="360" t="n">
        <v>29</v>
      </c>
      <c r="U228" s="340" t="s">
        <v>8</v>
      </c>
      <c r="V228" s="361" t="s">
        <v>252</v>
      </c>
      <c r="W228" s="346" t="s">
        <v>221</v>
      </c>
      <c r="X228" s="370" t="n">
        <v>0.93</v>
      </c>
      <c r="Y228" s="346" t="s">
        <v>222</v>
      </c>
      <c r="Z228" s="345" t="n">
        <v>13</v>
      </c>
    </row>
    <row r="229" customFormat="false" ht="12" hidden="false" customHeight="false" outlineLevel="0" collapsed="false">
      <c r="A229" s="338" t="s">
        <v>227</v>
      </c>
      <c r="B229" s="378" t="n">
        <v>0</v>
      </c>
      <c r="C229" s="373" t="n">
        <v>0.01</v>
      </c>
      <c r="D229" s="373" t="n">
        <v>0.02</v>
      </c>
      <c r="E229" s="373" t="n">
        <v>0.03</v>
      </c>
      <c r="F229" s="373" t="n">
        <v>0.04</v>
      </c>
      <c r="G229" s="373" t="n">
        <v>0.05</v>
      </c>
      <c r="H229" s="373" t="n">
        <v>0.1</v>
      </c>
      <c r="I229" s="373" t="n">
        <v>0.2</v>
      </c>
      <c r="J229" s="373" t="n">
        <v>0.3</v>
      </c>
      <c r="K229" s="373" t="n">
        <v>0.4</v>
      </c>
      <c r="L229" s="373" t="n">
        <v>0.6</v>
      </c>
      <c r="M229" s="373" t="n">
        <v>0.75</v>
      </c>
      <c r="N229" s="373" t="n">
        <v>0.81</v>
      </c>
      <c r="O229" s="373" t="n">
        <v>0.86</v>
      </c>
      <c r="P229" s="373" t="n">
        <v>0.9</v>
      </c>
      <c r="Q229" s="373" t="n">
        <v>0.95</v>
      </c>
      <c r="R229" s="373" t="n">
        <v>1</v>
      </c>
      <c r="S229" s="373" t="n">
        <v>1</v>
      </c>
      <c r="T229" s="373" t="n">
        <v>1</v>
      </c>
      <c r="U229" s="373" t="n">
        <v>1</v>
      </c>
      <c r="V229" s="373" t="n">
        <v>1</v>
      </c>
      <c r="W229" s="373" t="n">
        <v>1</v>
      </c>
      <c r="X229" s="373" t="n">
        <v>2</v>
      </c>
      <c r="Y229" s="374" t="n">
        <v>1000</v>
      </c>
    </row>
    <row r="230" customFormat="false" ht="12" hidden="false" customHeight="false" outlineLevel="0" collapsed="false">
      <c r="A230" s="364" t="s">
        <v>228</v>
      </c>
      <c r="B230" s="379" t="n">
        <v>0</v>
      </c>
      <c r="C230" s="380" t="n">
        <v>55</v>
      </c>
      <c r="D230" s="380" t="n">
        <v>168</v>
      </c>
      <c r="E230" s="380" t="n">
        <v>157</v>
      </c>
      <c r="F230" s="380" t="n">
        <v>148</v>
      </c>
      <c r="G230" s="380" t="n">
        <v>125</v>
      </c>
      <c r="H230" s="380" t="n">
        <v>135</v>
      </c>
      <c r="I230" s="380" t="n">
        <v>141</v>
      </c>
      <c r="J230" s="380" t="n">
        <v>142</v>
      </c>
      <c r="K230" s="380" t="n">
        <v>141</v>
      </c>
      <c r="L230" s="380" t="n">
        <v>133</v>
      </c>
      <c r="M230" s="380" t="n">
        <v>127</v>
      </c>
      <c r="N230" s="380" t="n">
        <v>128</v>
      </c>
      <c r="O230" s="380" t="n">
        <v>60</v>
      </c>
      <c r="P230" s="380" t="n">
        <v>15</v>
      </c>
      <c r="Q230" s="380" t="n">
        <v>0</v>
      </c>
      <c r="R230" s="380" t="n">
        <v>0</v>
      </c>
      <c r="S230" s="380" t="n">
        <v>0</v>
      </c>
      <c r="T230" s="380" t="n">
        <v>0</v>
      </c>
      <c r="U230" s="380" t="n">
        <v>0</v>
      </c>
      <c r="V230" s="380" t="n">
        <v>0</v>
      </c>
      <c r="W230" s="380" t="n">
        <v>0</v>
      </c>
      <c r="X230" s="375" t="n">
        <v>0</v>
      </c>
      <c r="Y230" s="376" t="n">
        <v>0</v>
      </c>
    </row>
    <row r="231" customFormat="false" ht="12.75" hidden="false" customHeight="false" outlineLevel="0" collapsed="false">
      <c r="A231" s="351" t="s">
        <v>229</v>
      </c>
      <c r="B231" s="368" t="n">
        <f aca="false">(C230+B230)*(C229-B229)/2</f>
        <v>0.275</v>
      </c>
      <c r="C231" s="369" t="n">
        <f aca="false">(D230+C230)*(D229-C229)/2</f>
        <v>1.115</v>
      </c>
      <c r="D231" s="369" t="n">
        <f aca="false">(E230+D230)*(E229-D229)/2</f>
        <v>1.625</v>
      </c>
      <c r="E231" s="369" t="n">
        <f aca="false">(F230+E230)*(F229-E229)/2</f>
        <v>1.525</v>
      </c>
      <c r="F231" s="369" t="n">
        <f aca="false">(G230+F230)*(G229-F229)/2</f>
        <v>1.365</v>
      </c>
      <c r="G231" s="369" t="n">
        <f aca="false">(H230+G230)*(H229-G229)/2</f>
        <v>6.5</v>
      </c>
      <c r="H231" s="369" t="n">
        <f aca="false">(I230+H230)*(I229-H229)/2</f>
        <v>13.8</v>
      </c>
      <c r="I231" s="369" t="n">
        <f aca="false">(J230+I230)*(J229-I229)/2</f>
        <v>14.15</v>
      </c>
      <c r="J231" s="369" t="n">
        <f aca="false">(K230+J230)*(K229-J229)/2</f>
        <v>14.15</v>
      </c>
      <c r="K231" s="369" t="n">
        <f aca="false">(L230+K230)*(L229-K229)/2</f>
        <v>27.4</v>
      </c>
      <c r="L231" s="369" t="n">
        <f aca="false">(M230+L230)*(M229-L229)/2</f>
        <v>19.5</v>
      </c>
      <c r="M231" s="369" t="n">
        <f aca="false">(N230+M230)*(N229-M229)/2</f>
        <v>7.65000000000001</v>
      </c>
      <c r="N231" s="369" t="n">
        <f aca="false">(O230+N230)*(O229-N229)/2</f>
        <v>4.69999999999999</v>
      </c>
      <c r="O231" s="369" t="n">
        <f aca="false">(P230+O230)*(P229-O229)/2</f>
        <v>1.5</v>
      </c>
      <c r="P231" s="369" t="n">
        <f aca="false">(Q230+P230)*(Q229-P229)/2</f>
        <v>0.375</v>
      </c>
      <c r="Q231" s="369" t="n">
        <f aca="false">(R230+Q230)*(R229-Q229)/2</f>
        <v>0</v>
      </c>
      <c r="R231" s="369" t="n">
        <f aca="false">(S230+R230)*(S229-R229)/2</f>
        <v>0</v>
      </c>
      <c r="S231" s="369" t="n">
        <f aca="false">(T230+S230)*(T229-S229)/2</f>
        <v>0</v>
      </c>
      <c r="T231" s="369" t="n">
        <f aca="false">(U230+T230)*(U229-T229)/2</f>
        <v>0</v>
      </c>
      <c r="U231" s="369" t="n">
        <f aca="false">(V230+U230)*(V229-U229)/2</f>
        <v>0</v>
      </c>
      <c r="V231" s="369" t="n">
        <f aca="false">(W230+V230)*(W229-V229)/2</f>
        <v>0</v>
      </c>
      <c r="W231" s="369" t="n">
        <f aca="false">(X230+W230)*(X229-W229)/2</f>
        <v>0</v>
      </c>
      <c r="X231" s="369" t="n">
        <f aca="false">(Y230+X230)*(Y229-X229)/2</f>
        <v>0</v>
      </c>
      <c r="Y231" s="354"/>
    </row>
    <row r="232" customFormat="false" ht="13.5" hidden="false" customHeight="false" outlineLevel="0" collapsed="false">
      <c r="A232" s="356" t="s">
        <v>283</v>
      </c>
      <c r="B232" s="355"/>
      <c r="C232" s="355"/>
      <c r="D232" s="355"/>
      <c r="E232" s="355"/>
      <c r="F232" s="355"/>
      <c r="G232" s="355"/>
      <c r="H232" s="355"/>
      <c r="I232" s="355"/>
      <c r="J232" s="355"/>
      <c r="K232" s="355"/>
      <c r="L232" s="355"/>
      <c r="M232" s="355"/>
      <c r="N232" s="355"/>
      <c r="O232" s="355"/>
      <c r="P232" s="355"/>
      <c r="Q232" s="355"/>
      <c r="R232" s="355"/>
      <c r="S232" s="355"/>
      <c r="T232" s="355"/>
      <c r="U232" s="355"/>
      <c r="V232" s="355"/>
      <c r="W232" s="355"/>
      <c r="X232" s="355"/>
      <c r="Y232" s="355"/>
    </row>
    <row r="233" customFormat="false" ht="13.5" hidden="false" customHeight="false" outlineLevel="0" collapsed="false">
      <c r="A233" s="357" t="s">
        <v>284</v>
      </c>
      <c r="B233" s="358" t="n">
        <f aca="false">ROW(A233)</f>
        <v>233</v>
      </c>
      <c r="C233" s="340" t="s">
        <v>212</v>
      </c>
      <c r="D233" s="341" t="n">
        <f aca="false">SUM(B236:Y236)</f>
        <v>115.63</v>
      </c>
      <c r="E233" s="340" t="s">
        <v>213</v>
      </c>
      <c r="F233" s="342" t="n">
        <f aca="false">D233/g/J233</f>
        <v>125.393107337281</v>
      </c>
      <c r="G233" s="340" t="s">
        <v>214</v>
      </c>
      <c r="H233" s="359" t="n">
        <v>0.2</v>
      </c>
      <c r="I233" s="340" t="s">
        <v>225</v>
      </c>
      <c r="J233" s="343" t="n">
        <f aca="false">H233-L233</f>
        <v>0.094</v>
      </c>
      <c r="K233" s="340" t="s">
        <v>226</v>
      </c>
      <c r="L233" s="359" t="n">
        <v>0.106</v>
      </c>
      <c r="M233" s="340" t="s">
        <v>217</v>
      </c>
      <c r="N233" s="360" t="n">
        <v>93</v>
      </c>
      <c r="O233" s="340" t="s">
        <v>218</v>
      </c>
      <c r="P233" s="360" t="n">
        <v>93</v>
      </c>
      <c r="Q233" s="340" t="s">
        <v>219</v>
      </c>
      <c r="R233" s="360" t="n">
        <v>187</v>
      </c>
      <c r="S233" s="340" t="s">
        <v>220</v>
      </c>
      <c r="T233" s="360" t="n">
        <v>29</v>
      </c>
      <c r="U233" s="340" t="s">
        <v>8</v>
      </c>
      <c r="V233" s="361" t="s">
        <v>256</v>
      </c>
      <c r="W233" s="346" t="s">
        <v>221</v>
      </c>
      <c r="X233" s="370" t="n">
        <v>0.96</v>
      </c>
      <c r="Y233" s="346" t="s">
        <v>222</v>
      </c>
      <c r="Z233" s="345" t="n">
        <v>14</v>
      </c>
    </row>
    <row r="234" customFormat="false" ht="12" hidden="false" customHeight="false" outlineLevel="0" collapsed="false">
      <c r="A234" s="338" t="s">
        <v>227</v>
      </c>
      <c r="B234" s="378" t="n">
        <v>0</v>
      </c>
      <c r="C234" s="373" t="n">
        <v>0.01</v>
      </c>
      <c r="D234" s="373" t="n">
        <v>0.02</v>
      </c>
      <c r="E234" s="373" t="n">
        <v>0.03</v>
      </c>
      <c r="F234" s="373" t="n">
        <v>0.04</v>
      </c>
      <c r="G234" s="373" t="n">
        <v>0.05</v>
      </c>
      <c r="H234" s="373" t="n">
        <v>0.1</v>
      </c>
      <c r="I234" s="373" t="n">
        <v>0.2</v>
      </c>
      <c r="J234" s="373" t="n">
        <v>0.3</v>
      </c>
      <c r="K234" s="373" t="n">
        <v>0.4</v>
      </c>
      <c r="L234" s="373" t="n">
        <v>0.6</v>
      </c>
      <c r="M234" s="373" t="n">
        <v>0.75</v>
      </c>
      <c r="N234" s="373" t="n">
        <v>0.81</v>
      </c>
      <c r="O234" s="373" t="n">
        <v>0.86</v>
      </c>
      <c r="P234" s="373" t="n">
        <v>0.9</v>
      </c>
      <c r="Q234" s="373" t="n">
        <v>0.95</v>
      </c>
      <c r="R234" s="373" t="n">
        <v>1</v>
      </c>
      <c r="S234" s="373" t="n">
        <f aca="false">R234</f>
        <v>1</v>
      </c>
      <c r="T234" s="373" t="n">
        <f aca="false">S234</f>
        <v>1</v>
      </c>
      <c r="U234" s="373" t="n">
        <f aca="false">T234</f>
        <v>1</v>
      </c>
      <c r="V234" s="373" t="n">
        <f aca="false">U234</f>
        <v>1</v>
      </c>
      <c r="W234" s="373" t="n">
        <f aca="false">V234</f>
        <v>1</v>
      </c>
      <c r="X234" s="373" t="n">
        <v>2</v>
      </c>
      <c r="Y234" s="374" t="n">
        <v>1000</v>
      </c>
    </row>
    <row r="235" customFormat="false" ht="12" hidden="false" customHeight="false" outlineLevel="0" collapsed="false">
      <c r="A235" s="364" t="s">
        <v>228</v>
      </c>
      <c r="B235" s="379" t="n">
        <v>0</v>
      </c>
      <c r="C235" s="375" t="n">
        <v>55</v>
      </c>
      <c r="D235" s="375" t="n">
        <v>168</v>
      </c>
      <c r="E235" s="375" t="n">
        <v>157</v>
      </c>
      <c r="F235" s="375" t="n">
        <v>148</v>
      </c>
      <c r="G235" s="375" t="n">
        <v>125</v>
      </c>
      <c r="H235" s="375" t="n">
        <v>135</v>
      </c>
      <c r="I235" s="375" t="n">
        <v>141</v>
      </c>
      <c r="J235" s="375" t="n">
        <v>142</v>
      </c>
      <c r="K235" s="375" t="n">
        <v>141</v>
      </c>
      <c r="L235" s="375" t="n">
        <v>133</v>
      </c>
      <c r="M235" s="375" t="n">
        <v>127</v>
      </c>
      <c r="N235" s="375" t="n">
        <v>128</v>
      </c>
      <c r="O235" s="375" t="n">
        <v>60</v>
      </c>
      <c r="P235" s="375" t="n">
        <v>15</v>
      </c>
      <c r="Q235" s="375" t="n">
        <v>0</v>
      </c>
      <c r="R235" s="375" t="n">
        <v>0</v>
      </c>
      <c r="S235" s="375" t="n">
        <f aca="false">R235</f>
        <v>0</v>
      </c>
      <c r="T235" s="375" t="n">
        <f aca="false">S235</f>
        <v>0</v>
      </c>
      <c r="U235" s="375" t="n">
        <f aca="false">T235</f>
        <v>0</v>
      </c>
      <c r="V235" s="375" t="n">
        <f aca="false">U235</f>
        <v>0</v>
      </c>
      <c r="W235" s="375" t="n">
        <f aca="false">V235</f>
        <v>0</v>
      </c>
      <c r="X235" s="375" t="n">
        <f aca="false">W235</f>
        <v>0</v>
      </c>
      <c r="Y235" s="376" t="n">
        <v>0</v>
      </c>
    </row>
    <row r="236" customFormat="false" ht="12.75" hidden="false" customHeight="false" outlineLevel="0" collapsed="false">
      <c r="A236" s="351" t="s">
        <v>229</v>
      </c>
      <c r="B236" s="368" t="n">
        <f aca="false">(C235+B235)*(C234-B234)/2</f>
        <v>0.275</v>
      </c>
      <c r="C236" s="369" t="n">
        <f aca="false">(D235+C235)*(D234-C234)/2</f>
        <v>1.115</v>
      </c>
      <c r="D236" s="369" t="n">
        <f aca="false">(E235+D235)*(E234-D234)/2</f>
        <v>1.625</v>
      </c>
      <c r="E236" s="369" t="n">
        <f aca="false">(F235+E235)*(F234-E234)/2</f>
        <v>1.525</v>
      </c>
      <c r="F236" s="369" t="n">
        <f aca="false">(G235+F235)*(G234-F234)/2</f>
        <v>1.365</v>
      </c>
      <c r="G236" s="369" t="n">
        <f aca="false">(H235+G235)*(H234-G234)/2</f>
        <v>6.5</v>
      </c>
      <c r="H236" s="369" t="n">
        <f aca="false">(I235+H235)*(I234-H234)/2</f>
        <v>13.8</v>
      </c>
      <c r="I236" s="369" t="n">
        <f aca="false">(J235+I235)*(J234-I234)/2</f>
        <v>14.15</v>
      </c>
      <c r="J236" s="369" t="n">
        <f aca="false">(K235+J235)*(K234-J234)/2</f>
        <v>14.15</v>
      </c>
      <c r="K236" s="369" t="n">
        <f aca="false">(L235+K235)*(L234-K234)/2</f>
        <v>27.4</v>
      </c>
      <c r="L236" s="369" t="n">
        <f aca="false">(M235+L235)*(M234-L234)/2</f>
        <v>19.5</v>
      </c>
      <c r="M236" s="369" t="n">
        <f aca="false">(N235+M235)*(N234-M234)/2</f>
        <v>7.65000000000001</v>
      </c>
      <c r="N236" s="369" t="n">
        <f aca="false">(O235+N235)*(O234-N234)/2</f>
        <v>4.69999999999999</v>
      </c>
      <c r="O236" s="369" t="n">
        <f aca="false">(P235+O235)*(P234-O234)/2</f>
        <v>1.5</v>
      </c>
      <c r="P236" s="369" t="n">
        <f aca="false">(Q235+P235)*(Q234-P234)/2</f>
        <v>0.375</v>
      </c>
      <c r="Q236" s="369" t="n">
        <f aca="false">(R235+Q235)*(R234-Q234)/2</f>
        <v>0</v>
      </c>
      <c r="R236" s="369" t="n">
        <f aca="false">(S235+R235)*(S234-R234)/2</f>
        <v>0</v>
      </c>
      <c r="S236" s="369" t="n">
        <f aca="false">(T235+S235)*(T234-S234)/2</f>
        <v>0</v>
      </c>
      <c r="T236" s="369" t="n">
        <f aca="false">(U235+T235)*(U234-T234)/2</f>
        <v>0</v>
      </c>
      <c r="U236" s="369" t="n">
        <f aca="false">(V235+U235)*(V234-U234)/2</f>
        <v>0</v>
      </c>
      <c r="V236" s="369" t="n">
        <f aca="false">(W235+V235)*(W234-V234)/2</f>
        <v>0</v>
      </c>
      <c r="W236" s="369" t="n">
        <f aca="false">(X235+W235)*(X234-W234)/2</f>
        <v>0</v>
      </c>
      <c r="X236" s="369" t="n">
        <f aca="false">(Y235+X235)*(Y234-X234)/2</f>
        <v>0</v>
      </c>
      <c r="Y236" s="354"/>
    </row>
    <row r="237" customFormat="false" ht="12.75" hidden="false" customHeight="false" outlineLevel="0" collapsed="false">
      <c r="B237" s="355"/>
      <c r="C237" s="355"/>
      <c r="D237" s="355"/>
      <c r="E237" s="355"/>
      <c r="F237" s="355"/>
      <c r="G237" s="355"/>
      <c r="H237" s="355"/>
      <c r="I237" s="355"/>
      <c r="J237" s="355"/>
      <c r="K237" s="355"/>
      <c r="L237" s="355"/>
      <c r="M237" s="355"/>
      <c r="N237" s="355"/>
      <c r="O237" s="355"/>
      <c r="P237" s="355"/>
      <c r="Q237" s="355"/>
      <c r="R237" s="355"/>
      <c r="S237" s="355"/>
      <c r="T237" s="355"/>
      <c r="U237" s="355"/>
      <c r="V237" s="355"/>
      <c r="W237" s="355"/>
      <c r="X237" s="355"/>
      <c r="Y237" s="355"/>
    </row>
    <row r="238" customFormat="false" ht="13.5" hidden="false" customHeight="false" outlineLevel="0" collapsed="false">
      <c r="A238" s="357" t="s">
        <v>285</v>
      </c>
      <c r="B238" s="358" t="n">
        <f aca="false">ROW(A238)</f>
        <v>238</v>
      </c>
      <c r="C238" s="340" t="s">
        <v>212</v>
      </c>
      <c r="D238" s="341" t="n">
        <f aca="false">SUM(B241:Y241)</f>
        <v>158.048151</v>
      </c>
      <c r="E238" s="340" t="s">
        <v>213</v>
      </c>
      <c r="F238" s="342" t="n">
        <v>198</v>
      </c>
      <c r="G238" s="340" t="s">
        <v>214</v>
      </c>
      <c r="H238" s="359" t="n">
        <v>0.1945</v>
      </c>
      <c r="I238" s="340" t="s">
        <v>225</v>
      </c>
      <c r="J238" s="343" t="n">
        <f aca="false">H238-L238</f>
        <v>0.0896</v>
      </c>
      <c r="K238" s="340" t="s">
        <v>226</v>
      </c>
      <c r="L238" s="359" t="n">
        <v>0.1049</v>
      </c>
      <c r="M238" s="340" t="s">
        <v>217</v>
      </c>
      <c r="N238" s="360" t="n">
        <v>93</v>
      </c>
      <c r="O238" s="340" t="s">
        <v>218</v>
      </c>
      <c r="P238" s="360" t="n">
        <v>93</v>
      </c>
      <c r="Q238" s="340" t="s">
        <v>219</v>
      </c>
      <c r="R238" s="360" t="n">
        <v>187</v>
      </c>
      <c r="S238" s="340" t="s">
        <v>220</v>
      </c>
      <c r="T238" s="360" t="n">
        <v>29</v>
      </c>
      <c r="U238" s="340" t="s">
        <v>8</v>
      </c>
      <c r="V238" s="361" t="s">
        <v>256</v>
      </c>
      <c r="W238" s="346" t="s">
        <v>221</v>
      </c>
      <c r="X238" s="370" t="n">
        <v>1.27</v>
      </c>
      <c r="Y238" s="346" t="s">
        <v>222</v>
      </c>
      <c r="Z238" s="345" t="n">
        <v>14</v>
      </c>
    </row>
    <row r="239" customFormat="false" ht="12" hidden="false" customHeight="false" outlineLevel="0" collapsed="false">
      <c r="A239" s="338" t="s">
        <v>227</v>
      </c>
      <c r="B239" s="371" t="n">
        <v>0</v>
      </c>
      <c r="C239" s="371" t="n">
        <v>0.004</v>
      </c>
      <c r="D239" s="371" t="n">
        <v>0.022</v>
      </c>
      <c r="E239" s="371" t="n">
        <v>0.039</v>
      </c>
      <c r="F239" s="371" t="n">
        <v>0.122</v>
      </c>
      <c r="G239" s="371" t="n">
        <v>0.236</v>
      </c>
      <c r="H239" s="371" t="n">
        <v>0.589</v>
      </c>
      <c r="I239" s="371" t="n">
        <v>0.801</v>
      </c>
      <c r="J239" s="371" t="n">
        <v>1.068</v>
      </c>
      <c r="K239" s="371" t="n">
        <v>1.118</v>
      </c>
      <c r="L239" s="371" t="n">
        <v>1.145</v>
      </c>
      <c r="M239" s="371" t="n">
        <v>1.174</v>
      </c>
      <c r="N239" s="371" t="n">
        <v>1.211</v>
      </c>
      <c r="O239" s="371" t="n">
        <v>1.247</v>
      </c>
      <c r="P239" s="371" t="n">
        <v>1.299</v>
      </c>
      <c r="Q239" s="373" t="n">
        <v>2</v>
      </c>
      <c r="R239" s="373" t="n">
        <v>2</v>
      </c>
      <c r="S239" s="373" t="n">
        <f aca="false">R239</f>
        <v>2</v>
      </c>
      <c r="T239" s="373" t="n">
        <f aca="false">S239</f>
        <v>2</v>
      </c>
      <c r="U239" s="373" t="n">
        <f aca="false">T239</f>
        <v>2</v>
      </c>
      <c r="V239" s="373" t="n">
        <f aca="false">U239</f>
        <v>2</v>
      </c>
      <c r="W239" s="373" t="n">
        <f aca="false">V239</f>
        <v>2</v>
      </c>
      <c r="X239" s="373" t="n">
        <f aca="false">W239</f>
        <v>2</v>
      </c>
      <c r="Y239" s="374" t="n">
        <v>1000</v>
      </c>
    </row>
    <row r="240" customFormat="false" ht="12" hidden="false" customHeight="false" outlineLevel="0" collapsed="false">
      <c r="A240" s="364" t="s">
        <v>228</v>
      </c>
      <c r="B240" s="371" t="n">
        <v>0</v>
      </c>
      <c r="C240" s="371" t="n">
        <v>15.683</v>
      </c>
      <c r="D240" s="371" t="n">
        <v>170.834</v>
      </c>
      <c r="E240" s="371" t="n">
        <v>116.877</v>
      </c>
      <c r="F240" s="371" t="n">
        <v>142.642</v>
      </c>
      <c r="G240" s="371" t="n">
        <v>149.737</v>
      </c>
      <c r="H240" s="371" t="n">
        <v>142.642</v>
      </c>
      <c r="I240" s="371" t="n">
        <v>131.253</v>
      </c>
      <c r="J240" s="371" t="n">
        <v>122.104</v>
      </c>
      <c r="K240" s="371" t="n">
        <v>107.915</v>
      </c>
      <c r="L240" s="371" t="n">
        <v>78.416</v>
      </c>
      <c r="M240" s="371" t="n">
        <v>43.129</v>
      </c>
      <c r="N240" s="371" t="n">
        <v>21.471</v>
      </c>
      <c r="O240" s="371" t="n">
        <v>8.775</v>
      </c>
      <c r="P240" s="371" t="n">
        <v>0</v>
      </c>
      <c r="Q240" s="375" t="n">
        <v>0</v>
      </c>
      <c r="R240" s="375" t="n">
        <v>0</v>
      </c>
      <c r="S240" s="375" t="n">
        <f aca="false">R240</f>
        <v>0</v>
      </c>
      <c r="T240" s="375" t="n">
        <f aca="false">S240</f>
        <v>0</v>
      </c>
      <c r="U240" s="375" t="n">
        <f aca="false">T240</f>
        <v>0</v>
      </c>
      <c r="V240" s="375" t="n">
        <f aca="false">U240</f>
        <v>0</v>
      </c>
      <c r="W240" s="375" t="n">
        <f aca="false">V240</f>
        <v>0</v>
      </c>
      <c r="X240" s="375" t="n">
        <f aca="false">W240</f>
        <v>0</v>
      </c>
      <c r="Y240" s="376" t="n">
        <v>0</v>
      </c>
    </row>
    <row r="241" customFormat="false" ht="12.75" hidden="false" customHeight="false" outlineLevel="0" collapsed="false">
      <c r="A241" s="351" t="s">
        <v>229</v>
      </c>
      <c r="B241" s="368" t="n">
        <f aca="false">(C240+B240)*(C239-B239)/2</f>
        <v>0.031366</v>
      </c>
      <c r="C241" s="369" t="n">
        <f aca="false">(D240+C240)*(D239-C239)/2</f>
        <v>1.678653</v>
      </c>
      <c r="D241" s="369" t="n">
        <f aca="false">(E240+D240)*(E239-D239)/2</f>
        <v>2.4455435</v>
      </c>
      <c r="E241" s="369" t="n">
        <f aca="false">(F240+E240)*(F239-E239)/2</f>
        <v>10.7700385</v>
      </c>
      <c r="F241" s="369" t="n">
        <f aca="false">(G240+F240)*(G239-F239)/2</f>
        <v>16.665603</v>
      </c>
      <c r="G241" s="369" t="n">
        <f aca="false">(H240+G240)*(H239-G239)/2</f>
        <v>51.6048935</v>
      </c>
      <c r="H241" s="369" t="n">
        <f aca="false">(I240+H240)*(I239-H239)/2</f>
        <v>29.03287</v>
      </c>
      <c r="I241" s="369" t="n">
        <f aca="false">(J240+I240)*(J239-I239)/2</f>
        <v>33.8231595</v>
      </c>
      <c r="J241" s="369" t="n">
        <f aca="false">(K240+J240)*(K239-J239)/2</f>
        <v>5.75047500000001</v>
      </c>
      <c r="K241" s="369" t="n">
        <f aca="false">(L240+K240)*(L239-K239)/2</f>
        <v>2.51546849999999</v>
      </c>
      <c r="L241" s="369" t="n">
        <f aca="false">(M240+L240)*(M239-L239)/2</f>
        <v>1.76240249999999</v>
      </c>
      <c r="M241" s="369" t="n">
        <f aca="false">(N240+M240)*(N239-M239)/2</f>
        <v>1.1951</v>
      </c>
      <c r="N241" s="369" t="n">
        <f aca="false">(O240+N240)*(O239-N239)/2</f>
        <v>0.544428000000001</v>
      </c>
      <c r="O241" s="369" t="n">
        <f aca="false">(P240+O240)*(P239-O239)/2</f>
        <v>0.228149999999999</v>
      </c>
      <c r="P241" s="369" t="n">
        <f aca="false">(Q240+P240)*(Q239-P239)/2</f>
        <v>0</v>
      </c>
      <c r="Q241" s="369" t="n">
        <f aca="false">(R240+Q240)*(R239-Q239)/2</f>
        <v>0</v>
      </c>
      <c r="R241" s="369" t="n">
        <f aca="false">(S240+R240)*(S239-R239)/2</f>
        <v>0</v>
      </c>
      <c r="S241" s="369" t="n">
        <f aca="false">(T240+S240)*(T239-S239)/2</f>
        <v>0</v>
      </c>
      <c r="T241" s="369" t="n">
        <f aca="false">(U240+T240)*(U239-T239)/2</f>
        <v>0</v>
      </c>
      <c r="U241" s="369" t="n">
        <f aca="false">(V240+U240)*(V239-U239)/2</f>
        <v>0</v>
      </c>
      <c r="V241" s="369" t="n">
        <f aca="false">(W240+V240)*(W239-V239)/2</f>
        <v>0</v>
      </c>
      <c r="W241" s="369" t="n">
        <f aca="false">(X240+W240)*(X239-W239)/2</f>
        <v>0</v>
      </c>
      <c r="X241" s="369" t="n">
        <f aca="false">(Y240+X240)*(Y239-X239)/2</f>
        <v>0</v>
      </c>
      <c r="Y241" s="354"/>
    </row>
    <row r="242" customFormat="false" ht="13.5" hidden="false" customHeight="false" outlineLevel="0" collapsed="false">
      <c r="A242" s="356" t="s">
        <v>286</v>
      </c>
      <c r="B242" s="355"/>
      <c r="C242" s="355"/>
      <c r="D242" s="355"/>
      <c r="E242" s="355"/>
      <c r="F242" s="355"/>
      <c r="G242" s="355"/>
      <c r="H242" s="355"/>
      <c r="I242" s="355"/>
      <c r="J242" s="355"/>
      <c r="K242" s="355"/>
      <c r="L242" s="355"/>
      <c r="M242" s="355"/>
      <c r="N242" s="355"/>
      <c r="O242" s="355"/>
      <c r="P242" s="355"/>
      <c r="Q242" s="355"/>
      <c r="R242" s="355"/>
      <c r="S242" s="355"/>
      <c r="T242" s="355"/>
      <c r="U242" s="355"/>
      <c r="V242" s="355"/>
      <c r="W242" s="355"/>
      <c r="X242" s="355"/>
      <c r="Y242" s="355"/>
    </row>
    <row r="243" customFormat="false" ht="13.5" hidden="false" customHeight="false" outlineLevel="0" collapsed="false">
      <c r="A243" s="357" t="s">
        <v>287</v>
      </c>
      <c r="B243" s="358" t="n">
        <f aca="false">ROW(A243)</f>
        <v>243</v>
      </c>
      <c r="C243" s="340" t="s">
        <v>212</v>
      </c>
      <c r="D243" s="341" t="n">
        <f aca="false">SUM(B246:Y246)</f>
        <v>136.75235</v>
      </c>
      <c r="E243" s="340" t="s">
        <v>213</v>
      </c>
      <c r="F243" s="342" t="n">
        <f aca="false">D243/g/J243</f>
        <v>152.350785136166</v>
      </c>
      <c r="G243" s="340" t="s">
        <v>214</v>
      </c>
      <c r="H243" s="359" t="n">
        <v>0.2125</v>
      </c>
      <c r="I243" s="340" t="s">
        <v>225</v>
      </c>
      <c r="J243" s="343" t="n">
        <f aca="false">H243-L243</f>
        <v>0.0915</v>
      </c>
      <c r="K243" s="340" t="s">
        <v>226</v>
      </c>
      <c r="L243" s="359" t="n">
        <v>0.121</v>
      </c>
      <c r="M243" s="340" t="s">
        <v>217</v>
      </c>
      <c r="N243" s="360" t="n">
        <v>63</v>
      </c>
      <c r="O243" s="340" t="s">
        <v>218</v>
      </c>
      <c r="P243" s="360" t="n">
        <v>114</v>
      </c>
      <c r="Q243" s="340" t="s">
        <v>219</v>
      </c>
      <c r="R243" s="360" t="n">
        <v>127</v>
      </c>
      <c r="S243" s="340" t="s">
        <v>220</v>
      </c>
      <c r="T243" s="360" t="n">
        <v>38</v>
      </c>
      <c r="U243" s="340" t="s">
        <v>8</v>
      </c>
      <c r="V243" s="361" t="s">
        <v>256</v>
      </c>
      <c r="W243" s="346" t="s">
        <v>221</v>
      </c>
      <c r="X243" s="370" t="n">
        <v>2.36</v>
      </c>
      <c r="Y243" s="346" t="s">
        <v>222</v>
      </c>
      <c r="Z243" s="345" t="n">
        <v>13</v>
      </c>
    </row>
    <row r="244" customFormat="false" ht="12" hidden="false" customHeight="false" outlineLevel="0" collapsed="false">
      <c r="A244" s="338" t="s">
        <v>227</v>
      </c>
      <c r="B244" s="378" t="n">
        <v>0</v>
      </c>
      <c r="C244" s="363" t="n">
        <v>0.029</v>
      </c>
      <c r="D244" s="363" t="n">
        <v>0.046</v>
      </c>
      <c r="E244" s="363" t="n">
        <v>0.058</v>
      </c>
      <c r="F244" s="363" t="n">
        <v>0.084</v>
      </c>
      <c r="G244" s="363" t="n">
        <v>0.171</v>
      </c>
      <c r="H244" s="363" t="n">
        <v>0.28</v>
      </c>
      <c r="I244" s="363" t="n">
        <v>0.455</v>
      </c>
      <c r="J244" s="363" t="n">
        <v>0.586</v>
      </c>
      <c r="K244" s="363" t="n">
        <v>0.741</v>
      </c>
      <c r="L244" s="363" t="n">
        <v>0.952</v>
      </c>
      <c r="M244" s="363" t="n">
        <v>1.217</v>
      </c>
      <c r="N244" s="363" t="n">
        <v>1.43</v>
      </c>
      <c r="O244" s="363" t="n">
        <v>1.626</v>
      </c>
      <c r="P244" s="363" t="n">
        <v>1.807</v>
      </c>
      <c r="Q244" s="363" t="n">
        <v>1.959</v>
      </c>
      <c r="R244" s="363" t="n">
        <v>2.104</v>
      </c>
      <c r="S244" s="363" t="n">
        <v>2.168</v>
      </c>
      <c r="T244" s="363" t="n">
        <v>2.21</v>
      </c>
      <c r="U244" s="363" t="n">
        <v>2.247</v>
      </c>
      <c r="V244" s="363" t="n">
        <v>2.329</v>
      </c>
      <c r="W244" s="373" t="n">
        <f aca="false">2.4</f>
        <v>2.4</v>
      </c>
      <c r="X244" s="373" t="n">
        <f aca="false">W244</f>
        <v>2.4</v>
      </c>
      <c r="Y244" s="374" t="n">
        <v>1000</v>
      </c>
    </row>
    <row r="245" customFormat="false" ht="12" hidden="false" customHeight="false" outlineLevel="0" collapsed="false">
      <c r="A245" s="364" t="s">
        <v>228</v>
      </c>
      <c r="B245" s="379" t="n">
        <v>0</v>
      </c>
      <c r="C245" s="366" t="n">
        <v>90.25</v>
      </c>
      <c r="D245" s="366" t="n">
        <v>69.17</v>
      </c>
      <c r="E245" s="366" t="n">
        <v>59.947</v>
      </c>
      <c r="F245" s="366" t="n">
        <v>47.167</v>
      </c>
      <c r="G245" s="366" t="n">
        <v>57.971</v>
      </c>
      <c r="H245" s="366" t="n">
        <v>59.552</v>
      </c>
      <c r="I245" s="366" t="n">
        <v>61.265</v>
      </c>
      <c r="J245" s="366" t="n">
        <v>61.66</v>
      </c>
      <c r="K245" s="366" t="n">
        <v>62.319</v>
      </c>
      <c r="L245" s="366" t="n">
        <v>63.768</v>
      </c>
      <c r="M245" s="366" t="n">
        <v>64.69</v>
      </c>
      <c r="N245" s="366" t="n">
        <v>63.768</v>
      </c>
      <c r="O245" s="366" t="n">
        <v>61.265</v>
      </c>
      <c r="P245" s="366" t="n">
        <v>58.103</v>
      </c>
      <c r="Q245" s="366" t="n">
        <v>53.887</v>
      </c>
      <c r="R245" s="366" t="n">
        <v>48.353</v>
      </c>
      <c r="S245" s="366" t="n">
        <v>47.563</v>
      </c>
      <c r="T245" s="366" t="n">
        <v>44.005</v>
      </c>
      <c r="U245" s="366" t="n">
        <v>37.286</v>
      </c>
      <c r="V245" s="366" t="n">
        <v>22.266</v>
      </c>
      <c r="W245" s="375" t="n">
        <v>0</v>
      </c>
      <c r="X245" s="375" t="n">
        <f aca="false">W245</f>
        <v>0</v>
      </c>
      <c r="Y245" s="376" t="n">
        <v>0</v>
      </c>
    </row>
    <row r="246" customFormat="false" ht="12.75" hidden="false" customHeight="false" outlineLevel="0" collapsed="false">
      <c r="A246" s="351" t="s">
        <v>229</v>
      </c>
      <c r="B246" s="368" t="n">
        <f aca="false">(C245+B245)*(C244-B244)/2</f>
        <v>1.308625</v>
      </c>
      <c r="C246" s="369" t="n">
        <f aca="false">(D245+C245)*(D244-C244)/2</f>
        <v>1.35507</v>
      </c>
      <c r="D246" s="369" t="n">
        <f aca="false">(E245+D245)*(E244-D244)/2</f>
        <v>0.774702</v>
      </c>
      <c r="E246" s="369" t="n">
        <f aca="false">(F245+E245)*(F244-E244)/2</f>
        <v>1.392482</v>
      </c>
      <c r="F246" s="369" t="n">
        <f aca="false">(G245+F245)*(G244-F244)/2</f>
        <v>4.573503</v>
      </c>
      <c r="G246" s="369" t="n">
        <f aca="false">(H245+G245)*(H244-G244)/2</f>
        <v>6.4050035</v>
      </c>
      <c r="H246" s="369" t="n">
        <f aca="false">(I245+H245)*(I244-H244)/2</f>
        <v>10.5714875</v>
      </c>
      <c r="I246" s="369" t="n">
        <f aca="false">(J245+I245)*(J244-I244)/2</f>
        <v>8.0515875</v>
      </c>
      <c r="J246" s="369" t="n">
        <f aca="false">(K245+J245)*(K244-J244)/2</f>
        <v>9.6083725</v>
      </c>
      <c r="K246" s="369" t="n">
        <f aca="false">(L245+K245)*(L244-K244)/2</f>
        <v>13.3021785</v>
      </c>
      <c r="L246" s="369" t="n">
        <f aca="false">(M245+L245)*(M244-L244)/2</f>
        <v>17.020685</v>
      </c>
      <c r="M246" s="369" t="n">
        <f aca="false">(N245+M245)*(N244-M244)/2</f>
        <v>13.680777</v>
      </c>
      <c r="N246" s="369" t="n">
        <f aca="false">(O245+N245)*(O244-N244)/2</f>
        <v>12.253234</v>
      </c>
      <c r="O246" s="369" t="n">
        <f aca="false">(P245+O245)*(P244-O244)/2</f>
        <v>10.802804</v>
      </c>
      <c r="P246" s="369" t="n">
        <f aca="false">(Q245+P245)*(Q244-P244)/2</f>
        <v>8.51124000000001</v>
      </c>
      <c r="Q246" s="369" t="n">
        <f aca="false">(R245+Q245)*(R244-Q244)/2</f>
        <v>7.4124</v>
      </c>
      <c r="R246" s="369" t="n">
        <f aca="false">(S245+R245)*(S244-R244)/2</f>
        <v>3.069312</v>
      </c>
      <c r="S246" s="369" t="n">
        <f aca="false">(T245+S245)*(T244-S244)/2</f>
        <v>1.92292799999999</v>
      </c>
      <c r="T246" s="369" t="n">
        <f aca="false">(U245+T245)*(U244-T244)/2</f>
        <v>1.5038835</v>
      </c>
      <c r="U246" s="369" t="n">
        <f aca="false">(V245+U245)*(V244-U244)/2</f>
        <v>2.44163200000001</v>
      </c>
      <c r="V246" s="369" t="n">
        <f aca="false">(W245+V245)*(W244-V244)/2</f>
        <v>0.790442999999997</v>
      </c>
      <c r="W246" s="369" t="n">
        <f aca="false">(X245+W245)*(X244-W244)/2</f>
        <v>0</v>
      </c>
      <c r="X246" s="369" t="n">
        <f aca="false">(Y245+X245)*(Y244-X244)/2</f>
        <v>0</v>
      </c>
      <c r="Y246" s="354"/>
    </row>
    <row r="247" customFormat="false" ht="12.75" hidden="false" customHeight="false" outlineLevel="0" collapsed="false">
      <c r="B247" s="355"/>
      <c r="C247" s="355"/>
      <c r="D247" s="355"/>
      <c r="E247" s="355"/>
      <c r="F247" s="355"/>
      <c r="G247" s="355"/>
      <c r="H247" s="355"/>
      <c r="I247" s="355"/>
      <c r="J247" s="355"/>
      <c r="K247" s="355"/>
      <c r="L247" s="355"/>
      <c r="M247" s="355"/>
      <c r="N247" s="355"/>
      <c r="O247" s="355"/>
      <c r="P247" s="355"/>
      <c r="Q247" s="355"/>
      <c r="R247" s="355"/>
      <c r="S247" s="355"/>
      <c r="T247" s="355"/>
      <c r="U247" s="355"/>
      <c r="V247" s="355"/>
      <c r="W247" s="355"/>
      <c r="X247" s="355"/>
      <c r="Y247" s="355"/>
    </row>
    <row r="248" customFormat="false" ht="13.5" hidden="false" customHeight="false" outlineLevel="0" collapsed="false">
      <c r="A248" s="357" t="s">
        <v>288</v>
      </c>
      <c r="B248" s="358" t="n">
        <f aca="false">ROW(A248)</f>
        <v>248</v>
      </c>
      <c r="C248" s="340" t="s">
        <v>212</v>
      </c>
      <c r="D248" s="341" t="n">
        <f aca="false">SUM(B251:Y251)</f>
        <v>127.06945</v>
      </c>
      <c r="E248" s="340" t="s">
        <v>213</v>
      </c>
      <c r="F248" s="342" t="n">
        <f aca="false">D248/g/J248</f>
        <v>180.656248356145</v>
      </c>
      <c r="G248" s="340" t="s">
        <v>214</v>
      </c>
      <c r="H248" s="359" t="n">
        <v>0.1884</v>
      </c>
      <c r="I248" s="340" t="s">
        <v>225</v>
      </c>
      <c r="J248" s="343" t="n">
        <f aca="false">H248-L248</f>
        <v>0.0717</v>
      </c>
      <c r="K248" s="340" t="s">
        <v>226</v>
      </c>
      <c r="L248" s="359" t="n">
        <v>0.1167</v>
      </c>
      <c r="M248" s="340" t="s">
        <v>217</v>
      </c>
      <c r="N248" s="360" t="n">
        <v>63</v>
      </c>
      <c r="O248" s="340" t="s">
        <v>218</v>
      </c>
      <c r="P248" s="360" t="n">
        <v>114</v>
      </c>
      <c r="Q248" s="340" t="s">
        <v>219</v>
      </c>
      <c r="R248" s="360" t="n">
        <v>127</v>
      </c>
      <c r="S248" s="340" t="s">
        <v>220</v>
      </c>
      <c r="T248" s="360" t="n">
        <v>38</v>
      </c>
      <c r="U248" s="340" t="s">
        <v>8</v>
      </c>
      <c r="V248" s="361" t="s">
        <v>256</v>
      </c>
      <c r="W248" s="346" t="s">
        <v>221</v>
      </c>
      <c r="X248" s="370" t="n">
        <v>0.69</v>
      </c>
      <c r="Y248" s="346" t="s">
        <v>222</v>
      </c>
      <c r="Z248" s="345" t="n">
        <v>12</v>
      </c>
    </row>
    <row r="249" customFormat="false" ht="12" hidden="false" customHeight="false" outlineLevel="0" collapsed="false">
      <c r="A249" s="338" t="s">
        <v>227</v>
      </c>
      <c r="B249" s="378" t="n">
        <v>0</v>
      </c>
      <c r="C249" s="373" t="n">
        <v>0.01</v>
      </c>
      <c r="D249" s="373" t="n">
        <v>0.02</v>
      </c>
      <c r="E249" s="373" t="n">
        <v>0.05</v>
      </c>
      <c r="F249" s="373" t="n">
        <v>0.1</v>
      </c>
      <c r="G249" s="373" t="n">
        <v>0.2</v>
      </c>
      <c r="H249" s="373" t="n">
        <v>0.3</v>
      </c>
      <c r="I249" s="373" t="n">
        <v>0.35</v>
      </c>
      <c r="J249" s="373" t="n">
        <v>0.4</v>
      </c>
      <c r="K249" s="373" t="n">
        <v>0.45</v>
      </c>
      <c r="L249" s="373" t="n">
        <v>0.5</v>
      </c>
      <c r="M249" s="373" t="n">
        <v>0.55</v>
      </c>
      <c r="N249" s="373" t="n">
        <v>0.6</v>
      </c>
      <c r="O249" s="373" t="n">
        <v>0.61</v>
      </c>
      <c r="P249" s="373" t="n">
        <v>0.63</v>
      </c>
      <c r="Q249" s="373" t="n">
        <v>0.64</v>
      </c>
      <c r="R249" s="373" t="n">
        <v>0.65</v>
      </c>
      <c r="S249" s="373" t="n">
        <v>0.67</v>
      </c>
      <c r="T249" s="373" t="n">
        <v>0.68</v>
      </c>
      <c r="U249" s="373" t="n">
        <v>0.69</v>
      </c>
      <c r="V249" s="373" t="n">
        <f aca="false">U249</f>
        <v>0.69</v>
      </c>
      <c r="W249" s="373" t="n">
        <f aca="false">V249</f>
        <v>0.69</v>
      </c>
      <c r="X249" s="373" t="n">
        <v>2</v>
      </c>
      <c r="Y249" s="374" t="n">
        <v>1000</v>
      </c>
    </row>
    <row r="250" customFormat="false" ht="12" hidden="false" customHeight="false" outlineLevel="0" collapsed="false">
      <c r="A250" s="364" t="s">
        <v>228</v>
      </c>
      <c r="B250" s="379" t="n">
        <v>0</v>
      </c>
      <c r="C250" s="375" t="n">
        <v>108.72</v>
      </c>
      <c r="D250" s="375" t="n">
        <v>131.19</v>
      </c>
      <c r="E250" s="375" t="n">
        <v>153.14</v>
      </c>
      <c r="F250" s="375" t="n">
        <v>168.97</v>
      </c>
      <c r="G250" s="375" t="n">
        <v>189.92</v>
      </c>
      <c r="H250" s="375" t="n">
        <v>199.95</v>
      </c>
      <c r="I250" s="375" t="n">
        <v>203.59</v>
      </c>
      <c r="J250" s="375" t="n">
        <v>205.03</v>
      </c>
      <c r="K250" s="375" t="n">
        <v>202.6</v>
      </c>
      <c r="L250" s="375" t="n">
        <v>203.06</v>
      </c>
      <c r="M250" s="375" t="n">
        <v>199.34</v>
      </c>
      <c r="N250" s="375" t="n">
        <v>194.71</v>
      </c>
      <c r="O250" s="375" t="n">
        <v>194.1</v>
      </c>
      <c r="P250" s="375" t="n">
        <v>193.49</v>
      </c>
      <c r="Q250" s="375" t="n">
        <v>193.68</v>
      </c>
      <c r="R250" s="375" t="n">
        <v>202.91</v>
      </c>
      <c r="S250" s="375" t="n">
        <v>163.39</v>
      </c>
      <c r="T250" s="375" t="n">
        <v>80.44</v>
      </c>
      <c r="U250" s="375" t="n">
        <v>0</v>
      </c>
      <c r="V250" s="375" t="n">
        <f aca="false">U250</f>
        <v>0</v>
      </c>
      <c r="W250" s="375" t="n">
        <f aca="false">V250</f>
        <v>0</v>
      </c>
      <c r="X250" s="375" t="n">
        <f aca="false">W250</f>
        <v>0</v>
      </c>
      <c r="Y250" s="376" t="n">
        <v>0</v>
      </c>
    </row>
    <row r="251" customFormat="false" ht="12.75" hidden="false" customHeight="false" outlineLevel="0" collapsed="false">
      <c r="A251" s="351" t="s">
        <v>229</v>
      </c>
      <c r="B251" s="368" t="n">
        <f aca="false">(C250+B250)*(C249-B249)/2</f>
        <v>0.5436</v>
      </c>
      <c r="C251" s="369" t="n">
        <f aca="false">(D250+C250)*(D249-C249)/2</f>
        <v>1.19955</v>
      </c>
      <c r="D251" s="369" t="n">
        <f aca="false">(E250+D250)*(E249-D249)/2</f>
        <v>4.26495</v>
      </c>
      <c r="E251" s="369" t="n">
        <f aca="false">(F250+E250)*(F249-E249)/2</f>
        <v>8.05275</v>
      </c>
      <c r="F251" s="369" t="n">
        <f aca="false">(G250+F250)*(G249-F249)/2</f>
        <v>17.9445</v>
      </c>
      <c r="G251" s="369" t="n">
        <f aca="false">(H250+G250)*(H249-G249)/2</f>
        <v>19.4935</v>
      </c>
      <c r="H251" s="369" t="n">
        <f aca="false">(I250+H250)*(I249-H249)/2</f>
        <v>10.0885</v>
      </c>
      <c r="I251" s="369" t="n">
        <f aca="false">(J250+I250)*(J249-I249)/2</f>
        <v>10.2155</v>
      </c>
      <c r="J251" s="369" t="n">
        <f aca="false">(K250+J250)*(K249-J249)/2</f>
        <v>10.19075</v>
      </c>
      <c r="K251" s="369" t="n">
        <f aca="false">(L250+K250)*(L249-K249)/2</f>
        <v>10.1415</v>
      </c>
      <c r="L251" s="369" t="n">
        <f aca="false">(M250+L250)*(M249-L249)/2</f>
        <v>10.06</v>
      </c>
      <c r="M251" s="369" t="n">
        <f aca="false">(N250+M250)*(N249-M249)/2</f>
        <v>9.85124999999999</v>
      </c>
      <c r="N251" s="369" t="n">
        <f aca="false">(O250+N250)*(O249-N249)/2</f>
        <v>1.94405</v>
      </c>
      <c r="O251" s="369" t="n">
        <f aca="false">(P250+O250)*(P249-O249)/2</f>
        <v>3.8759</v>
      </c>
      <c r="P251" s="369" t="n">
        <f aca="false">(Q250+P250)*(Q249-P249)/2</f>
        <v>1.93585</v>
      </c>
      <c r="Q251" s="369" t="n">
        <f aca="false">(R250+Q250)*(R249-Q249)/2</f>
        <v>1.98295</v>
      </c>
      <c r="R251" s="369" t="n">
        <f aca="false">(S250+R250)*(S249-R249)/2</f>
        <v>3.663</v>
      </c>
      <c r="S251" s="369" t="n">
        <f aca="false">(T250+S250)*(T249-S249)/2</f>
        <v>1.21915</v>
      </c>
      <c r="T251" s="369" t="n">
        <f aca="false">(U250+T250)*(U249-T249)/2</f>
        <v>0.402199999999996</v>
      </c>
      <c r="U251" s="369" t="n">
        <f aca="false">(V250+U250)*(V249-U249)/2</f>
        <v>0</v>
      </c>
      <c r="V251" s="369" t="n">
        <f aca="false">(W250+V250)*(W249-V249)/2</f>
        <v>0</v>
      </c>
      <c r="W251" s="369" t="n">
        <f aca="false">(X250+W250)*(X249-W249)/2</f>
        <v>0</v>
      </c>
      <c r="X251" s="369" t="n">
        <f aca="false">(Y250+X250)*(Y249-X249)/2</f>
        <v>0</v>
      </c>
      <c r="Y251" s="354"/>
    </row>
    <row r="252" customFormat="false" ht="12.75" hidden="false" customHeight="false" outlineLevel="0" collapsed="false">
      <c r="B252" s="355"/>
      <c r="C252" s="355"/>
      <c r="D252" s="355"/>
      <c r="E252" s="355"/>
      <c r="F252" s="355"/>
      <c r="G252" s="355"/>
      <c r="H252" s="355"/>
      <c r="I252" s="355"/>
      <c r="J252" s="355"/>
      <c r="K252" s="355"/>
      <c r="L252" s="355"/>
      <c r="M252" s="355"/>
      <c r="N252" s="355"/>
      <c r="O252" s="355"/>
      <c r="P252" s="355"/>
      <c r="Q252" s="355"/>
      <c r="R252" s="355"/>
      <c r="S252" s="355"/>
      <c r="T252" s="355"/>
      <c r="U252" s="355"/>
      <c r="V252" s="355"/>
      <c r="W252" s="355"/>
      <c r="X252" s="355"/>
      <c r="Y252" s="355"/>
    </row>
    <row r="253" customFormat="false" ht="13.5" hidden="false" customHeight="false" outlineLevel="0" collapsed="false">
      <c r="A253" s="357" t="s">
        <v>289</v>
      </c>
      <c r="B253" s="358" t="n">
        <f aca="false">ROW(A253)</f>
        <v>253</v>
      </c>
      <c r="C253" s="340" t="s">
        <v>212</v>
      </c>
      <c r="D253" s="341" t="n">
        <f aca="false">SUM(B256:Y256)</f>
        <v>142.7236025</v>
      </c>
      <c r="E253" s="340" t="s">
        <v>213</v>
      </c>
      <c r="F253" s="342" t="n">
        <v>208</v>
      </c>
      <c r="G253" s="340" t="s">
        <v>214</v>
      </c>
      <c r="H253" s="359" t="n">
        <v>0.197</v>
      </c>
      <c r="I253" s="340" t="s">
        <v>225</v>
      </c>
      <c r="J253" s="343" t="n">
        <f aca="false">H253-L253</f>
        <v>0.07</v>
      </c>
      <c r="K253" s="340" t="s">
        <v>226</v>
      </c>
      <c r="L253" s="359" t="n">
        <v>0.127</v>
      </c>
      <c r="M253" s="340" t="s">
        <v>217</v>
      </c>
      <c r="N253" s="360" t="n">
        <v>63</v>
      </c>
      <c r="O253" s="340" t="s">
        <v>218</v>
      </c>
      <c r="P253" s="360" t="n">
        <v>114</v>
      </c>
      <c r="Q253" s="340" t="s">
        <v>219</v>
      </c>
      <c r="R253" s="360" t="n">
        <v>127</v>
      </c>
      <c r="S253" s="340" t="s">
        <v>220</v>
      </c>
      <c r="T253" s="360" t="n">
        <v>38</v>
      </c>
      <c r="U253" s="340" t="s">
        <v>8</v>
      </c>
      <c r="V253" s="361" t="s">
        <v>256</v>
      </c>
      <c r="W253" s="346" t="s">
        <v>221</v>
      </c>
      <c r="X253" s="370" t="n">
        <v>1.8</v>
      </c>
      <c r="Y253" s="346" t="s">
        <v>222</v>
      </c>
      <c r="Z253" s="345" t="n">
        <v>15</v>
      </c>
    </row>
    <row r="254" customFormat="false" ht="12" hidden="false" customHeight="false" outlineLevel="0" collapsed="false">
      <c r="A254" s="338" t="s">
        <v>227</v>
      </c>
      <c r="B254" s="378" t="n">
        <v>0</v>
      </c>
      <c r="C254" s="378" t="n">
        <v>0.006</v>
      </c>
      <c r="D254" s="373" t="n">
        <v>0.018</v>
      </c>
      <c r="E254" s="373" t="n">
        <v>0.036</v>
      </c>
      <c r="F254" s="373" t="n">
        <v>0.047</v>
      </c>
      <c r="G254" s="373" t="n">
        <v>0.084</v>
      </c>
      <c r="H254" s="373" t="n">
        <v>0.135</v>
      </c>
      <c r="I254" s="373" t="n">
        <v>0.238</v>
      </c>
      <c r="J254" s="373" t="n">
        <v>0.438</v>
      </c>
      <c r="K254" s="373" t="n">
        <v>0.63</v>
      </c>
      <c r="L254" s="373" t="n">
        <v>0.859</v>
      </c>
      <c r="M254" s="373" t="n">
        <v>1.283</v>
      </c>
      <c r="N254" s="373" t="n">
        <v>1.447</v>
      </c>
      <c r="O254" s="373" t="n">
        <v>1.643</v>
      </c>
      <c r="P254" s="373" t="n">
        <v>1.713</v>
      </c>
      <c r="Q254" s="373" t="n">
        <v>1.743</v>
      </c>
      <c r="R254" s="373" t="n">
        <v>1.79</v>
      </c>
      <c r="S254" s="373" t="n">
        <v>1.818</v>
      </c>
      <c r="T254" s="373" t="n">
        <v>1.852</v>
      </c>
      <c r="U254" s="373" t="n">
        <v>2</v>
      </c>
      <c r="V254" s="373" t="n">
        <f aca="false">U254</f>
        <v>2</v>
      </c>
      <c r="W254" s="373" t="n">
        <f aca="false">V254</f>
        <v>2</v>
      </c>
      <c r="X254" s="373" t="n">
        <f aca="false">W254</f>
        <v>2</v>
      </c>
      <c r="Y254" s="374" t="n">
        <v>1000</v>
      </c>
    </row>
    <row r="255" customFormat="false" ht="12" hidden="false" customHeight="false" outlineLevel="0" collapsed="false">
      <c r="A255" s="364" t="s">
        <v>228</v>
      </c>
      <c r="B255" s="379" t="n">
        <v>0</v>
      </c>
      <c r="C255" s="379" t="n">
        <v>104.068</v>
      </c>
      <c r="D255" s="375" t="n">
        <v>137.928</v>
      </c>
      <c r="E255" s="375" t="n">
        <v>70.707</v>
      </c>
      <c r="F255" s="375" t="n">
        <v>62.242</v>
      </c>
      <c r="G255" s="375" t="n">
        <v>73.694</v>
      </c>
      <c r="H255" s="375" t="n">
        <v>78.176</v>
      </c>
      <c r="I255" s="375" t="n">
        <v>84.151</v>
      </c>
      <c r="J255" s="375" t="n">
        <v>89.628</v>
      </c>
      <c r="K255" s="375" t="n">
        <v>88.135</v>
      </c>
      <c r="L255" s="375" t="n">
        <v>87.139</v>
      </c>
      <c r="M255" s="375" t="n">
        <v>77.18</v>
      </c>
      <c r="N255" s="375" t="n">
        <v>70.707</v>
      </c>
      <c r="O255" s="375" t="n">
        <v>67.719</v>
      </c>
      <c r="P255" s="375" t="n">
        <v>64.234</v>
      </c>
      <c r="Q255" s="375" t="n">
        <v>54.275</v>
      </c>
      <c r="R255" s="375" t="n">
        <v>18.424</v>
      </c>
      <c r="S255" s="375" t="n">
        <v>6.473</v>
      </c>
      <c r="T255" s="375" t="n">
        <v>0</v>
      </c>
      <c r="U255" s="375" t="n">
        <v>0</v>
      </c>
      <c r="V255" s="375" t="n">
        <f aca="false">U255</f>
        <v>0</v>
      </c>
      <c r="W255" s="375" t="n">
        <f aca="false">V255</f>
        <v>0</v>
      </c>
      <c r="X255" s="375" t="n">
        <f aca="false">W255</f>
        <v>0</v>
      </c>
      <c r="Y255" s="376" t="n">
        <v>0</v>
      </c>
    </row>
    <row r="256" customFormat="false" ht="12.75" hidden="false" customHeight="false" outlineLevel="0" collapsed="false">
      <c r="A256" s="351" t="s">
        <v>229</v>
      </c>
      <c r="B256" s="368" t="n">
        <f aca="false">(C255+B255)*(C254-B254)/2</f>
        <v>0.312204</v>
      </c>
      <c r="C256" s="369" t="n">
        <f aca="false">(D255+C255)*(D254-C254)/2</f>
        <v>1.451976</v>
      </c>
      <c r="D256" s="369" t="n">
        <f aca="false">(E255+D255)*(E254-D254)/2</f>
        <v>1.877715</v>
      </c>
      <c r="E256" s="369" t="n">
        <f aca="false">(F255+E255)*(F254-E254)/2</f>
        <v>0.7312195</v>
      </c>
      <c r="F256" s="369" t="n">
        <f aca="false">(G255+F255)*(G254-F254)/2</f>
        <v>2.514816</v>
      </c>
      <c r="G256" s="369" t="n">
        <f aca="false">(H255+G255)*(H254-G254)/2</f>
        <v>3.872685</v>
      </c>
      <c r="H256" s="369" t="n">
        <f aca="false">(I255+H255)*(I254-H254)/2</f>
        <v>8.3598405</v>
      </c>
      <c r="I256" s="369" t="n">
        <f aca="false">(J255+I255)*(J254-I254)/2</f>
        <v>17.3779</v>
      </c>
      <c r="J256" s="369" t="n">
        <f aca="false">(K255+J255)*(K254-J254)/2</f>
        <v>17.065248</v>
      </c>
      <c r="K256" s="369" t="n">
        <f aca="false">(L255+K255)*(L254-K254)/2</f>
        <v>20.068873</v>
      </c>
      <c r="L256" s="369" t="n">
        <f aca="false">(M255+L255)*(M254-L254)/2</f>
        <v>34.835628</v>
      </c>
      <c r="M256" s="369" t="n">
        <f aca="false">(N255+M255)*(N254-M254)/2</f>
        <v>12.126734</v>
      </c>
      <c r="N256" s="369" t="n">
        <f aca="false">(O255+N255)*(O254-N254)/2</f>
        <v>13.565748</v>
      </c>
      <c r="O256" s="369" t="n">
        <f aca="false">(P255+O255)*(P254-O254)/2</f>
        <v>4.618355</v>
      </c>
      <c r="P256" s="369" t="n">
        <f aca="false">(Q255+P255)*(Q254-P254)/2</f>
        <v>1.777635</v>
      </c>
      <c r="Q256" s="369" t="n">
        <f aca="false">(R255+Q255)*(R254-Q254)/2</f>
        <v>1.7084265</v>
      </c>
      <c r="R256" s="369" t="n">
        <f aca="false">(S255+R255)*(S254-R254)/2</f>
        <v>0.348558</v>
      </c>
      <c r="S256" s="369" t="n">
        <f aca="false">(T255+S255)*(T254-S254)/2</f>
        <v>0.110041</v>
      </c>
      <c r="T256" s="369" t="n">
        <f aca="false">(U255+T255)*(U254-T254)/2</f>
        <v>0</v>
      </c>
      <c r="U256" s="369" t="n">
        <f aca="false">(V255+U255)*(V254-U254)/2</f>
        <v>0</v>
      </c>
      <c r="V256" s="369" t="n">
        <f aca="false">(W255+V255)*(W254-V254)/2</f>
        <v>0</v>
      </c>
      <c r="W256" s="369" t="n">
        <f aca="false">(X255+W255)*(X254-W254)/2</f>
        <v>0</v>
      </c>
      <c r="X256" s="369" t="n">
        <f aca="false">(Y255+X255)*(Y254-X254)/2</f>
        <v>0</v>
      </c>
      <c r="Y256" s="354"/>
    </row>
    <row r="257" customFormat="false" ht="12.75" hidden="false" customHeight="false" outlineLevel="0" collapsed="false">
      <c r="B257" s="355"/>
      <c r="C257" s="355"/>
      <c r="D257" s="355"/>
      <c r="E257" s="355"/>
      <c r="F257" s="355"/>
      <c r="G257" s="355"/>
      <c r="H257" s="355"/>
      <c r="I257" s="355"/>
      <c r="J257" s="355"/>
      <c r="K257" s="355"/>
      <c r="L257" s="355"/>
      <c r="M257" s="355"/>
      <c r="N257" s="355"/>
      <c r="O257" s="355"/>
      <c r="P257" s="355"/>
      <c r="Q257" s="355"/>
      <c r="R257" s="355"/>
      <c r="S257" s="355"/>
      <c r="T257" s="355"/>
      <c r="U257" s="355"/>
      <c r="V257" s="355"/>
      <c r="W257" s="355"/>
      <c r="X257" s="355"/>
      <c r="Y257" s="355"/>
    </row>
    <row r="258" customFormat="false" ht="13.5" hidden="false" customHeight="false" outlineLevel="0" collapsed="false">
      <c r="A258" s="357" t="s">
        <v>290</v>
      </c>
      <c r="B258" s="381" t="n">
        <f aca="false">ROW(A258)</f>
        <v>258</v>
      </c>
      <c r="C258" s="340" t="s">
        <v>212</v>
      </c>
      <c r="D258" s="341" t="n">
        <f aca="false">SUM(B261:Y261)</f>
        <v>33.5</v>
      </c>
      <c r="E258" s="340" t="s">
        <v>213</v>
      </c>
      <c r="F258" s="342" t="n">
        <f aca="false">D258/g/J258</f>
        <v>68.2976554536188</v>
      </c>
      <c r="G258" s="340" t="s">
        <v>214</v>
      </c>
      <c r="H258" s="359" t="n">
        <v>0.085</v>
      </c>
      <c r="I258" s="340" t="s">
        <v>225</v>
      </c>
      <c r="J258" s="343" t="n">
        <f aca="false">H258-L258</f>
        <v>0.05</v>
      </c>
      <c r="K258" s="340" t="s">
        <v>226</v>
      </c>
      <c r="L258" s="359" t="n">
        <v>0.035</v>
      </c>
      <c r="M258" s="340" t="s">
        <v>217</v>
      </c>
      <c r="N258" s="360" t="n">
        <v>20</v>
      </c>
      <c r="O258" s="340" t="s">
        <v>218</v>
      </c>
      <c r="P258" s="360" t="n">
        <v>20</v>
      </c>
      <c r="Q258" s="340" t="s">
        <v>219</v>
      </c>
      <c r="R258" s="360" t="n">
        <v>39</v>
      </c>
      <c r="S258" s="340" t="s">
        <v>220</v>
      </c>
      <c r="T258" s="360" t="n">
        <v>39</v>
      </c>
      <c r="U258" s="340" t="s">
        <v>8</v>
      </c>
      <c r="V258" s="361" t="s">
        <v>245</v>
      </c>
      <c r="W258" s="355"/>
      <c r="X258" s="355"/>
      <c r="Y258" s="355"/>
    </row>
    <row r="259" customFormat="false" ht="12" hidden="false" customHeight="false" outlineLevel="0" collapsed="false">
      <c r="A259" s="338" t="s">
        <v>227</v>
      </c>
      <c r="B259" s="362" t="n">
        <v>0</v>
      </c>
      <c r="C259" s="363" t="n">
        <v>0.05</v>
      </c>
      <c r="D259" s="363" t="n">
        <v>0.1</v>
      </c>
      <c r="E259" s="363" t="n">
        <v>0.25</v>
      </c>
      <c r="F259" s="363" t="n">
        <v>0.3</v>
      </c>
      <c r="G259" s="363" t="n">
        <v>0.35</v>
      </c>
      <c r="H259" s="363" t="n">
        <v>0.45</v>
      </c>
      <c r="I259" s="363" t="n">
        <v>0.55</v>
      </c>
      <c r="J259" s="363" t="n">
        <v>3.5</v>
      </c>
      <c r="K259" s="363" t="n">
        <v>3.6</v>
      </c>
      <c r="L259" s="363" t="n">
        <v>3.6</v>
      </c>
      <c r="M259" s="363" t="n">
        <v>3.6</v>
      </c>
      <c r="N259" s="363" t="n">
        <v>3.6</v>
      </c>
      <c r="O259" s="363" t="n">
        <v>3.6</v>
      </c>
      <c r="P259" s="363" t="n">
        <v>3.6</v>
      </c>
      <c r="Q259" s="363" t="n">
        <v>3.6</v>
      </c>
      <c r="R259" s="363" t="n">
        <v>3.6</v>
      </c>
      <c r="S259" s="363" t="n">
        <v>3.6</v>
      </c>
      <c r="T259" s="363" t="n">
        <v>3.6</v>
      </c>
      <c r="U259" s="363" t="n">
        <v>3.6</v>
      </c>
      <c r="V259" s="363" t="n">
        <v>3.6</v>
      </c>
      <c r="W259" s="363" t="n">
        <v>3.6</v>
      </c>
      <c r="X259" s="363" t="n">
        <v>3.6</v>
      </c>
      <c r="Y259" s="350" t="n">
        <v>1000</v>
      </c>
    </row>
    <row r="260" customFormat="false" ht="12" hidden="false" customHeight="false" outlineLevel="0" collapsed="false">
      <c r="A260" s="364" t="s">
        <v>228</v>
      </c>
      <c r="B260" s="365" t="n">
        <v>0</v>
      </c>
      <c r="C260" s="366" t="n">
        <v>68</v>
      </c>
      <c r="D260" s="366" t="n">
        <v>62</v>
      </c>
      <c r="E260" s="366" t="n">
        <v>60</v>
      </c>
      <c r="F260" s="366" t="n">
        <v>39</v>
      </c>
      <c r="G260" s="366" t="n">
        <v>38</v>
      </c>
      <c r="H260" s="366" t="n">
        <v>9</v>
      </c>
      <c r="I260" s="366" t="n">
        <v>5</v>
      </c>
      <c r="J260" s="366" t="n">
        <v>3</v>
      </c>
      <c r="K260" s="366" t="n">
        <v>0</v>
      </c>
      <c r="L260" s="366" t="n">
        <v>0</v>
      </c>
      <c r="M260" s="366" t="n">
        <v>0</v>
      </c>
      <c r="N260" s="366" t="n">
        <v>0</v>
      </c>
      <c r="O260" s="366" t="n">
        <v>0</v>
      </c>
      <c r="P260" s="366" t="n">
        <v>0</v>
      </c>
      <c r="Q260" s="366" t="n">
        <v>0</v>
      </c>
      <c r="R260" s="366" t="n">
        <v>0</v>
      </c>
      <c r="S260" s="366" t="n">
        <v>0</v>
      </c>
      <c r="T260" s="366" t="n">
        <v>0</v>
      </c>
      <c r="U260" s="366" t="n">
        <v>0</v>
      </c>
      <c r="V260" s="366" t="n">
        <v>0</v>
      </c>
      <c r="W260" s="366" t="n">
        <v>0</v>
      </c>
      <c r="X260" s="366" t="n">
        <v>0</v>
      </c>
      <c r="Y260" s="367" t="n">
        <v>0</v>
      </c>
    </row>
    <row r="261" customFormat="false" ht="12.75" hidden="false" customHeight="false" outlineLevel="0" collapsed="false">
      <c r="A261" s="351" t="s">
        <v>229</v>
      </c>
      <c r="B261" s="368" t="n">
        <f aca="false">(C260+B260)*(C259-B259)/2</f>
        <v>1.7</v>
      </c>
      <c r="C261" s="369" t="n">
        <f aca="false">(D260+C260)*(D259-C259)/2</f>
        <v>3.25</v>
      </c>
      <c r="D261" s="369" t="n">
        <f aca="false">(E260+D260)*(E259-D259)/2</f>
        <v>9.15</v>
      </c>
      <c r="E261" s="369" t="n">
        <f aca="false">(F260+E260)*(F259-E259)/2</f>
        <v>2.475</v>
      </c>
      <c r="F261" s="369" t="n">
        <f aca="false">(G260+F260)*(G259-F259)/2</f>
        <v>1.925</v>
      </c>
      <c r="G261" s="369" t="n">
        <f aca="false">(H260+G260)*(H259-G259)/2</f>
        <v>2.35</v>
      </c>
      <c r="H261" s="369" t="n">
        <f aca="false">(I260+H260)*(I259-H259)/2</f>
        <v>0.7</v>
      </c>
      <c r="I261" s="369" t="n">
        <f aca="false">(J260+I260)*(J259-I259)/2</f>
        <v>11.8</v>
      </c>
      <c r="J261" s="369" t="n">
        <f aca="false">(K260+J260)*(K259-J259)/2</f>
        <v>0.15</v>
      </c>
      <c r="K261" s="369" t="n">
        <f aca="false">(L260+K260)*(L259-K259)/2</f>
        <v>0</v>
      </c>
      <c r="L261" s="369" t="n">
        <f aca="false">(M260+L260)*(M259-L259)/2</f>
        <v>0</v>
      </c>
      <c r="M261" s="369" t="n">
        <f aca="false">(N260+M260)*(N259-M259)/2</f>
        <v>0</v>
      </c>
      <c r="N261" s="369" t="n">
        <f aca="false">(O260+N260)*(O259-N259)/2</f>
        <v>0</v>
      </c>
      <c r="O261" s="369" t="n">
        <f aca="false">(P260+O260)*(P259-O259)/2</f>
        <v>0</v>
      </c>
      <c r="P261" s="369" t="n">
        <f aca="false">(Q260+P260)*(Q259-P259)/2</f>
        <v>0</v>
      </c>
      <c r="Q261" s="369" t="n">
        <f aca="false">(R260+Q260)*(R259-Q259)/2</f>
        <v>0</v>
      </c>
      <c r="R261" s="369" t="n">
        <f aca="false">(S260+R260)*(S259-R259)/2</f>
        <v>0</v>
      </c>
      <c r="S261" s="369" t="n">
        <f aca="false">(T260+S260)*(T259-S259)/2</f>
        <v>0</v>
      </c>
      <c r="T261" s="369" t="n">
        <f aca="false">(U260+T260)*(U259-T259)/2</f>
        <v>0</v>
      </c>
      <c r="U261" s="369" t="n">
        <f aca="false">(V260+U260)*(V259-U259)/2</f>
        <v>0</v>
      </c>
      <c r="V261" s="369" t="n">
        <f aca="false">(W260+V260)*(W259-V259)/2</f>
        <v>0</v>
      </c>
      <c r="W261" s="369" t="n">
        <f aca="false">(X260+W260)*(X259-W259)/2</f>
        <v>0</v>
      </c>
      <c r="X261" s="369" t="n">
        <f aca="false">(Y260+X260)*(Y259-X259)/2</f>
        <v>0</v>
      </c>
      <c r="Y261" s="354"/>
    </row>
    <row r="262" customFormat="false" ht="12.75" hidden="false" customHeight="false" outlineLevel="0" collapsed="false">
      <c r="B262" s="355"/>
      <c r="C262" s="355"/>
      <c r="D262" s="355"/>
      <c r="E262" s="355"/>
      <c r="F262" s="355"/>
      <c r="G262" s="355"/>
      <c r="H262" s="355"/>
      <c r="I262" s="355"/>
      <c r="J262" s="355"/>
      <c r="K262" s="355"/>
      <c r="L262" s="355"/>
      <c r="M262" s="355"/>
      <c r="N262" s="355"/>
      <c r="O262" s="355"/>
      <c r="P262" s="355"/>
      <c r="Q262" s="355"/>
      <c r="R262" s="355"/>
      <c r="S262" s="355"/>
      <c r="T262" s="355"/>
      <c r="U262" s="355"/>
      <c r="V262" s="355"/>
      <c r="W262" s="355"/>
      <c r="X262" s="355"/>
      <c r="Y262" s="355"/>
    </row>
    <row r="263" customFormat="false" ht="13.5" hidden="false" customHeight="false" outlineLevel="0" collapsed="false">
      <c r="A263" s="357" t="s">
        <v>291</v>
      </c>
      <c r="B263" s="358" t="n">
        <f aca="false">ROW(A263)</f>
        <v>263</v>
      </c>
      <c r="C263" s="340" t="s">
        <v>212</v>
      </c>
      <c r="D263" s="341" t="n">
        <f aca="false">SUM(B266:Y266)</f>
        <v>145.46</v>
      </c>
      <c r="E263" s="340" t="s">
        <v>213</v>
      </c>
      <c r="F263" s="342" t="n">
        <f aca="false">D263/g/J263</f>
        <v>211.824668705403</v>
      </c>
      <c r="G263" s="340" t="s">
        <v>214</v>
      </c>
      <c r="H263" s="359" t="n">
        <v>0.22</v>
      </c>
      <c r="I263" s="340" t="s">
        <v>225</v>
      </c>
      <c r="J263" s="343" t="n">
        <f aca="false">H263-L263</f>
        <v>0.07</v>
      </c>
      <c r="K263" s="340" t="s">
        <v>226</v>
      </c>
      <c r="L263" s="359" t="n">
        <v>0.15</v>
      </c>
      <c r="M263" s="340" t="s">
        <v>217</v>
      </c>
      <c r="N263" s="360" t="n">
        <v>50</v>
      </c>
      <c r="O263" s="340" t="s">
        <v>218</v>
      </c>
      <c r="P263" s="360" t="n">
        <v>55</v>
      </c>
      <c r="Q263" s="340" t="s">
        <v>219</v>
      </c>
      <c r="R263" s="360" t="n">
        <v>76</v>
      </c>
      <c r="S263" s="340" t="s">
        <v>220</v>
      </c>
      <c r="T263" s="360" t="n">
        <v>40</v>
      </c>
      <c r="U263" s="340" t="s">
        <v>8</v>
      </c>
      <c r="V263" s="361" t="s">
        <v>245</v>
      </c>
      <c r="W263" s="355"/>
      <c r="X263" s="355"/>
      <c r="Y263" s="355"/>
    </row>
    <row r="264" customFormat="false" ht="12" hidden="false" customHeight="false" outlineLevel="0" collapsed="false">
      <c r="A264" s="338" t="s">
        <v>227</v>
      </c>
      <c r="B264" s="362" t="n">
        <v>0</v>
      </c>
      <c r="C264" s="363" t="n">
        <v>0.02</v>
      </c>
      <c r="D264" s="363" t="n">
        <v>0.04</v>
      </c>
      <c r="E264" s="363" t="n">
        <v>0.05</v>
      </c>
      <c r="F264" s="363" t="n">
        <v>0.06</v>
      </c>
      <c r="G264" s="363" t="n">
        <v>0.94</v>
      </c>
      <c r="H264" s="382" t="n">
        <v>0.942</v>
      </c>
      <c r="I264" s="363" t="n">
        <v>0.95</v>
      </c>
      <c r="J264" s="363" t="n">
        <v>0.95</v>
      </c>
      <c r="K264" s="363" t="n">
        <v>0.95</v>
      </c>
      <c r="L264" s="363" t="n">
        <v>0.95</v>
      </c>
      <c r="M264" s="363" t="n">
        <v>0.95</v>
      </c>
      <c r="N264" s="363" t="n">
        <v>0.95</v>
      </c>
      <c r="O264" s="363" t="n">
        <v>0.95</v>
      </c>
      <c r="P264" s="363" t="n">
        <v>0.95</v>
      </c>
      <c r="Q264" s="363" t="n">
        <v>0.95</v>
      </c>
      <c r="R264" s="363" t="n">
        <v>0.95</v>
      </c>
      <c r="S264" s="363" t="n">
        <v>0.95</v>
      </c>
      <c r="T264" s="363" t="n">
        <v>0.95</v>
      </c>
      <c r="U264" s="363" t="n">
        <v>0.95</v>
      </c>
      <c r="V264" s="363" t="n">
        <v>0.95</v>
      </c>
      <c r="W264" s="363" t="n">
        <v>0.95</v>
      </c>
      <c r="X264" s="363" t="n">
        <v>2</v>
      </c>
      <c r="Y264" s="350" t="n">
        <v>1000</v>
      </c>
    </row>
    <row r="265" customFormat="false" ht="12" hidden="false" customHeight="false" outlineLevel="0" collapsed="false">
      <c r="A265" s="364" t="s">
        <v>228</v>
      </c>
      <c r="B265" s="365" t="n">
        <v>0</v>
      </c>
      <c r="C265" s="366" t="n">
        <v>320</v>
      </c>
      <c r="D265" s="366" t="n">
        <v>170</v>
      </c>
      <c r="E265" s="366" t="n">
        <v>205</v>
      </c>
      <c r="F265" s="366" t="n">
        <v>217</v>
      </c>
      <c r="G265" s="366" t="n">
        <v>85</v>
      </c>
      <c r="H265" s="366" t="n">
        <v>82</v>
      </c>
      <c r="I265" s="366" t="n">
        <v>0</v>
      </c>
      <c r="J265" s="366" t="n">
        <v>0</v>
      </c>
      <c r="K265" s="366" t="n">
        <v>0</v>
      </c>
      <c r="L265" s="366" t="n">
        <v>0</v>
      </c>
      <c r="M265" s="366" t="n">
        <v>0</v>
      </c>
      <c r="N265" s="366" t="n">
        <v>0</v>
      </c>
      <c r="O265" s="366" t="n">
        <v>0</v>
      </c>
      <c r="P265" s="366" t="n">
        <v>0</v>
      </c>
      <c r="Q265" s="366" t="n">
        <v>0</v>
      </c>
      <c r="R265" s="366" t="n">
        <v>0</v>
      </c>
      <c r="S265" s="366" t="n">
        <v>0</v>
      </c>
      <c r="T265" s="366" t="n">
        <v>0</v>
      </c>
      <c r="U265" s="366" t="n">
        <v>0</v>
      </c>
      <c r="V265" s="366" t="n">
        <v>0</v>
      </c>
      <c r="W265" s="366" t="n">
        <v>0</v>
      </c>
      <c r="X265" s="366" t="n">
        <v>0</v>
      </c>
      <c r="Y265" s="367" t="n">
        <v>0</v>
      </c>
    </row>
    <row r="266" customFormat="false" ht="12.75" hidden="false" customHeight="false" outlineLevel="0" collapsed="false">
      <c r="A266" s="351" t="s">
        <v>229</v>
      </c>
      <c r="B266" s="368" t="n">
        <f aca="false">(C265+B265)*(C264-B264)/2</f>
        <v>3.2</v>
      </c>
      <c r="C266" s="369" t="n">
        <f aca="false">(D265+C265)*(D264-C264)/2</f>
        <v>4.9</v>
      </c>
      <c r="D266" s="369" t="n">
        <f aca="false">(E265+D265)*(E264-D264)/2</f>
        <v>1.875</v>
      </c>
      <c r="E266" s="369" t="n">
        <f aca="false">(F265+E265)*(F264-E264)/2</f>
        <v>2.11</v>
      </c>
      <c r="F266" s="369" t="n">
        <f aca="false">(G265+F265)*(G264-F264)/2</f>
        <v>132.88</v>
      </c>
      <c r="G266" s="369" t="n">
        <f aca="false">(H265+G265)*(H264-G264)/2</f>
        <v>0.167000000000009</v>
      </c>
      <c r="H266" s="369" t="n">
        <f aca="false">(I265+H265)*(I264-H264)/2</f>
        <v>0.327999999999996</v>
      </c>
      <c r="I266" s="369" t="n">
        <f aca="false">(J265+I265)*(J264-I264)/2</f>
        <v>0</v>
      </c>
      <c r="J266" s="369" t="n">
        <f aca="false">(K265+J265)*(K264-J264)/2</f>
        <v>0</v>
      </c>
      <c r="K266" s="369" t="n">
        <f aca="false">(L265+K265)*(L264-K264)/2</f>
        <v>0</v>
      </c>
      <c r="L266" s="369" t="n">
        <f aca="false">(M265+L265)*(M264-L264)/2</f>
        <v>0</v>
      </c>
      <c r="M266" s="369" t="n">
        <f aca="false">(N265+M265)*(N264-M264)/2</f>
        <v>0</v>
      </c>
      <c r="N266" s="369" t="n">
        <f aca="false">(O265+N265)*(O264-N264)/2</f>
        <v>0</v>
      </c>
      <c r="O266" s="369" t="n">
        <f aca="false">(P265+O265)*(P264-O264)/2</f>
        <v>0</v>
      </c>
      <c r="P266" s="369" t="n">
        <f aca="false">(Q265+P265)*(Q264-P264)/2</f>
        <v>0</v>
      </c>
      <c r="Q266" s="369" t="n">
        <f aca="false">(R265+Q265)*(R264-Q264)/2</f>
        <v>0</v>
      </c>
      <c r="R266" s="369" t="n">
        <f aca="false">(S265+R265)*(S264-R264)/2</f>
        <v>0</v>
      </c>
      <c r="S266" s="369" t="n">
        <f aca="false">(T265+S265)*(T264-S264)/2</f>
        <v>0</v>
      </c>
      <c r="T266" s="369" t="n">
        <f aca="false">(U265+T265)*(U264-T264)/2</f>
        <v>0</v>
      </c>
      <c r="U266" s="369" t="n">
        <f aca="false">(V265+U265)*(V264-U264)/2</f>
        <v>0</v>
      </c>
      <c r="V266" s="369" t="n">
        <f aca="false">(W265+V265)*(W264-V264)/2</f>
        <v>0</v>
      </c>
      <c r="W266" s="369" t="n">
        <f aca="false">(X265+W265)*(X264-W264)/2</f>
        <v>0</v>
      </c>
      <c r="X266" s="369" t="n">
        <f aca="false">(Y265+X265)*(Y264-X264)/2</f>
        <v>0</v>
      </c>
      <c r="Y266" s="354"/>
    </row>
    <row r="267" customFormat="false" ht="12" hidden="false" customHeight="false" outlineLevel="0" collapsed="false">
      <c r="B267" s="355"/>
      <c r="C267" s="355"/>
      <c r="D267" s="355"/>
      <c r="E267" s="355"/>
      <c r="F267" s="355"/>
      <c r="G267" s="355"/>
      <c r="H267" s="355"/>
      <c r="I267" s="355"/>
      <c r="J267" s="355"/>
      <c r="K267" s="355"/>
      <c r="L267" s="355"/>
      <c r="M267" s="355"/>
      <c r="N267" s="355"/>
      <c r="O267" s="355"/>
      <c r="P267" s="355"/>
      <c r="Q267" s="355"/>
      <c r="R267" s="355"/>
      <c r="S267" s="355"/>
      <c r="T267" s="355"/>
      <c r="U267" s="355"/>
      <c r="V267" s="355"/>
      <c r="W267" s="355"/>
      <c r="X267" s="355"/>
      <c r="Y267" s="355"/>
    </row>
    <row r="268" customFormat="false" ht="13.5" hidden="false" customHeight="false" outlineLevel="0" collapsed="false">
      <c r="A268" s="356" t="s">
        <v>292</v>
      </c>
      <c r="B268" s="355"/>
      <c r="C268" s="355"/>
      <c r="D268" s="355"/>
      <c r="E268" s="355"/>
      <c r="F268" s="355"/>
      <c r="G268" s="355"/>
      <c r="H268" s="355"/>
      <c r="I268" s="355"/>
      <c r="J268" s="355"/>
      <c r="K268" s="355"/>
      <c r="L268" s="355"/>
      <c r="M268" s="355"/>
      <c r="N268" s="355"/>
      <c r="O268" s="355"/>
      <c r="P268" s="355"/>
      <c r="Q268" s="355"/>
      <c r="R268" s="355"/>
      <c r="S268" s="355"/>
      <c r="T268" s="355"/>
      <c r="U268" s="355"/>
      <c r="V268" s="355"/>
      <c r="W268" s="355"/>
      <c r="X268" s="355"/>
      <c r="Y268" s="355"/>
    </row>
    <row r="269" customFormat="false" ht="13.5" hidden="false" customHeight="false" outlineLevel="0" collapsed="false">
      <c r="A269" s="357" t="s">
        <v>293</v>
      </c>
      <c r="B269" s="358" t="n">
        <f aca="false">ROW(A269)</f>
        <v>269</v>
      </c>
      <c r="C269" s="340" t="s">
        <v>212</v>
      </c>
      <c r="D269" s="341" t="n">
        <f aca="false">SUM(B272:Y272)</f>
        <v>1071.6</v>
      </c>
      <c r="E269" s="340" t="s">
        <v>213</v>
      </c>
      <c r="F269" s="342" t="n">
        <f aca="false">D269/g/J269</f>
        <v>163.038020904651</v>
      </c>
      <c r="G269" s="340" t="s">
        <v>214</v>
      </c>
      <c r="H269" s="359" t="n">
        <v>2.02</v>
      </c>
      <c r="I269" s="340" t="s">
        <v>225</v>
      </c>
      <c r="J269" s="343" t="n">
        <f aca="false">H269-L269</f>
        <v>0.67</v>
      </c>
      <c r="K269" s="340" t="s">
        <v>226</v>
      </c>
      <c r="L269" s="359" t="n">
        <v>1.35</v>
      </c>
      <c r="M269" s="340" t="s">
        <v>217</v>
      </c>
      <c r="N269" s="360" t="n">
        <v>154</v>
      </c>
      <c r="O269" s="340" t="s">
        <v>218</v>
      </c>
      <c r="P269" s="360" t="n">
        <v>168</v>
      </c>
      <c r="Q269" s="340" t="s">
        <v>219</v>
      </c>
      <c r="R269" s="360" t="n">
        <v>230</v>
      </c>
      <c r="S269" s="340" t="s">
        <v>220</v>
      </c>
      <c r="T269" s="360" t="n">
        <v>67</v>
      </c>
      <c r="U269" s="340" t="s">
        <v>8</v>
      </c>
      <c r="V269" s="361" t="s">
        <v>78</v>
      </c>
      <c r="W269" s="355"/>
      <c r="X269" s="355"/>
      <c r="Y269" s="355"/>
    </row>
    <row r="270" customFormat="false" ht="12" hidden="false" customHeight="false" outlineLevel="0" collapsed="false">
      <c r="A270" s="338" t="s">
        <v>227</v>
      </c>
      <c r="B270" s="362" t="n">
        <v>0</v>
      </c>
      <c r="C270" s="363" t="n">
        <v>0.02</v>
      </c>
      <c r="D270" s="363" t="n">
        <v>0.05</v>
      </c>
      <c r="E270" s="363" t="n">
        <v>0.06</v>
      </c>
      <c r="F270" s="363" t="n">
        <v>0.09</v>
      </c>
      <c r="G270" s="363" t="n">
        <v>0.17</v>
      </c>
      <c r="H270" s="363" t="n">
        <v>0.2</v>
      </c>
      <c r="I270" s="363" t="n">
        <v>0.38</v>
      </c>
      <c r="J270" s="363" t="n">
        <v>0.75</v>
      </c>
      <c r="K270" s="363" t="n">
        <v>0.79</v>
      </c>
      <c r="L270" s="363" t="n">
        <v>1.13</v>
      </c>
      <c r="M270" s="363" t="n">
        <v>1.2</v>
      </c>
      <c r="N270" s="363" t="n">
        <v>1.5</v>
      </c>
      <c r="O270" s="363" t="n">
        <v>1.54</v>
      </c>
      <c r="P270" s="363" t="n">
        <v>1.65</v>
      </c>
      <c r="Q270" s="363" t="n">
        <v>1.7</v>
      </c>
      <c r="R270" s="363" t="n">
        <v>1.79</v>
      </c>
      <c r="S270" s="363" t="n">
        <v>1.79</v>
      </c>
      <c r="T270" s="363" t="n">
        <v>1.79</v>
      </c>
      <c r="U270" s="363" t="n">
        <v>1.79</v>
      </c>
      <c r="V270" s="363" t="n">
        <v>1.79</v>
      </c>
      <c r="W270" s="363" t="n">
        <v>1.79</v>
      </c>
      <c r="X270" s="363" t="n">
        <v>1.79</v>
      </c>
      <c r="Y270" s="350" t="n">
        <v>1000</v>
      </c>
    </row>
    <row r="271" customFormat="false" ht="12" hidden="false" customHeight="false" outlineLevel="0" collapsed="false">
      <c r="A271" s="364" t="s">
        <v>228</v>
      </c>
      <c r="B271" s="365" t="n">
        <v>0</v>
      </c>
      <c r="C271" s="366" t="n">
        <v>20</v>
      </c>
      <c r="D271" s="366" t="n">
        <v>870</v>
      </c>
      <c r="E271" s="366" t="n">
        <v>530</v>
      </c>
      <c r="F271" s="366" t="n">
        <v>790</v>
      </c>
      <c r="G271" s="366" t="n">
        <v>700</v>
      </c>
      <c r="H271" s="366" t="n">
        <v>710</v>
      </c>
      <c r="I271" s="366" t="n">
        <v>670</v>
      </c>
      <c r="J271" s="366" t="n">
        <v>630</v>
      </c>
      <c r="K271" s="366" t="n">
        <v>630</v>
      </c>
      <c r="L271" s="375" t="n">
        <v>710</v>
      </c>
      <c r="M271" s="375" t="n">
        <v>690</v>
      </c>
      <c r="N271" s="375" t="n">
        <v>690</v>
      </c>
      <c r="O271" s="375" t="n">
        <v>660</v>
      </c>
      <c r="P271" s="375" t="n">
        <v>160</v>
      </c>
      <c r="Q271" s="375" t="n">
        <v>10</v>
      </c>
      <c r="R271" s="375" t="n">
        <v>0</v>
      </c>
      <c r="S271" s="375" t="n">
        <v>0</v>
      </c>
      <c r="T271" s="375" t="n">
        <v>0</v>
      </c>
      <c r="U271" s="375" t="n">
        <v>0</v>
      </c>
      <c r="V271" s="375" t="n">
        <v>0</v>
      </c>
      <c r="W271" s="375" t="n">
        <v>0</v>
      </c>
      <c r="X271" s="375" t="n">
        <v>0</v>
      </c>
      <c r="Y271" s="376" t="n">
        <v>0</v>
      </c>
    </row>
    <row r="272" customFormat="false" ht="12.75" hidden="false" customHeight="false" outlineLevel="0" collapsed="false">
      <c r="A272" s="351" t="s">
        <v>229</v>
      </c>
      <c r="B272" s="368" t="n">
        <f aca="false">(C271+B271)*(C270-B270)/2</f>
        <v>0.2</v>
      </c>
      <c r="C272" s="369" t="n">
        <f aca="false">(D271+C271)*(D270-C270)/2</f>
        <v>13.35</v>
      </c>
      <c r="D272" s="369" t="n">
        <f aca="false">(E271+D271)*(E270-D270)/2</f>
        <v>7</v>
      </c>
      <c r="E272" s="369" t="n">
        <f aca="false">(F271+E271)*(F270-E270)/2</f>
        <v>19.8</v>
      </c>
      <c r="F272" s="369" t="n">
        <f aca="false">(G271+F271)*(G270-F270)/2</f>
        <v>59.6</v>
      </c>
      <c r="G272" s="369" t="n">
        <f aca="false">(H271+G271)*(H270-G270)/2</f>
        <v>21.15</v>
      </c>
      <c r="H272" s="369" t="n">
        <f aca="false">(I271+H271)*(I270-H270)/2</f>
        <v>124.2</v>
      </c>
      <c r="I272" s="369" t="n">
        <f aca="false">(J271+I271)*(J270-I270)/2</f>
        <v>240.5</v>
      </c>
      <c r="J272" s="369" t="n">
        <f aca="false">(K271+J271)*(K270-J270)/2</f>
        <v>25.2</v>
      </c>
      <c r="K272" s="369" t="n">
        <f aca="false">(L271+K271)*(L270-K270)/2</f>
        <v>227.8</v>
      </c>
      <c r="L272" s="369" t="n">
        <f aca="false">(M271+L271)*(M270-L270)/2</f>
        <v>49</v>
      </c>
      <c r="M272" s="369" t="n">
        <f aca="false">(N271+M271)*(N270-M270)/2</f>
        <v>207</v>
      </c>
      <c r="N272" s="369" t="n">
        <f aca="false">(O271+N271)*(O270-N270)/2</f>
        <v>27</v>
      </c>
      <c r="O272" s="369" t="n">
        <f aca="false">(P271+O271)*(P270-O270)/2</f>
        <v>45.1</v>
      </c>
      <c r="P272" s="369" t="n">
        <f aca="false">(Q271+P271)*(Q270-P270)/2</f>
        <v>4.25</v>
      </c>
      <c r="Q272" s="369" t="n">
        <f aca="false">(R271+Q271)*(R270-Q270)/2</f>
        <v>0.45</v>
      </c>
      <c r="R272" s="369" t="n">
        <f aca="false">(S271+R271)*(S270-R270)/2</f>
        <v>0</v>
      </c>
      <c r="S272" s="369" t="n">
        <f aca="false">(T271+S271)*(T270-S270)/2</f>
        <v>0</v>
      </c>
      <c r="T272" s="369" t="n">
        <f aca="false">(U271+T271)*(U270-T270)/2</f>
        <v>0</v>
      </c>
      <c r="U272" s="369" t="n">
        <f aca="false">(V271+U271)*(V270-U270)/2</f>
        <v>0</v>
      </c>
      <c r="V272" s="369" t="n">
        <f aca="false">(W271+V271)*(W270-V270)/2</f>
        <v>0</v>
      </c>
      <c r="W272" s="369" t="n">
        <f aca="false">(X271+W271)*(X270-W270)/2</f>
        <v>0</v>
      </c>
      <c r="X272" s="369" t="n">
        <f aca="false">(Y271+X271)*(Y270-X270)/2</f>
        <v>0</v>
      </c>
      <c r="Y272" s="383"/>
    </row>
    <row r="273" customFormat="false" ht="12.75" hidden="false" customHeight="false" outlineLevel="0" collapsed="false">
      <c r="S273" s="355"/>
      <c r="T273" s="355"/>
      <c r="U273" s="355"/>
      <c r="V273" s="355"/>
      <c r="W273" s="384"/>
      <c r="X273" s="384"/>
      <c r="Y273" s="355"/>
    </row>
    <row r="274" customFormat="false" ht="13.5" hidden="false" customHeight="false" outlineLevel="0" collapsed="false">
      <c r="A274" s="357" t="s">
        <v>294</v>
      </c>
      <c r="B274" s="358" t="n">
        <f aca="false">ROW(A274)</f>
        <v>274</v>
      </c>
      <c r="C274" s="340" t="s">
        <v>212</v>
      </c>
      <c r="D274" s="341" t="n">
        <f aca="false">SUM(B277:Y277)</f>
        <v>2102.35</v>
      </c>
      <c r="E274" s="340" t="s">
        <v>213</v>
      </c>
      <c r="F274" s="342" t="n">
        <f aca="false">D274/g/J274</f>
        <v>174.233194931338</v>
      </c>
      <c r="G274" s="340" t="s">
        <v>214</v>
      </c>
      <c r="H274" s="359" t="n">
        <v>3.7</v>
      </c>
      <c r="I274" s="340" t="s">
        <v>225</v>
      </c>
      <c r="J274" s="343" t="n">
        <f aca="false">H274-L274</f>
        <v>1.23</v>
      </c>
      <c r="K274" s="340" t="s">
        <v>226</v>
      </c>
      <c r="L274" s="359" t="n">
        <v>2.47</v>
      </c>
      <c r="M274" s="340" t="s">
        <v>217</v>
      </c>
      <c r="N274" s="360" t="n">
        <v>151</v>
      </c>
      <c r="O274" s="340" t="s">
        <v>218</v>
      </c>
      <c r="P274" s="360" t="n">
        <v>171</v>
      </c>
      <c r="Q274" s="340" t="s">
        <v>219</v>
      </c>
      <c r="R274" s="360" t="n">
        <v>247</v>
      </c>
      <c r="S274" s="340" t="s">
        <v>220</v>
      </c>
      <c r="T274" s="360" t="n">
        <v>90</v>
      </c>
      <c r="U274" s="340" t="s">
        <v>8</v>
      </c>
      <c r="V274" s="361" t="s">
        <v>78</v>
      </c>
      <c r="W274" s="355"/>
      <c r="X274" s="355"/>
      <c r="Y274" s="355"/>
    </row>
    <row r="275" customFormat="false" ht="12" hidden="false" customHeight="false" outlineLevel="0" collapsed="false">
      <c r="A275" s="338" t="s">
        <v>227</v>
      </c>
      <c r="B275" s="362" t="n">
        <v>0</v>
      </c>
      <c r="C275" s="363" t="n">
        <v>0.05</v>
      </c>
      <c r="D275" s="363" t="n">
        <v>0.1</v>
      </c>
      <c r="E275" s="363" t="n">
        <v>1</v>
      </c>
      <c r="F275" s="363" t="n">
        <v>1.35</v>
      </c>
      <c r="G275" s="363" t="n">
        <v>1.75</v>
      </c>
      <c r="H275" s="363" t="n">
        <v>2.15</v>
      </c>
      <c r="I275" s="363" t="n">
        <v>2.25</v>
      </c>
      <c r="J275" s="363" t="n">
        <v>2.48</v>
      </c>
      <c r="K275" s="363" t="n">
        <v>2.6</v>
      </c>
      <c r="L275" s="363" t="n">
        <v>2.8</v>
      </c>
      <c r="M275" s="363" t="n">
        <v>2.8</v>
      </c>
      <c r="N275" s="363" t="n">
        <v>2.8</v>
      </c>
      <c r="O275" s="363" t="n">
        <v>2.8</v>
      </c>
      <c r="P275" s="363" t="n">
        <v>2.8</v>
      </c>
      <c r="Q275" s="363" t="n">
        <v>2.8</v>
      </c>
      <c r="R275" s="363" t="n">
        <v>2.8</v>
      </c>
      <c r="S275" s="363" t="n">
        <v>2.8</v>
      </c>
      <c r="T275" s="363" t="n">
        <v>2.8</v>
      </c>
      <c r="U275" s="363" t="n">
        <v>2.8</v>
      </c>
      <c r="V275" s="363" t="n">
        <v>2.8</v>
      </c>
      <c r="W275" s="363" t="n">
        <v>2.8</v>
      </c>
      <c r="X275" s="363" t="n">
        <v>2.8</v>
      </c>
      <c r="Y275" s="350" t="n">
        <v>1000</v>
      </c>
    </row>
    <row r="276" customFormat="false" ht="12" hidden="false" customHeight="false" outlineLevel="0" collapsed="false">
      <c r="A276" s="364" t="s">
        <v>228</v>
      </c>
      <c r="B276" s="365" t="n">
        <v>0</v>
      </c>
      <c r="C276" s="366" t="n">
        <v>860</v>
      </c>
      <c r="D276" s="366" t="n">
        <v>840</v>
      </c>
      <c r="E276" s="366" t="n">
        <v>840</v>
      </c>
      <c r="F276" s="366" t="n">
        <v>850</v>
      </c>
      <c r="G276" s="366" t="n">
        <v>900</v>
      </c>
      <c r="H276" s="366" t="n">
        <v>1050</v>
      </c>
      <c r="I276" s="366" t="n">
        <v>1020</v>
      </c>
      <c r="J276" s="366" t="n">
        <v>120</v>
      </c>
      <c r="K276" s="366" t="n">
        <v>30</v>
      </c>
      <c r="L276" s="366" t="n">
        <v>0</v>
      </c>
      <c r="M276" s="366" t="n">
        <v>0</v>
      </c>
      <c r="N276" s="366" t="n">
        <v>0</v>
      </c>
      <c r="O276" s="366" t="n">
        <v>0</v>
      </c>
      <c r="P276" s="366" t="n">
        <v>0</v>
      </c>
      <c r="Q276" s="366" t="n">
        <v>0</v>
      </c>
      <c r="R276" s="366" t="n">
        <v>0</v>
      </c>
      <c r="S276" s="366" t="n">
        <v>0</v>
      </c>
      <c r="T276" s="366" t="n">
        <v>0</v>
      </c>
      <c r="U276" s="366" t="n">
        <v>0</v>
      </c>
      <c r="V276" s="366" t="n">
        <v>0</v>
      </c>
      <c r="W276" s="366" t="n">
        <v>0</v>
      </c>
      <c r="X276" s="366" t="n">
        <v>0</v>
      </c>
      <c r="Y276" s="367" t="n">
        <v>0</v>
      </c>
    </row>
    <row r="277" customFormat="false" ht="12.75" hidden="false" customHeight="false" outlineLevel="0" collapsed="false">
      <c r="A277" s="351" t="s">
        <v>229</v>
      </c>
      <c r="B277" s="368" t="n">
        <f aca="false">(C276+B276)*(C275-B275)/2</f>
        <v>21.5</v>
      </c>
      <c r="C277" s="369" t="n">
        <f aca="false">(D276+C276)*(D275-C275)/2</f>
        <v>42.5</v>
      </c>
      <c r="D277" s="369" t="n">
        <f aca="false">(E276+D276)*(E275-D275)/2</f>
        <v>756</v>
      </c>
      <c r="E277" s="369" t="n">
        <f aca="false">(F276+E276)*(F275-E275)/2</f>
        <v>295.75</v>
      </c>
      <c r="F277" s="369" t="n">
        <f aca="false">(G276+F276)*(G275-F275)/2</f>
        <v>350</v>
      </c>
      <c r="G277" s="369" t="n">
        <f aca="false">(H276+G276)*(H275-G275)/2</f>
        <v>390</v>
      </c>
      <c r="H277" s="369" t="n">
        <f aca="false">(I276+H276)*(I275-H275)/2</f>
        <v>103.5</v>
      </c>
      <c r="I277" s="369" t="n">
        <f aca="false">(J276+I276)*(J275-I275)/2</f>
        <v>131.1</v>
      </c>
      <c r="J277" s="369" t="n">
        <f aca="false">(K276+J276)*(K275-J275)/2</f>
        <v>9.00000000000001</v>
      </c>
      <c r="K277" s="369" t="n">
        <f aca="false">(L276+K276)*(L275-K275)/2</f>
        <v>3</v>
      </c>
      <c r="L277" s="369" t="n">
        <f aca="false">(M276+L276)*(M275-L275)/2</f>
        <v>0</v>
      </c>
      <c r="M277" s="369" t="n">
        <f aca="false">(N276+M276)*(N275-M275)/2</f>
        <v>0</v>
      </c>
      <c r="N277" s="369" t="n">
        <f aca="false">(O276+N276)*(O275-N275)/2</f>
        <v>0</v>
      </c>
      <c r="O277" s="369" t="n">
        <f aca="false">(P276+O276)*(P275-O275)/2</f>
        <v>0</v>
      </c>
      <c r="P277" s="369" t="n">
        <f aca="false">(Q276+P276)*(Q275-P275)/2</f>
        <v>0</v>
      </c>
      <c r="Q277" s="369" t="n">
        <f aca="false">(R276+Q276)*(R275-Q275)/2</f>
        <v>0</v>
      </c>
      <c r="R277" s="369" t="n">
        <f aca="false">(S276+R276)*(S275-R275)/2</f>
        <v>0</v>
      </c>
      <c r="S277" s="369" t="n">
        <f aca="false">(T276+S276)*(T275-S275)/2</f>
        <v>0</v>
      </c>
      <c r="T277" s="369" t="n">
        <f aca="false">(U276+T276)*(U275-T275)/2</f>
        <v>0</v>
      </c>
      <c r="U277" s="369" t="n">
        <f aca="false">(V276+U276)*(V275-U275)/2</f>
        <v>0</v>
      </c>
      <c r="V277" s="369" t="n">
        <f aca="false">(W276+V276)*(W275-V275)/2</f>
        <v>0</v>
      </c>
      <c r="W277" s="369" t="n">
        <f aca="false">(X276+W276)*(X275-W275)/2</f>
        <v>0</v>
      </c>
      <c r="X277" s="369" t="n">
        <f aca="false">(Y276+X276)*(Y275-X275)/2</f>
        <v>0</v>
      </c>
      <c r="Y277" s="354"/>
    </row>
    <row r="278" customFormat="false" ht="12.75" hidden="false" customHeight="false" outlineLevel="0" collapsed="false"/>
    <row r="279" customFormat="false" ht="13.5" hidden="false" customHeight="false" outlineLevel="0" collapsed="false">
      <c r="A279" s="357" t="s">
        <v>12</v>
      </c>
      <c r="B279" s="358" t="n">
        <f aca="false">ROW(A279)</f>
        <v>279</v>
      </c>
      <c r="C279" s="340" t="s">
        <v>212</v>
      </c>
      <c r="D279" s="341" t="n">
        <f aca="false">SUM(B282:Y282)</f>
        <v>2058.37</v>
      </c>
      <c r="E279" s="340" t="s">
        <v>213</v>
      </c>
      <c r="F279" s="342" t="n">
        <f aca="false">D279/g/J279</f>
        <v>203.120667315983</v>
      </c>
      <c r="G279" s="340" t="s">
        <v>214</v>
      </c>
      <c r="H279" s="359" t="n">
        <v>1.685</v>
      </c>
      <c r="I279" s="340" t="s">
        <v>225</v>
      </c>
      <c r="J279" s="343" t="n">
        <f aca="false">H279-L279</f>
        <v>1.033</v>
      </c>
      <c r="K279" s="340" t="s">
        <v>226</v>
      </c>
      <c r="L279" s="359" t="n">
        <v>0.652</v>
      </c>
      <c r="M279" s="340" t="s">
        <v>217</v>
      </c>
      <c r="N279" s="360" t="n">
        <v>250</v>
      </c>
      <c r="O279" s="340" t="s">
        <v>218</v>
      </c>
      <c r="P279" s="360" t="n">
        <v>240</v>
      </c>
      <c r="Q279" s="340" t="s">
        <v>219</v>
      </c>
      <c r="R279" s="360" t="n">
        <v>488</v>
      </c>
      <c r="S279" s="340" t="s">
        <v>220</v>
      </c>
      <c r="T279" s="360" t="n">
        <v>54</v>
      </c>
      <c r="U279" s="340" t="s">
        <v>8</v>
      </c>
      <c r="V279" s="361" t="s">
        <v>78</v>
      </c>
      <c r="W279" s="355"/>
      <c r="X279" s="355"/>
      <c r="Y279" s="355"/>
    </row>
    <row r="280" customFormat="false" ht="12" hidden="false" customHeight="false" outlineLevel="0" collapsed="false">
      <c r="A280" s="338" t="s">
        <v>227</v>
      </c>
      <c r="B280" s="362" t="n">
        <v>0</v>
      </c>
      <c r="C280" s="363" t="n">
        <v>0.05</v>
      </c>
      <c r="D280" s="363" t="n">
        <v>0.5</v>
      </c>
      <c r="E280" s="363" t="n">
        <v>1</v>
      </c>
      <c r="F280" s="363" t="n">
        <v>1.5</v>
      </c>
      <c r="G280" s="363" t="n">
        <v>2</v>
      </c>
      <c r="H280" s="363" t="n">
        <v>2.5</v>
      </c>
      <c r="I280" s="363" t="n">
        <v>2.97</v>
      </c>
      <c r="J280" s="363" t="n">
        <v>3.2</v>
      </c>
      <c r="K280" s="363" t="n">
        <v>3.47</v>
      </c>
      <c r="L280" s="363" t="n">
        <v>3.59</v>
      </c>
      <c r="M280" s="363" t="n">
        <v>3.59</v>
      </c>
      <c r="N280" s="363" t="n">
        <v>3.59</v>
      </c>
      <c r="O280" s="363" t="n">
        <v>3.59</v>
      </c>
      <c r="P280" s="363" t="n">
        <v>3.59</v>
      </c>
      <c r="Q280" s="363" t="n">
        <v>3.59</v>
      </c>
      <c r="R280" s="363" t="n">
        <v>3.59</v>
      </c>
      <c r="S280" s="363" t="n">
        <v>3.59</v>
      </c>
      <c r="T280" s="363" t="n">
        <v>3.59</v>
      </c>
      <c r="U280" s="363" t="n">
        <v>3.59</v>
      </c>
      <c r="V280" s="363" t="n">
        <v>3.59</v>
      </c>
      <c r="W280" s="363" t="n">
        <v>3.59</v>
      </c>
      <c r="X280" s="363" t="n">
        <v>3.59</v>
      </c>
      <c r="Y280" s="350" t="n">
        <v>1000</v>
      </c>
    </row>
    <row r="281" customFormat="false" ht="12" hidden="false" customHeight="false" outlineLevel="0" collapsed="false">
      <c r="A281" s="364" t="s">
        <v>228</v>
      </c>
      <c r="B281" s="365" t="n">
        <v>0</v>
      </c>
      <c r="C281" s="366" t="n">
        <v>893</v>
      </c>
      <c r="D281" s="366" t="n">
        <v>798</v>
      </c>
      <c r="E281" s="366" t="n">
        <v>739</v>
      </c>
      <c r="F281" s="366" t="n">
        <v>659</v>
      </c>
      <c r="G281" s="366" t="n">
        <v>586</v>
      </c>
      <c r="H281" s="366" t="n">
        <v>513</v>
      </c>
      <c r="I281" s="366" t="n">
        <v>417</v>
      </c>
      <c r="J281" s="366" t="n">
        <v>225</v>
      </c>
      <c r="K281" s="366" t="n">
        <v>67</v>
      </c>
      <c r="L281" s="366" t="n">
        <v>0</v>
      </c>
      <c r="M281" s="366" t="n">
        <v>0</v>
      </c>
      <c r="N281" s="366" t="n">
        <v>0</v>
      </c>
      <c r="O281" s="366" t="n">
        <v>0</v>
      </c>
      <c r="P281" s="366" t="n">
        <v>0</v>
      </c>
      <c r="Q281" s="366" t="n">
        <v>0</v>
      </c>
      <c r="R281" s="366" t="n">
        <v>0</v>
      </c>
      <c r="S281" s="366" t="n">
        <v>0</v>
      </c>
      <c r="T281" s="366" t="n">
        <v>0</v>
      </c>
      <c r="U281" s="366" t="n">
        <v>0</v>
      </c>
      <c r="V281" s="366" t="n">
        <v>0</v>
      </c>
      <c r="W281" s="366" t="n">
        <v>0</v>
      </c>
      <c r="X281" s="366" t="n">
        <v>0</v>
      </c>
      <c r="Y281" s="367" t="n">
        <v>0</v>
      </c>
    </row>
    <row r="282" customFormat="false" ht="12.75" hidden="false" customHeight="false" outlineLevel="0" collapsed="false">
      <c r="A282" s="385" t="s">
        <v>229</v>
      </c>
      <c r="B282" s="368" t="n">
        <f aca="false">(C281+B281)*(C280-B280)/2</f>
        <v>22.325</v>
      </c>
      <c r="C282" s="369" t="n">
        <f aca="false">(D281+C281)*(D280-C280)/2</f>
        <v>380.475</v>
      </c>
      <c r="D282" s="369" t="n">
        <f aca="false">(E281+D281)*(E280-D280)/2</f>
        <v>384.25</v>
      </c>
      <c r="E282" s="369" t="n">
        <f aca="false">(F281+E281)*(F280-E280)/2</f>
        <v>349.5</v>
      </c>
      <c r="F282" s="369" t="n">
        <f aca="false">(G281+F281)*(G280-F280)/2</f>
        <v>311.25</v>
      </c>
      <c r="G282" s="369" t="n">
        <f aca="false">(H281+G281)*(H280-G280)/2</f>
        <v>274.75</v>
      </c>
      <c r="H282" s="369" t="n">
        <f aca="false">(I281+H281)*(I280-H280)/2</f>
        <v>218.55</v>
      </c>
      <c r="I282" s="369" t="n">
        <f aca="false">(J281+I281)*(J280-I280)/2</f>
        <v>73.83</v>
      </c>
      <c r="J282" s="369" t="n">
        <f aca="false">(K281+J281)*(K280-J280)/2</f>
        <v>39.42</v>
      </c>
      <c r="K282" s="369" t="n">
        <f aca="false">(L281+K281)*(L280-K280)/2</f>
        <v>4.01999999999999</v>
      </c>
      <c r="L282" s="369" t="n">
        <f aca="false">(M281+L281)*(M280-L280)/2</f>
        <v>0</v>
      </c>
      <c r="M282" s="369" t="n">
        <f aca="false">(N281+M281)*(N280-M280)/2</f>
        <v>0</v>
      </c>
      <c r="N282" s="369" t="n">
        <f aca="false">(O281+N281)*(O280-N280)/2</f>
        <v>0</v>
      </c>
      <c r="O282" s="369" t="n">
        <f aca="false">(P281+O281)*(P280-O280)/2</f>
        <v>0</v>
      </c>
      <c r="P282" s="369" t="n">
        <f aca="false">(Q281+P281)*(Q280-P280)/2</f>
        <v>0</v>
      </c>
      <c r="Q282" s="369" t="n">
        <f aca="false">(R281+Q281)*(R280-Q280)/2</f>
        <v>0</v>
      </c>
      <c r="R282" s="369" t="n">
        <f aca="false">(S281+R281)*(S280-R280)/2</f>
        <v>0</v>
      </c>
      <c r="S282" s="369" t="n">
        <f aca="false">(T281+S281)*(T280-S280)/2</f>
        <v>0</v>
      </c>
      <c r="T282" s="369" t="n">
        <f aca="false">(U281+T281)*(U280-T280)/2</f>
        <v>0</v>
      </c>
      <c r="U282" s="369" t="n">
        <f aca="false">(V281+U281)*(V280-U280)/2</f>
        <v>0</v>
      </c>
      <c r="V282" s="369" t="n">
        <f aca="false">(W281+V281)*(W280-V280)/2</f>
        <v>0</v>
      </c>
      <c r="W282" s="369" t="n">
        <f aca="false">(X281+W281)*(X280-W280)/2</f>
        <v>0</v>
      </c>
      <c r="X282" s="369" t="n">
        <f aca="false">(Y281+X281)*(Y280-X280)/2</f>
        <v>0</v>
      </c>
      <c r="Y282" s="354"/>
    </row>
    <row r="283" customFormat="false" ht="12.75" hidden="false" customHeight="false" outlineLevel="0" collapsed="false">
      <c r="B283" s="355"/>
      <c r="C283" s="355"/>
      <c r="D283" s="355"/>
      <c r="E283" s="355"/>
      <c r="F283" s="355"/>
      <c r="G283" s="355"/>
      <c r="H283" s="355"/>
      <c r="I283" s="355"/>
      <c r="J283" s="355"/>
      <c r="K283" s="355"/>
      <c r="L283" s="355"/>
      <c r="M283" s="355"/>
      <c r="N283" s="355"/>
      <c r="O283" s="355"/>
      <c r="P283" s="355"/>
      <c r="Q283" s="355"/>
      <c r="R283" s="355"/>
      <c r="S283" s="355"/>
      <c r="T283" s="355"/>
      <c r="U283" s="355"/>
      <c r="V283" s="355"/>
      <c r="W283" s="355"/>
      <c r="X283" s="355"/>
      <c r="Y283" s="355"/>
    </row>
    <row r="284" customFormat="false" ht="13.5" hidden="false" customHeight="false" outlineLevel="0" collapsed="false">
      <c r="A284" s="357" t="s">
        <v>295</v>
      </c>
      <c r="B284" s="358" t="n">
        <f aca="false">ROW(A284)</f>
        <v>284</v>
      </c>
      <c r="C284" s="340" t="s">
        <v>212</v>
      </c>
      <c r="D284" s="341" t="n">
        <f aca="false">SUM(B287:Y287)</f>
        <v>2486.042</v>
      </c>
      <c r="E284" s="340" t="s">
        <v>213</v>
      </c>
      <c r="F284" s="342" t="n">
        <f aca="false">D284/g/J284</f>
        <v>199.542648912005</v>
      </c>
      <c r="G284" s="340" t="s">
        <v>214</v>
      </c>
      <c r="H284" s="359" t="n">
        <v>2.59</v>
      </c>
      <c r="I284" s="340" t="s">
        <v>225</v>
      </c>
      <c r="J284" s="343" t="n">
        <f aca="false">H284-L284</f>
        <v>1.27</v>
      </c>
      <c r="K284" s="340" t="s">
        <v>226</v>
      </c>
      <c r="L284" s="359" t="n">
        <v>1.32</v>
      </c>
      <c r="M284" s="340" t="s">
        <v>217</v>
      </c>
      <c r="N284" s="360" t="n">
        <v>175</v>
      </c>
      <c r="O284" s="340" t="s">
        <v>218</v>
      </c>
      <c r="P284" s="360" t="n">
        <v>175</v>
      </c>
      <c r="Q284" s="340" t="s">
        <v>219</v>
      </c>
      <c r="R284" s="360" t="n">
        <v>350</v>
      </c>
      <c r="S284" s="340" t="s">
        <v>220</v>
      </c>
      <c r="T284" s="360" t="n">
        <v>75</v>
      </c>
      <c r="U284" s="340" t="s">
        <v>8</v>
      </c>
      <c r="V284" s="361" t="s">
        <v>78</v>
      </c>
      <c r="W284" s="355"/>
      <c r="X284" s="355"/>
      <c r="Y284" s="355"/>
    </row>
    <row r="285" customFormat="false" ht="12" hidden="false" customHeight="false" outlineLevel="0" collapsed="false">
      <c r="A285" s="338" t="s">
        <v>227</v>
      </c>
      <c r="B285" s="362" t="n">
        <v>0</v>
      </c>
      <c r="C285" s="363" t="n">
        <v>0.04</v>
      </c>
      <c r="D285" s="363" t="n">
        <v>0.07</v>
      </c>
      <c r="E285" s="363" t="n">
        <v>0.1</v>
      </c>
      <c r="F285" s="363" t="n">
        <v>0.21</v>
      </c>
      <c r="G285" s="363" t="n">
        <v>0.35</v>
      </c>
      <c r="H285" s="363" t="n">
        <v>0.53</v>
      </c>
      <c r="I285" s="363" t="n">
        <v>0.82</v>
      </c>
      <c r="J285" s="363" t="n">
        <v>1.18</v>
      </c>
      <c r="K285" s="363" t="n">
        <v>1.72</v>
      </c>
      <c r="L285" s="363" t="n">
        <v>2.15</v>
      </c>
      <c r="M285" s="363" t="n">
        <v>2.39</v>
      </c>
      <c r="N285" s="363" t="n">
        <v>2.9</v>
      </c>
      <c r="O285" s="363" t="n">
        <v>3.07</v>
      </c>
      <c r="P285" s="363" t="n">
        <v>3.56</v>
      </c>
      <c r="Q285" s="363" t="n">
        <v>3.98</v>
      </c>
      <c r="R285" s="363" t="n">
        <v>4.32</v>
      </c>
      <c r="S285" s="363" t="n">
        <v>4.48</v>
      </c>
      <c r="T285" s="363" t="n">
        <v>4.6</v>
      </c>
      <c r="U285" s="363" t="n">
        <v>4.65</v>
      </c>
      <c r="V285" s="363" t="n">
        <v>4.8</v>
      </c>
      <c r="W285" s="363" t="n">
        <v>4.83</v>
      </c>
      <c r="X285" s="363" t="n">
        <v>4.84</v>
      </c>
      <c r="Y285" s="350" t="n">
        <v>1000</v>
      </c>
    </row>
    <row r="286" customFormat="false" ht="12" hidden="false" customHeight="false" outlineLevel="0" collapsed="false">
      <c r="A286" s="364" t="s">
        <v>228</v>
      </c>
      <c r="B286" s="365" t="n">
        <v>0</v>
      </c>
      <c r="C286" s="366" t="n">
        <v>394.4</v>
      </c>
      <c r="D286" s="366" t="n">
        <v>617.7</v>
      </c>
      <c r="E286" s="366" t="n">
        <v>645.1</v>
      </c>
      <c r="F286" s="366" t="n">
        <v>658.2</v>
      </c>
      <c r="G286" s="366" t="n">
        <v>669.2</v>
      </c>
      <c r="H286" s="366" t="n">
        <v>667.7</v>
      </c>
      <c r="I286" s="366" t="n">
        <v>661.6</v>
      </c>
      <c r="J286" s="366" t="n">
        <v>626.9</v>
      </c>
      <c r="K286" s="366" t="n">
        <v>588.5</v>
      </c>
      <c r="L286" s="366" t="n">
        <v>557.7</v>
      </c>
      <c r="M286" s="366" t="n">
        <v>542.3</v>
      </c>
      <c r="N286" s="366" t="n">
        <v>492.9</v>
      </c>
      <c r="O286" s="366" t="n">
        <v>470.3</v>
      </c>
      <c r="P286" s="366" t="n">
        <v>426.8</v>
      </c>
      <c r="Q286" s="366" t="n">
        <v>399</v>
      </c>
      <c r="R286" s="366" t="n">
        <v>394</v>
      </c>
      <c r="S286" s="366" t="n">
        <v>380.6</v>
      </c>
      <c r="T286" s="366" t="n">
        <v>364.2</v>
      </c>
      <c r="U286" s="366" t="n">
        <v>290.9</v>
      </c>
      <c r="V286" s="366" t="n">
        <v>91.2</v>
      </c>
      <c r="W286" s="366" t="n">
        <v>45.8</v>
      </c>
      <c r="X286" s="366" t="n">
        <v>0</v>
      </c>
      <c r="Y286" s="367" t="n">
        <v>0</v>
      </c>
    </row>
    <row r="287" customFormat="false" ht="12.75" hidden="false" customHeight="false" outlineLevel="0" collapsed="false">
      <c r="A287" s="351" t="s">
        <v>229</v>
      </c>
      <c r="B287" s="368" t="n">
        <f aca="false">(C286+B286)*(C285-B285)/2</f>
        <v>7.888</v>
      </c>
      <c r="C287" s="369" t="n">
        <f aca="false">(D286+C286)*(D285-C285)/2</f>
        <v>15.1815</v>
      </c>
      <c r="D287" s="369" t="n">
        <f aca="false">(E286+D286)*(E285-D285)/2</f>
        <v>18.942</v>
      </c>
      <c r="E287" s="369" t="n">
        <f aca="false">(F286+E286)*(F285-E285)/2</f>
        <v>71.6815</v>
      </c>
      <c r="F287" s="369" t="n">
        <f aca="false">(G286+F286)*(G285-F285)/2</f>
        <v>92.918</v>
      </c>
      <c r="G287" s="369" t="n">
        <f aca="false">(H286+G286)*(H285-G285)/2</f>
        <v>120.321</v>
      </c>
      <c r="H287" s="369" t="n">
        <f aca="false">(I286+H286)*(I285-H285)/2</f>
        <v>192.7485</v>
      </c>
      <c r="I287" s="369" t="n">
        <f aca="false">(J286+I286)*(J285-I285)/2</f>
        <v>231.93</v>
      </c>
      <c r="J287" s="369" t="n">
        <f aca="false">(K286+J286)*(K285-J285)/2</f>
        <v>328.158</v>
      </c>
      <c r="K287" s="369" t="n">
        <f aca="false">(L286+K286)*(L285-K285)/2</f>
        <v>246.433</v>
      </c>
      <c r="L287" s="369" t="n">
        <f aca="false">(M286+L286)*(M285-L285)/2</f>
        <v>132</v>
      </c>
      <c r="M287" s="369" t="n">
        <f aca="false">(N286+M286)*(N285-M285)/2</f>
        <v>263.976</v>
      </c>
      <c r="N287" s="369" t="n">
        <f aca="false">(O286+N286)*(O285-N285)/2</f>
        <v>81.872</v>
      </c>
      <c r="O287" s="369" t="n">
        <f aca="false">(P286+O286)*(P285-O285)/2</f>
        <v>219.7895</v>
      </c>
      <c r="P287" s="369" t="n">
        <f aca="false">(Q286+P286)*(Q285-P285)/2</f>
        <v>173.418</v>
      </c>
      <c r="Q287" s="369" t="n">
        <f aca="false">(R286+Q286)*(R285-Q285)/2</f>
        <v>134.81</v>
      </c>
      <c r="R287" s="369" t="n">
        <f aca="false">(S286+R286)*(S285-R285)/2</f>
        <v>61.9680000000001</v>
      </c>
      <c r="S287" s="369" t="n">
        <f aca="false">(T286+S286)*(T285-S285)/2</f>
        <v>44.6879999999997</v>
      </c>
      <c r="T287" s="369" t="n">
        <f aca="false">(U286+T286)*(U285-T285)/2</f>
        <v>16.3775000000002</v>
      </c>
      <c r="U287" s="369" t="n">
        <f aca="false">(V286+U286)*(V285-U285)/2</f>
        <v>28.6574999999999</v>
      </c>
      <c r="V287" s="369" t="n">
        <f aca="false">(W286+V286)*(W285-V285)/2</f>
        <v>2.05500000000002</v>
      </c>
      <c r="W287" s="369" t="n">
        <f aca="false">(X286+W286)*(X285-W285)/2</f>
        <v>0.228999999999995</v>
      </c>
      <c r="X287" s="369" t="n">
        <f aca="false">(Y286+X286)*(Y285-X285)/2</f>
        <v>0</v>
      </c>
      <c r="Y287" s="354"/>
    </row>
    <row r="288" customFormat="false" ht="12.75" hidden="false" customHeight="false" outlineLevel="0" collapsed="false">
      <c r="A288" s="355"/>
      <c r="L288" s="355"/>
      <c r="M288" s="355"/>
      <c r="N288" s="355"/>
      <c r="O288" s="355"/>
      <c r="P288" s="355"/>
      <c r="Q288" s="355"/>
      <c r="R288" s="355"/>
      <c r="S288" s="355"/>
      <c r="T288" s="355"/>
      <c r="U288" s="355"/>
      <c r="V288" s="355"/>
      <c r="W288" s="355"/>
      <c r="X288" s="355"/>
      <c r="Y288" s="355"/>
    </row>
    <row r="289" customFormat="false" ht="13.5" hidden="false" customHeight="false" outlineLevel="0" collapsed="false">
      <c r="A289" s="357" t="s">
        <v>296</v>
      </c>
      <c r="B289" s="358" t="n">
        <f aca="false">ROW(A289)</f>
        <v>289</v>
      </c>
      <c r="C289" s="340" t="s">
        <v>212</v>
      </c>
      <c r="D289" s="341" t="n">
        <f aca="false">SUM(B292:Y292)</f>
        <v>3739.0285</v>
      </c>
      <c r="E289" s="340" t="s">
        <v>213</v>
      </c>
      <c r="F289" s="342" t="n">
        <f aca="false">D289/g/J289</f>
        <v>203.494179044123</v>
      </c>
      <c r="G289" s="340" t="s">
        <v>214</v>
      </c>
      <c r="H289" s="359" t="n">
        <v>3.511</v>
      </c>
      <c r="I289" s="340" t="s">
        <v>225</v>
      </c>
      <c r="J289" s="343" t="n">
        <f aca="false">H289-L289</f>
        <v>1.873</v>
      </c>
      <c r="K289" s="340" t="s">
        <v>226</v>
      </c>
      <c r="L289" s="359" t="n">
        <v>1.638</v>
      </c>
      <c r="M289" s="340" t="s">
        <v>217</v>
      </c>
      <c r="N289" s="360" t="n">
        <v>243</v>
      </c>
      <c r="O289" s="340" t="s">
        <v>218</v>
      </c>
      <c r="P289" s="360" t="n">
        <v>243</v>
      </c>
      <c r="Q289" s="340" t="s">
        <v>219</v>
      </c>
      <c r="R289" s="360" t="n">
        <v>486</v>
      </c>
      <c r="S289" s="340" t="s">
        <v>220</v>
      </c>
      <c r="T289" s="360" t="n">
        <v>75</v>
      </c>
      <c r="U289" s="340" t="s">
        <v>8</v>
      </c>
      <c r="V289" s="361" t="s">
        <v>78</v>
      </c>
      <c r="W289" s="355"/>
      <c r="X289" s="355"/>
      <c r="Y289" s="355"/>
    </row>
    <row r="290" customFormat="false" ht="12" hidden="false" customHeight="false" outlineLevel="0" collapsed="false">
      <c r="A290" s="338" t="s">
        <v>227</v>
      </c>
      <c r="B290" s="362" t="n">
        <v>0</v>
      </c>
      <c r="C290" s="363" t="n">
        <v>0.01</v>
      </c>
      <c r="D290" s="363" t="n">
        <v>0.1</v>
      </c>
      <c r="E290" s="363" t="n">
        <v>0.12</v>
      </c>
      <c r="F290" s="363" t="n">
        <v>0.26</v>
      </c>
      <c r="G290" s="363" t="n">
        <v>0.71</v>
      </c>
      <c r="H290" s="363" t="n">
        <v>1.28</v>
      </c>
      <c r="I290" s="363" t="n">
        <v>2.05</v>
      </c>
      <c r="J290" s="363" t="n">
        <v>2.41</v>
      </c>
      <c r="K290" s="363" t="n">
        <v>2.83</v>
      </c>
      <c r="L290" s="363" t="n">
        <v>3.25</v>
      </c>
      <c r="M290" s="363" t="n">
        <v>3.65</v>
      </c>
      <c r="N290" s="363" t="n">
        <v>3.8</v>
      </c>
      <c r="O290" s="363" t="n">
        <v>4</v>
      </c>
      <c r="P290" s="363" t="n">
        <v>4.1</v>
      </c>
      <c r="Q290" s="363" t="n">
        <v>4.19</v>
      </c>
      <c r="R290" s="363" t="n">
        <v>4.31</v>
      </c>
      <c r="S290" s="363" t="n">
        <v>4.41</v>
      </c>
      <c r="T290" s="363" t="n">
        <v>4.52</v>
      </c>
      <c r="U290" s="363" t="n">
        <v>4.6</v>
      </c>
      <c r="V290" s="363" t="n">
        <v>4.65</v>
      </c>
      <c r="W290" s="363" t="n">
        <v>4.67</v>
      </c>
      <c r="X290" s="363" t="n">
        <v>4.68</v>
      </c>
      <c r="Y290" s="350" t="n">
        <v>1000</v>
      </c>
    </row>
    <row r="291" customFormat="false" ht="12" hidden="false" customHeight="false" outlineLevel="0" collapsed="false">
      <c r="A291" s="364" t="s">
        <v>228</v>
      </c>
      <c r="B291" s="365" t="n">
        <v>27</v>
      </c>
      <c r="C291" s="366" t="n">
        <v>402.4</v>
      </c>
      <c r="D291" s="366" t="n">
        <v>1286</v>
      </c>
      <c r="E291" s="366" t="n">
        <v>1257</v>
      </c>
      <c r="F291" s="366" t="n">
        <v>1042</v>
      </c>
      <c r="G291" s="366" t="n">
        <v>1027</v>
      </c>
      <c r="H291" s="366" t="n">
        <v>998.4</v>
      </c>
      <c r="I291" s="366" t="n">
        <v>901.4</v>
      </c>
      <c r="J291" s="366" t="n">
        <v>849.6</v>
      </c>
      <c r="K291" s="366" t="n">
        <v>763.5</v>
      </c>
      <c r="L291" s="366" t="n">
        <v>707.1</v>
      </c>
      <c r="M291" s="366" t="n">
        <v>655.1</v>
      </c>
      <c r="N291" s="366" t="n">
        <v>651.7</v>
      </c>
      <c r="O291" s="366" t="n">
        <v>624.1</v>
      </c>
      <c r="P291" s="366" t="n">
        <v>601.3</v>
      </c>
      <c r="Q291" s="366" t="n">
        <v>536.2</v>
      </c>
      <c r="R291" s="366" t="n">
        <v>415.7</v>
      </c>
      <c r="S291" s="366" t="n">
        <v>270.2</v>
      </c>
      <c r="T291" s="366" t="n">
        <v>140.2</v>
      </c>
      <c r="U291" s="366" t="n">
        <v>76.9</v>
      </c>
      <c r="V291" s="366" t="n">
        <v>54.9</v>
      </c>
      <c r="W291" s="366" t="n">
        <v>40.2</v>
      </c>
      <c r="X291" s="366" t="n">
        <v>0</v>
      </c>
      <c r="Y291" s="367" t="n">
        <v>0</v>
      </c>
    </row>
    <row r="292" customFormat="false" ht="12.75" hidden="false" customHeight="false" outlineLevel="0" collapsed="false">
      <c r="A292" s="351" t="s">
        <v>229</v>
      </c>
      <c r="B292" s="368" t="n">
        <f aca="false">(C291+B291)*(C290-B290)/2</f>
        <v>2.147</v>
      </c>
      <c r="C292" s="369" t="n">
        <f aca="false">(D291+C291)*(D290-C290)/2</f>
        <v>75.978</v>
      </c>
      <c r="D292" s="369" t="n">
        <f aca="false">(E291+D291)*(E290-D290)/2</f>
        <v>25.43</v>
      </c>
      <c r="E292" s="369" t="n">
        <f aca="false">(F291+E291)*(F290-E290)/2</f>
        <v>160.93</v>
      </c>
      <c r="F292" s="369" t="n">
        <f aca="false">(G291+F291)*(G290-F290)/2</f>
        <v>465.525</v>
      </c>
      <c r="G292" s="369" t="n">
        <f aca="false">(H291+G291)*(H290-G290)/2</f>
        <v>577.239</v>
      </c>
      <c r="H292" s="369" t="n">
        <f aca="false">(I291+H291)*(I290-H290)/2</f>
        <v>731.423</v>
      </c>
      <c r="I292" s="369" t="n">
        <f aca="false">(J291+I291)*(J290-I290)/2</f>
        <v>315.18</v>
      </c>
      <c r="J292" s="369" t="n">
        <f aca="false">(K291+J291)*(K290-J290)/2</f>
        <v>338.751</v>
      </c>
      <c r="K292" s="369" t="n">
        <f aca="false">(L291+K291)*(L290-K290)/2</f>
        <v>308.826</v>
      </c>
      <c r="L292" s="369" t="n">
        <f aca="false">(M291+L291)*(M290-L290)/2</f>
        <v>272.44</v>
      </c>
      <c r="M292" s="369" t="n">
        <f aca="false">(N291+M291)*(N290-M290)/2</f>
        <v>98.01</v>
      </c>
      <c r="N292" s="369" t="n">
        <f aca="false">(O291+N291)*(O290-N290)/2</f>
        <v>127.58</v>
      </c>
      <c r="O292" s="369" t="n">
        <f aca="false">(P291+O291)*(P290-O290)/2</f>
        <v>61.2699999999998</v>
      </c>
      <c r="P292" s="369" t="n">
        <f aca="false">(Q291+P291)*(Q290-P290)/2</f>
        <v>51.1875000000004</v>
      </c>
      <c r="Q292" s="369" t="n">
        <f aca="false">(R291+Q291)*(R290-Q290)/2</f>
        <v>57.1139999999996</v>
      </c>
      <c r="R292" s="369" t="n">
        <f aca="false">(S291+R291)*(S290-R290)/2</f>
        <v>34.2950000000002</v>
      </c>
      <c r="S292" s="369" t="n">
        <f aca="false">(T291+S291)*(T290-S290)/2</f>
        <v>22.5719999999999</v>
      </c>
      <c r="T292" s="369" t="n">
        <f aca="false">(U291+T291)*(U290-T290)/2</f>
        <v>8.68400000000001</v>
      </c>
      <c r="U292" s="369" t="n">
        <f aca="false">(V291+U291)*(V290-U290)/2</f>
        <v>3.29500000000005</v>
      </c>
      <c r="V292" s="369" t="n">
        <f aca="false">(W291+V291)*(W290-V290)/2</f>
        <v>0.95099999999998</v>
      </c>
      <c r="W292" s="369" t="n">
        <f aca="false">(X291+W291)*(X290-W290)/2</f>
        <v>0.200999999999996</v>
      </c>
      <c r="X292" s="369" t="n">
        <f aca="false">(Y291+X291)*(Y290-X290)/2</f>
        <v>0</v>
      </c>
      <c r="Y292" s="354"/>
    </row>
    <row r="293" customFormat="false" ht="12.75" hidden="false" customHeight="false" outlineLevel="0" collapsed="false">
      <c r="B293" s="355"/>
      <c r="C293" s="355"/>
      <c r="D293" s="355"/>
      <c r="E293" s="355"/>
      <c r="F293" s="355"/>
      <c r="G293" s="355"/>
      <c r="H293" s="355"/>
      <c r="I293" s="355"/>
      <c r="J293" s="355"/>
      <c r="K293" s="355"/>
      <c r="L293" s="355"/>
      <c r="M293" s="355"/>
      <c r="N293" s="355"/>
      <c r="O293" s="355"/>
      <c r="P293" s="355"/>
      <c r="Q293" s="355"/>
      <c r="R293" s="355"/>
      <c r="S293" s="355"/>
      <c r="T293" s="355"/>
      <c r="U293" s="355"/>
      <c r="V293" s="355"/>
      <c r="W293" s="355"/>
      <c r="X293" s="355"/>
      <c r="Y293" s="355"/>
    </row>
    <row r="294" customFormat="false" ht="13.5" hidden="false" customHeight="false" outlineLevel="0" collapsed="false">
      <c r="A294" s="357" t="s">
        <v>297</v>
      </c>
      <c r="B294" s="358" t="n">
        <f aca="false">ROW(A294)</f>
        <v>294</v>
      </c>
      <c r="C294" s="340" t="s">
        <v>212</v>
      </c>
      <c r="D294" s="341" t="n">
        <f aca="false">SUM(B297:Y297)</f>
        <v>5322.281316</v>
      </c>
      <c r="E294" s="340" t="s">
        <v>213</v>
      </c>
      <c r="F294" s="342" t="n">
        <f aca="false">D294/g/J294</f>
        <v>210.041162103189</v>
      </c>
      <c r="G294" s="340" t="s">
        <v>214</v>
      </c>
      <c r="H294" s="359" t="n">
        <v>4.977</v>
      </c>
      <c r="I294" s="340" t="s">
        <v>225</v>
      </c>
      <c r="J294" s="343" t="n">
        <f aca="false">H294-L294</f>
        <v>2.583</v>
      </c>
      <c r="K294" s="340" t="s">
        <v>226</v>
      </c>
      <c r="L294" s="359" t="n">
        <v>2.394</v>
      </c>
      <c r="M294" s="340" t="s">
        <v>217</v>
      </c>
      <c r="N294" s="360" t="n">
        <v>197</v>
      </c>
      <c r="O294" s="340" t="s">
        <v>218</v>
      </c>
      <c r="P294" s="360" t="n">
        <v>197</v>
      </c>
      <c r="Q294" s="340" t="s">
        <v>219</v>
      </c>
      <c r="R294" s="360" t="n">
        <v>394</v>
      </c>
      <c r="S294" s="340" t="s">
        <v>220</v>
      </c>
      <c r="T294" s="360" t="n">
        <v>98</v>
      </c>
      <c r="U294" s="340" t="s">
        <v>8</v>
      </c>
      <c r="V294" s="361" t="s">
        <v>78</v>
      </c>
      <c r="W294" s="355"/>
      <c r="X294" s="355"/>
      <c r="Y294" s="355"/>
    </row>
    <row r="295" customFormat="false" ht="12" hidden="false" customHeight="false" outlineLevel="0" collapsed="false">
      <c r="A295" s="338" t="s">
        <v>227</v>
      </c>
      <c r="B295" s="362" t="n">
        <v>0</v>
      </c>
      <c r="C295" s="363" t="n">
        <v>0.037</v>
      </c>
      <c r="D295" s="363" t="n">
        <v>0.121</v>
      </c>
      <c r="E295" s="363" t="n">
        <v>0.328</v>
      </c>
      <c r="F295" s="363" t="n">
        <v>1.299</v>
      </c>
      <c r="G295" s="363" t="n">
        <v>1.545</v>
      </c>
      <c r="H295" s="363" t="n">
        <v>1.797</v>
      </c>
      <c r="I295" s="363" t="n">
        <v>1.998</v>
      </c>
      <c r="J295" s="363" t="n">
        <v>2.208</v>
      </c>
      <c r="K295" s="363" t="n">
        <v>2.462</v>
      </c>
      <c r="L295" s="363" t="n">
        <v>2.782</v>
      </c>
      <c r="M295" s="363" t="n">
        <v>3.086</v>
      </c>
      <c r="N295" s="363" t="n">
        <v>3.213</v>
      </c>
      <c r="O295" s="363" t="n">
        <v>3.258</v>
      </c>
      <c r="P295" s="363" t="n">
        <v>3.328</v>
      </c>
      <c r="Q295" s="363" t="n">
        <v>3.383</v>
      </c>
      <c r="R295" s="363" t="n">
        <v>3.428</v>
      </c>
      <c r="S295" s="363" t="n">
        <v>3.5</v>
      </c>
      <c r="T295" s="363" t="n">
        <v>3.5</v>
      </c>
      <c r="U295" s="363" t="n">
        <v>3.5</v>
      </c>
      <c r="V295" s="363" t="n">
        <v>3.5</v>
      </c>
      <c r="W295" s="363" t="n">
        <v>3.5</v>
      </c>
      <c r="X295" s="363" t="n">
        <v>3.5</v>
      </c>
      <c r="Y295" s="350" t="n">
        <v>1000</v>
      </c>
    </row>
    <row r="296" customFormat="false" ht="12" hidden="false" customHeight="false" outlineLevel="0" collapsed="false">
      <c r="A296" s="364" t="s">
        <v>228</v>
      </c>
      <c r="B296" s="365" t="n">
        <v>0</v>
      </c>
      <c r="C296" s="366" t="n">
        <v>1474.12</v>
      </c>
      <c r="D296" s="366" t="n">
        <v>1436.5</v>
      </c>
      <c r="E296" s="366" t="n">
        <v>1523.49</v>
      </c>
      <c r="F296" s="366" t="n">
        <v>1775.06</v>
      </c>
      <c r="G296" s="366" t="n">
        <v>1807.97</v>
      </c>
      <c r="H296" s="366" t="n">
        <v>1807.97</v>
      </c>
      <c r="I296" s="366" t="n">
        <v>1786.81</v>
      </c>
      <c r="J296" s="366" t="n">
        <v>1737.44</v>
      </c>
      <c r="K296" s="366" t="n">
        <v>1572.86</v>
      </c>
      <c r="L296" s="366" t="n">
        <v>1415.34</v>
      </c>
      <c r="M296" s="366" t="n">
        <v>1309.55</v>
      </c>
      <c r="N296" s="366" t="n">
        <v>1290.74</v>
      </c>
      <c r="O296" s="366" t="n">
        <v>1309.55</v>
      </c>
      <c r="P296" s="366" t="n">
        <v>679.459</v>
      </c>
      <c r="Q296" s="366" t="n">
        <v>173.979</v>
      </c>
      <c r="R296" s="366" t="n">
        <v>68.181</v>
      </c>
      <c r="S296" s="366" t="n">
        <v>0</v>
      </c>
      <c r="T296" s="366" t="n">
        <v>0</v>
      </c>
      <c r="U296" s="366" t="n">
        <v>0</v>
      </c>
      <c r="V296" s="366" t="n">
        <v>0</v>
      </c>
      <c r="W296" s="366" t="n">
        <v>0</v>
      </c>
      <c r="X296" s="366" t="n">
        <v>0</v>
      </c>
      <c r="Y296" s="367" t="n">
        <v>0</v>
      </c>
    </row>
    <row r="297" customFormat="false" ht="12.75" hidden="false" customHeight="false" outlineLevel="0" collapsed="false">
      <c r="A297" s="351" t="s">
        <v>229</v>
      </c>
      <c r="B297" s="368" t="n">
        <f aca="false">(C296+B296)*(C295-B295)/2</f>
        <v>27.27122</v>
      </c>
      <c r="C297" s="369" t="n">
        <f aca="false">(D296+C296)*(D295-C295)/2</f>
        <v>122.24604</v>
      </c>
      <c r="D297" s="369" t="n">
        <f aca="false">(E296+D296)*(E295-D295)/2</f>
        <v>306.358965</v>
      </c>
      <c r="E297" s="369" t="n">
        <f aca="false">(F296+E296)*(F295-E295)/2</f>
        <v>1601.446025</v>
      </c>
      <c r="F297" s="369" t="n">
        <f aca="false">(G296+F296)*(G295-F295)/2</f>
        <v>440.71269</v>
      </c>
      <c r="G297" s="369" t="n">
        <f aca="false">(H296+G296)*(H295-G295)/2</f>
        <v>455.60844</v>
      </c>
      <c r="H297" s="369" t="n">
        <f aca="false">(I296+H296)*(I295-H295)/2</f>
        <v>361.27539</v>
      </c>
      <c r="I297" s="369" t="n">
        <f aca="false">(J296+I296)*(J295-I295)/2</f>
        <v>370.04625</v>
      </c>
      <c r="J297" s="369" t="n">
        <f aca="false">(K296+J296)*(K295-J295)/2</f>
        <v>420.4081</v>
      </c>
      <c r="K297" s="369" t="n">
        <f aca="false">(L296+K296)*(L295-K295)/2</f>
        <v>478.112</v>
      </c>
      <c r="L297" s="369" t="n">
        <f aca="false">(M296+L296)*(M295-L295)/2</f>
        <v>414.18328</v>
      </c>
      <c r="M297" s="369" t="n">
        <f aca="false">(N296+M296)*(N295-M295)/2</f>
        <v>165.118415</v>
      </c>
      <c r="N297" s="369" t="n">
        <f aca="false">(O296+N296)*(O295-N295)/2</f>
        <v>58.5065249999999</v>
      </c>
      <c r="O297" s="369" t="n">
        <f aca="false">(P296+O296)*(P295-O295)/2</f>
        <v>69.6153149999998</v>
      </c>
      <c r="P297" s="369" t="n">
        <f aca="false">(Q296+P296)*(Q295-P295)/2</f>
        <v>23.4695450000001</v>
      </c>
      <c r="Q297" s="369" t="n">
        <f aca="false">(R296+Q296)*(R295-Q295)/2</f>
        <v>5.44859999999999</v>
      </c>
      <c r="R297" s="369" t="n">
        <f aca="false">(S296+R296)*(S295-R295)/2</f>
        <v>2.454516</v>
      </c>
      <c r="S297" s="369" t="n">
        <f aca="false">(T296+S296)*(T295-S295)/2</f>
        <v>0</v>
      </c>
      <c r="T297" s="369" t="n">
        <f aca="false">(U296+T296)*(U295-T295)/2</f>
        <v>0</v>
      </c>
      <c r="U297" s="369" t="n">
        <f aca="false">(V296+U296)*(V295-U295)/2</f>
        <v>0</v>
      </c>
      <c r="V297" s="369" t="n">
        <f aca="false">(W296+V296)*(W295-V295)/2</f>
        <v>0</v>
      </c>
      <c r="W297" s="369" t="n">
        <f aca="false">(X296+W296)*(X295-W295)/2</f>
        <v>0</v>
      </c>
      <c r="X297" s="369" t="n">
        <f aca="false">(Y296+X296)*(Y295-X295)/2</f>
        <v>0</v>
      </c>
      <c r="Y297" s="354"/>
    </row>
    <row r="298" customFormat="false" ht="12.75" hidden="false" customHeight="false" outlineLevel="0" collapsed="false">
      <c r="A298" s="355"/>
      <c r="L298" s="355"/>
      <c r="M298" s="355"/>
      <c r="N298" s="355"/>
      <c r="O298" s="355"/>
      <c r="P298" s="355"/>
      <c r="Q298" s="355"/>
      <c r="R298" s="355"/>
      <c r="S298" s="355"/>
      <c r="T298" s="355"/>
      <c r="U298" s="355"/>
      <c r="V298" s="355"/>
      <c r="W298" s="355"/>
      <c r="X298" s="355"/>
      <c r="Y298" s="355"/>
    </row>
    <row r="299" customFormat="false" ht="13.5" hidden="false" customHeight="false" outlineLevel="0" collapsed="false">
      <c r="A299" s="357" t="s">
        <v>298</v>
      </c>
      <c r="B299" s="358" t="n">
        <f aca="false">ROW(A299)</f>
        <v>299</v>
      </c>
      <c r="C299" s="340" t="s">
        <v>212</v>
      </c>
      <c r="D299" s="341" t="n">
        <f aca="false">SUM(B302:Y302)</f>
        <v>7412.437141</v>
      </c>
      <c r="E299" s="340" t="s">
        <v>213</v>
      </c>
      <c r="F299" s="342" t="n">
        <f aca="false">D299/g/J299</f>
        <v>223.28608637999</v>
      </c>
      <c r="G299" s="340" t="s">
        <v>214</v>
      </c>
      <c r="H299" s="359" t="n">
        <v>6.25</v>
      </c>
      <c r="I299" s="340" t="s">
        <v>225</v>
      </c>
      <c r="J299" s="343" t="n">
        <f aca="false">H299-L299</f>
        <v>3.384</v>
      </c>
      <c r="K299" s="340" t="s">
        <v>226</v>
      </c>
      <c r="L299" s="359" t="n">
        <v>2.866</v>
      </c>
      <c r="M299" s="340" t="s">
        <v>217</v>
      </c>
      <c r="N299" s="360" t="n">
        <v>290</v>
      </c>
      <c r="O299" s="340" t="s">
        <v>218</v>
      </c>
      <c r="P299" s="360" t="n">
        <v>290</v>
      </c>
      <c r="Q299" s="340" t="s">
        <v>219</v>
      </c>
      <c r="R299" s="360" t="n">
        <v>579</v>
      </c>
      <c r="S299" s="340" t="s">
        <v>220</v>
      </c>
      <c r="T299" s="360" t="n">
        <v>98</v>
      </c>
      <c r="U299" s="340" t="s">
        <v>8</v>
      </c>
      <c r="V299" s="361" t="s">
        <v>78</v>
      </c>
      <c r="W299" s="355"/>
      <c r="X299" s="355"/>
      <c r="Y299" s="355"/>
    </row>
    <row r="300" customFormat="false" ht="12" hidden="false" customHeight="false" outlineLevel="0" collapsed="false">
      <c r="A300" s="338" t="s">
        <v>227</v>
      </c>
      <c r="B300" s="362" t="n">
        <v>0</v>
      </c>
      <c r="C300" s="363" t="n">
        <v>0.017</v>
      </c>
      <c r="D300" s="363" t="n">
        <v>0.052</v>
      </c>
      <c r="E300" s="363" t="n">
        <v>0.088</v>
      </c>
      <c r="F300" s="363" t="n">
        <v>0.108</v>
      </c>
      <c r="G300" s="363" t="n">
        <v>0.127</v>
      </c>
      <c r="H300" s="363" t="n">
        <v>0.174</v>
      </c>
      <c r="I300" s="363" t="n">
        <v>0.257</v>
      </c>
      <c r="J300" s="363" t="n">
        <v>0.403</v>
      </c>
      <c r="K300" s="363" t="n">
        <v>0.762</v>
      </c>
      <c r="L300" s="363" t="n">
        <v>0.977</v>
      </c>
      <c r="M300" s="363" t="n">
        <v>1.341</v>
      </c>
      <c r="N300" s="363" t="n">
        <v>1.501</v>
      </c>
      <c r="O300" s="363" t="n">
        <v>1.661</v>
      </c>
      <c r="P300" s="363" t="n">
        <v>1.96</v>
      </c>
      <c r="Q300" s="363" t="n">
        <v>2.404</v>
      </c>
      <c r="R300" s="363" t="n">
        <v>2.641</v>
      </c>
      <c r="S300" s="363" t="n">
        <v>2.716</v>
      </c>
      <c r="T300" s="363" t="n">
        <v>2.821</v>
      </c>
      <c r="U300" s="363" t="n">
        <v>2.892</v>
      </c>
      <c r="V300" s="363" t="n">
        <v>2.92</v>
      </c>
      <c r="W300" s="363" t="n">
        <v>2.97</v>
      </c>
      <c r="X300" s="363" t="n">
        <v>3</v>
      </c>
      <c r="Y300" s="350" t="n">
        <v>1000</v>
      </c>
    </row>
    <row r="301" customFormat="false" ht="12" hidden="false" customHeight="false" outlineLevel="0" collapsed="false">
      <c r="A301" s="364" t="s">
        <v>228</v>
      </c>
      <c r="B301" s="365" t="n">
        <v>0</v>
      </c>
      <c r="C301" s="366" t="n">
        <v>329.847</v>
      </c>
      <c r="D301" s="366" t="n">
        <v>1003.68</v>
      </c>
      <c r="E301" s="366" t="n">
        <v>2346.62</v>
      </c>
      <c r="F301" s="366" t="n">
        <v>2549.24</v>
      </c>
      <c r="G301" s="366" t="n">
        <v>2605.79</v>
      </c>
      <c r="H301" s="366" t="n">
        <v>2520.97</v>
      </c>
      <c r="I301" s="366" t="n">
        <v>2516.26</v>
      </c>
      <c r="J301" s="366" t="n">
        <v>2596.37</v>
      </c>
      <c r="K301" s="366" t="n">
        <v>2808.41</v>
      </c>
      <c r="L301" s="366" t="n">
        <v>2954.49</v>
      </c>
      <c r="M301" s="366" t="n">
        <v>2959.2</v>
      </c>
      <c r="N301" s="366" t="n">
        <v>2907.36</v>
      </c>
      <c r="O301" s="366" t="n">
        <v>2869.67</v>
      </c>
      <c r="P301" s="366" t="n">
        <v>2695.32</v>
      </c>
      <c r="Q301" s="366" t="n">
        <v>2351.34</v>
      </c>
      <c r="R301" s="366" t="n">
        <v>2228.82</v>
      </c>
      <c r="S301" s="366" t="n">
        <v>2007.35</v>
      </c>
      <c r="T301" s="366" t="n">
        <v>1427.77</v>
      </c>
      <c r="U301" s="366" t="n">
        <v>504.194</v>
      </c>
      <c r="V301" s="366" t="n">
        <v>334.559</v>
      </c>
      <c r="W301" s="366" t="n">
        <v>122.515</v>
      </c>
      <c r="X301" s="366" t="n">
        <v>0</v>
      </c>
      <c r="Y301" s="367" t="n">
        <v>0</v>
      </c>
    </row>
    <row r="302" customFormat="false" ht="12.75" hidden="false" customHeight="false" outlineLevel="0" collapsed="false">
      <c r="A302" s="351" t="s">
        <v>229</v>
      </c>
      <c r="B302" s="368" t="n">
        <f aca="false">(C301+B301)*(C300-B300)/2</f>
        <v>2.8036995</v>
      </c>
      <c r="C302" s="369" t="n">
        <f aca="false">(D301+C301)*(D300-C300)/2</f>
        <v>23.3367225</v>
      </c>
      <c r="D302" s="369" t="n">
        <f aca="false">(E301+D301)*(E300-D300)/2</f>
        <v>60.3054</v>
      </c>
      <c r="E302" s="369" t="n">
        <f aca="false">(F301+E301)*(F300-E300)/2</f>
        <v>48.9586</v>
      </c>
      <c r="F302" s="369" t="n">
        <f aca="false">(G301+F301)*(G300-F300)/2</f>
        <v>48.972785</v>
      </c>
      <c r="G302" s="369" t="n">
        <f aca="false">(H301+G301)*(H300-G300)/2</f>
        <v>120.47886</v>
      </c>
      <c r="H302" s="369" t="n">
        <f aca="false">(I301+H301)*(I300-H300)/2</f>
        <v>209.045045</v>
      </c>
      <c r="I302" s="369" t="n">
        <f aca="false">(J301+I301)*(J300-I300)/2</f>
        <v>373.22199</v>
      </c>
      <c r="J302" s="369" t="n">
        <f aca="false">(K301+J301)*(K300-J300)/2</f>
        <v>970.15801</v>
      </c>
      <c r="K302" s="369" t="n">
        <f aca="false">(L301+K301)*(L300-K300)/2</f>
        <v>619.51175</v>
      </c>
      <c r="L302" s="369" t="n">
        <f aca="false">(M301+L301)*(M300-L300)/2</f>
        <v>1076.29158</v>
      </c>
      <c r="M302" s="369" t="n">
        <f aca="false">(N301+M301)*(N300-M300)/2</f>
        <v>469.3248</v>
      </c>
      <c r="N302" s="369" t="n">
        <f aca="false">(O301+N301)*(O300-N300)/2</f>
        <v>462.1624</v>
      </c>
      <c r="O302" s="369" t="n">
        <f aca="false">(P301+O301)*(P300-O300)/2</f>
        <v>831.966005</v>
      </c>
      <c r="P302" s="369" t="n">
        <f aca="false">(Q301+P301)*(Q300-P300)/2</f>
        <v>1120.35852</v>
      </c>
      <c r="Q302" s="369" t="n">
        <f aca="false">(R301+Q301)*(R300-Q300)/2</f>
        <v>542.74896</v>
      </c>
      <c r="R302" s="369" t="n">
        <f aca="false">(S301+R301)*(S300-R300)/2</f>
        <v>158.856375</v>
      </c>
      <c r="S302" s="369" t="n">
        <f aca="false">(T301+S301)*(T300-S300)/2</f>
        <v>180.3438</v>
      </c>
      <c r="T302" s="369" t="n">
        <f aca="false">(U301+T301)*(U300-T300)/2</f>
        <v>68.5847219999997</v>
      </c>
      <c r="U302" s="369" t="n">
        <f aca="false">(V301+U301)*(V300-U300)/2</f>
        <v>11.742542</v>
      </c>
      <c r="V302" s="369" t="n">
        <f aca="false">(W301+V301)*(W300-V300)/2</f>
        <v>11.4268500000001</v>
      </c>
      <c r="W302" s="369" t="n">
        <f aca="false">(X301+W301)*(X300-W300)/2</f>
        <v>1.83772499999999</v>
      </c>
      <c r="X302" s="369" t="n">
        <f aca="false">(Y301+X301)*(Y300-X300)/2</f>
        <v>0</v>
      </c>
      <c r="Y302" s="354"/>
    </row>
    <row r="303" customFormat="false" ht="12.75" hidden="false" customHeight="false" outlineLevel="0" collapsed="false">
      <c r="B303" s="355"/>
      <c r="C303" s="355"/>
      <c r="D303" s="355"/>
      <c r="E303" s="355"/>
      <c r="F303" s="355"/>
      <c r="G303" s="355"/>
      <c r="H303" s="355"/>
      <c r="I303" s="355"/>
      <c r="J303" s="355"/>
      <c r="K303" s="355"/>
      <c r="L303" s="355"/>
      <c r="M303" s="355"/>
      <c r="N303" s="355"/>
      <c r="O303" s="355"/>
      <c r="P303" s="355"/>
      <c r="Q303" s="355"/>
      <c r="R303" s="355"/>
      <c r="S303" s="355"/>
      <c r="T303" s="355"/>
      <c r="U303" s="355"/>
      <c r="V303" s="355"/>
      <c r="W303" s="355"/>
      <c r="X303" s="355"/>
      <c r="Y303" s="355"/>
    </row>
    <row r="304" customFormat="false" ht="13.5" hidden="false" customHeight="false" outlineLevel="0" collapsed="false">
      <c r="A304" s="357" t="s">
        <v>299</v>
      </c>
      <c r="B304" s="358" t="n">
        <f aca="false">ROW(A304)</f>
        <v>304</v>
      </c>
      <c r="C304" s="340" t="s">
        <v>212</v>
      </c>
      <c r="D304" s="341" t="n">
        <f aca="false">SUM(B307:Y307)</f>
        <v>17734.9773505</v>
      </c>
      <c r="E304" s="340" t="s">
        <v>213</v>
      </c>
      <c r="F304" s="342" t="n">
        <f aca="false">D304/g/J304</f>
        <v>192.734203061799</v>
      </c>
      <c r="G304" s="340" t="s">
        <v>214</v>
      </c>
      <c r="H304" s="359" t="n">
        <v>14.748</v>
      </c>
      <c r="I304" s="340" t="s">
        <v>225</v>
      </c>
      <c r="J304" s="343" t="n">
        <f aca="false">H304-L304</f>
        <v>9.38</v>
      </c>
      <c r="K304" s="340" t="s">
        <v>226</v>
      </c>
      <c r="L304" s="359" t="n">
        <v>5.368</v>
      </c>
      <c r="M304" s="340" t="s">
        <v>217</v>
      </c>
      <c r="N304" s="360" t="n">
        <v>500</v>
      </c>
      <c r="O304" s="340" t="s">
        <v>218</v>
      </c>
      <c r="P304" s="360" t="n">
        <v>500</v>
      </c>
      <c r="Q304" s="340" t="s">
        <v>219</v>
      </c>
      <c r="R304" s="360" t="n">
        <v>1046</v>
      </c>
      <c r="S304" s="340" t="s">
        <v>220</v>
      </c>
      <c r="T304" s="360" t="n">
        <v>98</v>
      </c>
      <c r="U304" s="340" t="s">
        <v>8</v>
      </c>
      <c r="V304" s="361" t="s">
        <v>78</v>
      </c>
      <c r="W304" s="355"/>
      <c r="X304" s="355"/>
      <c r="Y304" s="355"/>
    </row>
    <row r="305" customFormat="false" ht="12" hidden="false" customHeight="false" outlineLevel="0" collapsed="false">
      <c r="A305" s="338" t="s">
        <v>227</v>
      </c>
      <c r="B305" s="362" t="n">
        <v>0</v>
      </c>
      <c r="C305" s="363" t="n">
        <v>0.003</v>
      </c>
      <c r="D305" s="363" t="n">
        <v>0.05</v>
      </c>
      <c r="E305" s="363" t="n">
        <v>0.078</v>
      </c>
      <c r="F305" s="363" t="n">
        <v>0.121</v>
      </c>
      <c r="G305" s="363" t="n">
        <v>0.652</v>
      </c>
      <c r="H305" s="363" t="n">
        <v>1.123</v>
      </c>
      <c r="I305" s="363" t="n">
        <v>1.655</v>
      </c>
      <c r="J305" s="363" t="n">
        <v>2.353</v>
      </c>
      <c r="K305" s="363" t="n">
        <v>3.035</v>
      </c>
      <c r="L305" s="363" t="n">
        <v>3.7</v>
      </c>
      <c r="M305" s="363" t="n">
        <v>3.733</v>
      </c>
      <c r="N305" s="363" t="n">
        <v>3.887</v>
      </c>
      <c r="O305" s="363" t="n">
        <v>4.036</v>
      </c>
      <c r="P305" s="363" t="n">
        <v>4.197</v>
      </c>
      <c r="Q305" s="363" t="n">
        <v>4.262</v>
      </c>
      <c r="R305" s="363" t="n">
        <v>4.3</v>
      </c>
      <c r="S305" s="363" t="n">
        <v>5</v>
      </c>
      <c r="T305" s="363" t="n">
        <v>5</v>
      </c>
      <c r="U305" s="363" t="n">
        <v>5</v>
      </c>
      <c r="V305" s="363" t="n">
        <v>5</v>
      </c>
      <c r="W305" s="363" t="n">
        <v>5</v>
      </c>
      <c r="X305" s="363" t="n">
        <v>5</v>
      </c>
      <c r="Y305" s="350" t="n">
        <v>1000</v>
      </c>
    </row>
    <row r="306" customFormat="false" ht="12" hidden="false" customHeight="false" outlineLevel="0" collapsed="false">
      <c r="A306" s="364" t="s">
        <v>228</v>
      </c>
      <c r="B306" s="365" t="n">
        <v>0</v>
      </c>
      <c r="C306" s="366" t="n">
        <v>203.877</v>
      </c>
      <c r="D306" s="366" t="n">
        <v>2362.879</v>
      </c>
      <c r="E306" s="366" t="n">
        <v>3946.845</v>
      </c>
      <c r="F306" s="366" t="n">
        <v>4281.412</v>
      </c>
      <c r="G306" s="366" t="n">
        <v>4370.281</v>
      </c>
      <c r="H306" s="366" t="n">
        <v>4453.923</v>
      </c>
      <c r="I306" s="366" t="n">
        <v>4772.807</v>
      </c>
      <c r="J306" s="366" t="n">
        <v>4621.206</v>
      </c>
      <c r="K306" s="366" t="n">
        <v>4511.427</v>
      </c>
      <c r="L306" s="366" t="n">
        <v>4375.509</v>
      </c>
      <c r="M306" s="366" t="n">
        <v>4182.087</v>
      </c>
      <c r="N306" s="366" t="n">
        <v>2969.282</v>
      </c>
      <c r="O306" s="366" t="n">
        <v>1589.193</v>
      </c>
      <c r="P306" s="366" t="n">
        <v>533.216</v>
      </c>
      <c r="Q306" s="366" t="n">
        <v>240.47</v>
      </c>
      <c r="R306" s="366" t="n">
        <v>0</v>
      </c>
      <c r="S306" s="366" t="n">
        <v>0</v>
      </c>
      <c r="T306" s="366" t="n">
        <v>0</v>
      </c>
      <c r="U306" s="366" t="n">
        <v>0</v>
      </c>
      <c r="V306" s="366" t="n">
        <v>0</v>
      </c>
      <c r="W306" s="366" t="n">
        <v>0</v>
      </c>
      <c r="X306" s="366" t="n">
        <v>0</v>
      </c>
      <c r="Y306" s="367" t="n">
        <v>0</v>
      </c>
    </row>
    <row r="307" customFormat="false" ht="12.75" hidden="false" customHeight="false" outlineLevel="0" collapsed="false">
      <c r="A307" s="351" t="s">
        <v>229</v>
      </c>
      <c r="B307" s="368" t="n">
        <f aca="false">(C306+B306)*(C305-B305)/2</f>
        <v>0.3058155</v>
      </c>
      <c r="C307" s="369" t="n">
        <f aca="false">(D306+C306)*(D305-C305)/2</f>
        <v>60.318766</v>
      </c>
      <c r="D307" s="369" t="n">
        <f aca="false">(E306+D306)*(E305-D305)/2</f>
        <v>88.336136</v>
      </c>
      <c r="E307" s="369" t="n">
        <f aca="false">(F306+E306)*(F305-E305)/2</f>
        <v>176.9075255</v>
      </c>
      <c r="F307" s="369" t="n">
        <f aca="false">(G306+F306)*(G305-F305)/2</f>
        <v>2297.0244915</v>
      </c>
      <c r="G307" s="369" t="n">
        <f aca="false">(H306+G306)*(H305-G305)/2</f>
        <v>2078.100042</v>
      </c>
      <c r="H307" s="369" t="n">
        <f aca="false">(I306+H306)*(I305-H305)/2</f>
        <v>2454.31018</v>
      </c>
      <c r="I307" s="369" t="n">
        <f aca="false">(J306+I306)*(J305-I305)/2</f>
        <v>3278.510537</v>
      </c>
      <c r="J307" s="369" t="n">
        <f aca="false">(K306+J306)*(K305-J305)/2</f>
        <v>3114.227853</v>
      </c>
      <c r="K307" s="369" t="n">
        <f aca="false">(L306+K306)*(L305-K305)/2</f>
        <v>2954.90622</v>
      </c>
      <c r="L307" s="369" t="n">
        <f aca="false">(M306+L306)*(M305-L305)/2</f>
        <v>141.200334</v>
      </c>
      <c r="M307" s="369" t="n">
        <f aca="false">(N306+M306)*(N305-M305)/2</f>
        <v>550.655413</v>
      </c>
      <c r="N307" s="369" t="n">
        <f aca="false">(O306+N306)*(O305-N305)/2</f>
        <v>339.606387499999</v>
      </c>
      <c r="O307" s="369" t="n">
        <f aca="false">(P306+O306)*(P305-O305)/2</f>
        <v>170.853924500001</v>
      </c>
      <c r="P307" s="369" t="n">
        <f aca="false">(Q306+P306)*(Q305-P305)/2</f>
        <v>25.1447949999998</v>
      </c>
      <c r="Q307" s="369" t="n">
        <f aca="false">(R306+Q306)*(R305-Q305)/2</f>
        <v>4.56893000000003</v>
      </c>
      <c r="R307" s="369" t="n">
        <f aca="false">(S306+R306)*(S305-R305)/2</f>
        <v>0</v>
      </c>
      <c r="S307" s="369" t="n">
        <f aca="false">(T306+S306)*(T305-S305)/2</f>
        <v>0</v>
      </c>
      <c r="T307" s="369" t="n">
        <f aca="false">(U306+T306)*(U305-T305)/2</f>
        <v>0</v>
      </c>
      <c r="U307" s="369" t="n">
        <f aca="false">(V306+U306)*(V305-U305)/2</f>
        <v>0</v>
      </c>
      <c r="V307" s="369" t="n">
        <f aca="false">(W306+V306)*(W305-V305)/2</f>
        <v>0</v>
      </c>
      <c r="W307" s="369" t="n">
        <f aca="false">(X306+W306)*(X305-W305)/2</f>
        <v>0</v>
      </c>
      <c r="X307" s="369" t="n">
        <f aca="false">(Y306+X306)*(Y305-X305)/2</f>
        <v>0</v>
      </c>
      <c r="Y307" s="354"/>
    </row>
    <row r="308" customFormat="false" ht="12.75" hidden="false" customHeight="false" outlineLevel="0" collapsed="false">
      <c r="B308" s="355"/>
      <c r="C308" s="355"/>
      <c r="D308" s="355"/>
      <c r="E308" s="355"/>
      <c r="F308" s="355"/>
      <c r="G308" s="355"/>
      <c r="H308" s="355"/>
      <c r="I308" s="355"/>
      <c r="J308" s="355"/>
      <c r="K308" s="355"/>
      <c r="L308" s="355"/>
      <c r="M308" s="355"/>
      <c r="N308" s="355"/>
      <c r="O308" s="355"/>
      <c r="P308" s="355"/>
      <c r="Q308" s="355"/>
      <c r="R308" s="355"/>
      <c r="S308" s="355"/>
      <c r="T308" s="355"/>
      <c r="U308" s="355"/>
      <c r="V308" s="355"/>
      <c r="W308" s="355"/>
      <c r="X308" s="355"/>
      <c r="Y308" s="355"/>
    </row>
    <row r="309" customFormat="false" ht="13.5" hidden="false" customHeight="false" outlineLevel="0" collapsed="false">
      <c r="A309" s="357" t="s">
        <v>300</v>
      </c>
      <c r="B309" s="358" t="n">
        <f aca="false">ROW(A309)</f>
        <v>309</v>
      </c>
      <c r="C309" s="340" t="s">
        <v>212</v>
      </c>
      <c r="D309" s="341" t="n">
        <f aca="false">SUM(B312:Y312)</f>
        <v>0.001</v>
      </c>
      <c r="E309" s="340" t="s">
        <v>213</v>
      </c>
      <c r="F309" s="342" t="n">
        <f aca="false">D309/g/J309</f>
        <v>1.01936799184506</v>
      </c>
      <c r="G309" s="340" t="s">
        <v>214</v>
      </c>
      <c r="H309" s="359" t="n">
        <v>0.0001</v>
      </c>
      <c r="I309" s="340" t="s">
        <v>225</v>
      </c>
      <c r="J309" s="343" t="n">
        <f aca="false">H309-L309</f>
        <v>0.0001</v>
      </c>
      <c r="K309" s="340" t="s">
        <v>226</v>
      </c>
      <c r="L309" s="359" t="n">
        <v>0</v>
      </c>
      <c r="M309" s="340" t="s">
        <v>217</v>
      </c>
      <c r="N309" s="360" t="n">
        <v>0</v>
      </c>
      <c r="O309" s="340" t="s">
        <v>218</v>
      </c>
      <c r="P309" s="360" t="n">
        <v>0</v>
      </c>
      <c r="Q309" s="340" t="s">
        <v>219</v>
      </c>
      <c r="R309" s="360" t="n">
        <v>0</v>
      </c>
      <c r="S309" s="340" t="s">
        <v>220</v>
      </c>
      <c r="T309" s="360" t="n">
        <v>0</v>
      </c>
      <c r="U309" s="340" t="s">
        <v>8</v>
      </c>
      <c r="V309" s="361" t="s">
        <v>78</v>
      </c>
      <c r="W309" s="355"/>
      <c r="X309" s="355"/>
      <c r="Y309" s="355"/>
    </row>
    <row r="310" customFormat="false" ht="12" hidden="false" customHeight="false" outlineLevel="0" collapsed="false">
      <c r="A310" s="338" t="s">
        <v>227</v>
      </c>
      <c r="B310" s="362" t="n">
        <v>0</v>
      </c>
      <c r="C310" s="363" t="n">
        <v>0.1</v>
      </c>
      <c r="D310" s="363" t="n">
        <v>0.2</v>
      </c>
      <c r="E310" s="363" t="n">
        <v>1</v>
      </c>
      <c r="F310" s="363" t="n">
        <v>1</v>
      </c>
      <c r="G310" s="363" t="n">
        <v>1</v>
      </c>
      <c r="H310" s="363" t="n">
        <v>1</v>
      </c>
      <c r="I310" s="363" t="n">
        <v>1</v>
      </c>
      <c r="J310" s="363" t="n">
        <v>1</v>
      </c>
      <c r="K310" s="363" t="n">
        <v>1</v>
      </c>
      <c r="L310" s="363" t="n">
        <v>1</v>
      </c>
      <c r="M310" s="363" t="n">
        <v>1</v>
      </c>
      <c r="N310" s="363" t="n">
        <v>1</v>
      </c>
      <c r="O310" s="363" t="n">
        <v>1</v>
      </c>
      <c r="P310" s="363" t="n">
        <v>1</v>
      </c>
      <c r="Q310" s="363" t="n">
        <v>1</v>
      </c>
      <c r="R310" s="363" t="n">
        <v>1</v>
      </c>
      <c r="S310" s="363" t="n">
        <v>1</v>
      </c>
      <c r="T310" s="363" t="n">
        <v>1</v>
      </c>
      <c r="U310" s="363" t="n">
        <v>1</v>
      </c>
      <c r="V310" s="363" t="n">
        <v>1</v>
      </c>
      <c r="W310" s="363" t="n">
        <v>1</v>
      </c>
      <c r="X310" s="363" t="n">
        <v>1</v>
      </c>
      <c r="Y310" s="350" t="n">
        <v>1000</v>
      </c>
    </row>
    <row r="311" customFormat="false" ht="12" hidden="false" customHeight="false" outlineLevel="0" collapsed="false">
      <c r="A311" s="364" t="s">
        <v>228</v>
      </c>
      <c r="B311" s="365" t="n">
        <v>0</v>
      </c>
      <c r="C311" s="366" t="n">
        <v>0.01</v>
      </c>
      <c r="D311" s="366" t="n">
        <v>0</v>
      </c>
      <c r="E311" s="366" t="n">
        <v>0</v>
      </c>
      <c r="F311" s="366" t="n">
        <v>0</v>
      </c>
      <c r="G311" s="366" t="n">
        <v>0</v>
      </c>
      <c r="H311" s="366" t="n">
        <v>0</v>
      </c>
      <c r="I311" s="366" t="n">
        <v>0</v>
      </c>
      <c r="J311" s="366" t="n">
        <v>0</v>
      </c>
      <c r="K311" s="366" t="n">
        <v>0</v>
      </c>
      <c r="L311" s="366" t="n">
        <v>0</v>
      </c>
      <c r="M311" s="366" t="n">
        <v>0</v>
      </c>
      <c r="N311" s="366" t="n">
        <v>0</v>
      </c>
      <c r="O311" s="366" t="n">
        <v>0</v>
      </c>
      <c r="P311" s="366" t="n">
        <v>0</v>
      </c>
      <c r="Q311" s="366" t="n">
        <v>0</v>
      </c>
      <c r="R311" s="366" t="n">
        <v>0</v>
      </c>
      <c r="S311" s="366" t="n">
        <v>0</v>
      </c>
      <c r="T311" s="366" t="n">
        <v>0</v>
      </c>
      <c r="U311" s="366" t="n">
        <v>0</v>
      </c>
      <c r="V311" s="366" t="n">
        <v>0</v>
      </c>
      <c r="W311" s="366" t="n">
        <v>0</v>
      </c>
      <c r="X311" s="366" t="n">
        <v>0</v>
      </c>
      <c r="Y311" s="367" t="n">
        <v>0</v>
      </c>
    </row>
    <row r="312" customFormat="false" ht="12.75" hidden="false" customHeight="false" outlineLevel="0" collapsed="false">
      <c r="A312" s="351" t="s">
        <v>229</v>
      </c>
      <c r="B312" s="368" t="n">
        <f aca="false">(C311+B311)*(C310-B310)/2</f>
        <v>0.0005</v>
      </c>
      <c r="C312" s="369" t="n">
        <f aca="false">(D311+C311)*(D310-C310)/2</f>
        <v>0.0005</v>
      </c>
      <c r="D312" s="369" t="n">
        <f aca="false">(E311+D311)*(E310-D310)/2</f>
        <v>0</v>
      </c>
      <c r="E312" s="369" t="n">
        <f aca="false">(F311+E311)*(F310-E310)/2</f>
        <v>0</v>
      </c>
      <c r="F312" s="369" t="n">
        <f aca="false">(G311+F311)*(G310-F310)/2</f>
        <v>0</v>
      </c>
      <c r="G312" s="369" t="n">
        <f aca="false">(H311+G311)*(H310-G310)/2</f>
        <v>0</v>
      </c>
      <c r="H312" s="369" t="n">
        <f aca="false">(I311+H311)*(I310-H310)/2</f>
        <v>0</v>
      </c>
      <c r="I312" s="369" t="n">
        <f aca="false">(J311+I311)*(J310-I310)/2</f>
        <v>0</v>
      </c>
      <c r="J312" s="369" t="n">
        <f aca="false">(K311+J311)*(K310-J310)/2</f>
        <v>0</v>
      </c>
      <c r="K312" s="369" t="n">
        <f aca="false">(L311+K311)*(L310-K310)/2</f>
        <v>0</v>
      </c>
      <c r="L312" s="369" t="n">
        <f aca="false">(M311+L311)*(M310-L310)/2</f>
        <v>0</v>
      </c>
      <c r="M312" s="369" t="n">
        <f aca="false">(N311+M311)*(N310-M310)/2</f>
        <v>0</v>
      </c>
      <c r="N312" s="369" t="n">
        <f aca="false">(O311+N311)*(O310-N310)/2</f>
        <v>0</v>
      </c>
      <c r="O312" s="369" t="n">
        <f aca="false">(P311+O311)*(P310-O310)/2</f>
        <v>0</v>
      </c>
      <c r="P312" s="369" t="n">
        <f aca="false">(Q311+P311)*(Q310-P310)/2</f>
        <v>0</v>
      </c>
      <c r="Q312" s="369" t="n">
        <f aca="false">(R311+Q311)*(R310-Q310)/2</f>
        <v>0</v>
      </c>
      <c r="R312" s="369" t="n">
        <f aca="false">(S311+R311)*(S310-R310)/2</f>
        <v>0</v>
      </c>
      <c r="S312" s="369" t="n">
        <f aca="false">(T311+S311)*(T310-S310)/2</f>
        <v>0</v>
      </c>
      <c r="T312" s="369" t="n">
        <f aca="false">(U311+T311)*(U310-T310)/2</f>
        <v>0</v>
      </c>
      <c r="U312" s="369" t="n">
        <f aca="false">(V311+U311)*(V310-U310)/2</f>
        <v>0</v>
      </c>
      <c r="V312" s="369" t="n">
        <f aca="false">(W311+V311)*(W310-V310)/2</f>
        <v>0</v>
      </c>
      <c r="W312" s="369" t="n">
        <f aca="false">(X311+W311)*(X310-W310)/2</f>
        <v>0</v>
      </c>
      <c r="X312" s="369" t="n">
        <f aca="false">(Y311+X311)*(Y310-X310)/2</f>
        <v>0</v>
      </c>
      <c r="Y312" s="354"/>
    </row>
    <row r="314" customFormat="false" ht="12" hidden="false" customHeight="false" outlineLevel="0" collapsed="false">
      <c r="B314" s="355"/>
      <c r="C314" s="355"/>
      <c r="D314" s="355"/>
      <c r="E314" s="355"/>
      <c r="F314" s="355"/>
      <c r="G314" s="355"/>
      <c r="H314" s="355"/>
      <c r="I314" s="355"/>
      <c r="J314" s="355"/>
      <c r="K314" s="355"/>
      <c r="L314" s="355"/>
      <c r="M314" s="355"/>
      <c r="N314" s="355"/>
      <c r="O314" s="355"/>
      <c r="P314" s="355"/>
      <c r="Q314" s="355"/>
      <c r="R314" s="355"/>
      <c r="S314" s="355"/>
      <c r="T314" s="355"/>
      <c r="U314" s="355"/>
      <c r="V314" s="355"/>
      <c r="W314" s="355"/>
      <c r="X314" s="355"/>
      <c r="Y314" s="355"/>
    </row>
    <row r="316" customFormat="false" ht="12" hidden="false" customHeight="false" outlineLevel="0" collapsed="false">
      <c r="A316" s="386" t="str">
        <f aca="false">IF(Lang="Français","Liste des propu affichés :","Motor list (shown):")</f>
        <v>Liste des propu affichés :</v>
      </c>
      <c r="C316" s="387" t="s">
        <v>223</v>
      </c>
      <c r="D316" s="387"/>
      <c r="F316" s="387" t="s">
        <v>237</v>
      </c>
      <c r="G316" s="387"/>
      <c r="H316" s="388"/>
      <c r="I316" s="387" t="s">
        <v>26</v>
      </c>
      <c r="J316" s="387"/>
      <c r="K316" s="388"/>
      <c r="L316" s="387" t="s">
        <v>301</v>
      </c>
      <c r="M316" s="387"/>
      <c r="O316" s="387" t="s">
        <v>82</v>
      </c>
      <c r="P316" s="387"/>
      <c r="R316" s="387" t="s">
        <v>78</v>
      </c>
      <c r="S316" s="387"/>
    </row>
    <row r="317" customFormat="false" ht="12" hidden="false" customHeight="false" outlineLevel="0" collapsed="false">
      <c r="A317" s="389" t="str">
        <f aca="false" t="array" ref="A317:A346">IF(RIGHT(Type_fusee,1)=".",Liste_fusex, IF(LEFT(Type_fusee,4)="Mini",Liste_minif, IF(LEFT(Type_fusee,5)="Micro",Liste_µfu, IF(RIGHT(Type_fusee,1)=" ",Liste_H2O, IF(LEFT(Type_fusee,1)="R",Liste_RC, IF(LEFT(Type_fusee,1)=",",Liste_minifT))))))</f>
        <v>Barasinga (Pro54-5G C)</v>
      </c>
      <c r="C317" s="390" t="str">
        <f aca="false">A26</f>
        <v>H2O 1.5L 300g 6bar</v>
      </c>
      <c r="D317" s="390"/>
      <c r="F317" s="390" t="str">
        <f aca="false">A67</f>
        <v>µ-propu A8-3</v>
      </c>
      <c r="G317" s="390"/>
      <c r="H317" s="391"/>
      <c r="I317" s="392" t="str">
        <f aca="false">A148</f>
        <v>p29-1G 56F31</v>
      </c>
      <c r="J317" s="392"/>
      <c r="K317" s="391"/>
      <c r="L317" s="392" t="str">
        <f aca="false">A148</f>
        <v>p29-1G 56F31</v>
      </c>
      <c r="M317" s="392"/>
      <c r="O317" s="390" t="str">
        <f aca="false">A108</f>
        <v>p24-1G 24E22</v>
      </c>
      <c r="P317" s="390"/>
      <c r="R317" s="390" t="str">
        <f aca="false">A279</f>
        <v>Barasinga (Pro54-5G C)</v>
      </c>
      <c r="S317" s="390"/>
    </row>
    <row r="318" customFormat="false" ht="12" hidden="false" customHeight="false" outlineLevel="0" collapsed="false">
      <c r="A318" s="389" t="str">
        <v>Orignal (Pro75-3G C)</v>
      </c>
      <c r="C318" s="390" t="str">
        <f aca="false">A31</f>
        <v>H2O 1.5L 450g 6bar</v>
      </c>
      <c r="D318" s="390"/>
      <c r="F318" s="390" t="str">
        <f aca="false">A72</f>
        <v>µ-propu B4-4</v>
      </c>
      <c r="G318" s="390"/>
      <c r="H318" s="391"/>
      <c r="I318" s="392" t="str">
        <f aca="false">A153</f>
        <v>p29-1G 56F120</v>
      </c>
      <c r="J318" s="392"/>
      <c r="K318" s="391"/>
      <c r="L318" s="392" t="str">
        <f aca="false">A153</f>
        <v>p29-1G 56F120</v>
      </c>
      <c r="M318" s="392"/>
      <c r="O318" s="390" t="str">
        <f aca="false">A113</f>
        <v>p24-1G 25E75 (Rufina)</v>
      </c>
      <c r="P318" s="390"/>
      <c r="R318" s="390" t="str">
        <f aca="false">A289</f>
        <v>Orignal (Pro75-3G C)</v>
      </c>
      <c r="S318" s="390"/>
    </row>
    <row r="319" customFormat="false" ht="12" hidden="false" customHeight="false" outlineLevel="0" collapsed="false">
      <c r="A319" s="389" t="str">
        <v> </v>
      </c>
      <c r="C319" s="390" t="str">
        <f aca="false">A36</f>
        <v>H2O 1.5L 600g 6bar</v>
      </c>
      <c r="D319" s="390"/>
      <c r="F319" s="390" t="str">
        <f aca="false">A77</f>
        <v>µ-propu C6-3</v>
      </c>
      <c r="G319" s="390"/>
      <c r="H319" s="391"/>
      <c r="I319" s="392" t="str">
        <f aca="false">A158</f>
        <v>p29-1G 57F59</v>
      </c>
      <c r="J319" s="392"/>
      <c r="K319" s="391"/>
      <c r="L319" s="392" t="str">
        <f aca="false">A158</f>
        <v>p29-1G 57F59</v>
      </c>
      <c r="M319" s="392"/>
      <c r="O319" s="390" t="str">
        <f aca="false">A118</f>
        <v>p24-1G 26E31</v>
      </c>
      <c r="P319" s="390"/>
      <c r="R319" s="390" t="s">
        <v>93</v>
      </c>
      <c r="S319" s="390"/>
    </row>
    <row r="320" customFormat="false" ht="12" hidden="false" customHeight="false" outlineLevel="0" collapsed="false">
      <c r="A320" s="389" t="str">
        <v> </v>
      </c>
      <c r="C320" s="390" t="str">
        <f aca="false">A41</f>
        <v>H2O 1.5L 750g 6bar</v>
      </c>
      <c r="D320" s="390"/>
      <c r="F320" s="390" t="str">
        <f aca="false">A82</f>
        <v>µ-propu C6-3 x2</v>
      </c>
      <c r="G320" s="390"/>
      <c r="H320" s="391"/>
      <c r="I320" s="392" t="str">
        <f aca="false">A183</f>
        <v>p24-3G 74F85</v>
      </c>
      <c r="J320" s="392"/>
      <c r="K320" s="391"/>
      <c r="L320" s="392" t="str">
        <f aca="false">A228</f>
        <v>p29-2G 116G126</v>
      </c>
      <c r="M320" s="392"/>
      <c r="O320" s="390" t="str">
        <f aca="false">A123</f>
        <v>p24-2G 50E51</v>
      </c>
      <c r="P320" s="390"/>
      <c r="R320" s="390" t="s">
        <v>93</v>
      </c>
      <c r="S320" s="390"/>
    </row>
    <row r="321" customFormat="false" ht="12" hidden="false" customHeight="false" outlineLevel="0" collapsed="false">
      <c r="A321" s="389" t="str">
        <v> </v>
      </c>
      <c r="C321" s="390" t="str">
        <f aca="false">A46</f>
        <v>H2O 2.0L 400g 6bar</v>
      </c>
      <c r="D321" s="390"/>
      <c r="F321" s="390" t="str">
        <f aca="false">A87</f>
        <v>µ-propu C6-3 x3</v>
      </c>
      <c r="G321" s="390"/>
      <c r="H321" s="391"/>
      <c r="I321" s="392" t="str">
        <f aca="false">A188</f>
        <v>p24-3G 75F51</v>
      </c>
      <c r="J321" s="392"/>
      <c r="K321" s="391"/>
      <c r="L321" s="392" t="s">
        <v>93</v>
      </c>
      <c r="M321" s="392"/>
      <c r="O321" s="390" t="str">
        <f aca="false">A128</f>
        <v>p24-1G 53E70</v>
      </c>
      <c r="P321" s="390"/>
      <c r="R321" s="390" t="s">
        <v>93</v>
      </c>
      <c r="S321" s="390"/>
    </row>
    <row r="322" customFormat="false" ht="12" hidden="false" customHeight="false" outlineLevel="0" collapsed="false">
      <c r="A322" s="389" t="str">
        <v> </v>
      </c>
      <c r="C322" s="390" t="str">
        <f aca="false">A51</f>
        <v>H2O 2.0L 600g 6bar</v>
      </c>
      <c r="D322" s="390"/>
      <c r="F322" s="390" t="s">
        <v>93</v>
      </c>
      <c r="G322" s="390"/>
      <c r="H322" s="391"/>
      <c r="I322" s="392" t="s">
        <v>93</v>
      </c>
      <c r="J322" s="392"/>
      <c r="K322" s="391"/>
      <c r="L322" s="390" t="str">
        <f aca="false">A198</f>
        <v>Pandora (Pro24-6G BS)</v>
      </c>
      <c r="M322" s="390"/>
      <c r="O322" s="390" t="str">
        <f aca="false">A133</f>
        <v>p29-1G 41F36</v>
      </c>
      <c r="P322" s="390"/>
      <c r="R322" s="390" t="s">
        <v>93</v>
      </c>
      <c r="S322" s="390"/>
    </row>
    <row r="323" customFormat="false" ht="12" hidden="false" customHeight="false" outlineLevel="0" collapsed="false">
      <c r="A323" s="389" t="str">
        <v> </v>
      </c>
      <c r="C323" s="390" t="str">
        <f aca="false">A56</f>
        <v>H2O 2.0L 800g 6bar</v>
      </c>
      <c r="D323" s="390"/>
      <c r="F323" s="390" t="s">
        <v>93</v>
      </c>
      <c r="G323" s="390"/>
      <c r="H323" s="391"/>
      <c r="I323" s="392" t="s">
        <v>93</v>
      </c>
      <c r="J323" s="392"/>
      <c r="K323" s="391"/>
      <c r="L323" s="390" t="s">
        <v>93</v>
      </c>
      <c r="M323" s="390"/>
      <c r="O323" s="390" t="str">
        <f aca="false">A138</f>
        <v>p29-1G 51F36</v>
      </c>
      <c r="P323" s="390"/>
      <c r="R323" s="390" t="s">
        <v>93</v>
      </c>
      <c r="S323" s="390"/>
    </row>
    <row r="324" customFormat="false" ht="12" hidden="false" customHeight="false" outlineLevel="0" collapsed="false">
      <c r="A324" s="389" t="str">
        <v> </v>
      </c>
      <c r="C324" s="390" t="str">
        <f aca="false">A61</f>
        <v>H2O 2.0L 1000g 6bar</v>
      </c>
      <c r="D324" s="390"/>
      <c r="F324" s="390" t="s">
        <v>93</v>
      </c>
      <c r="G324" s="390"/>
      <c r="H324" s="391"/>
      <c r="I324" s="392" t="s">
        <v>93</v>
      </c>
      <c r="J324" s="392"/>
      <c r="K324" s="391"/>
      <c r="L324" s="390" t="str">
        <f aca="false">A92</f>
        <v>Klima D9-7</v>
      </c>
      <c r="M324" s="390"/>
      <c r="O324" s="390" t="str">
        <f aca="false">A143</f>
        <v>p29-1G 55F29</v>
      </c>
      <c r="P324" s="390"/>
      <c r="R324" s="390" t="s">
        <v>93</v>
      </c>
      <c r="S324" s="390"/>
    </row>
    <row r="325" customFormat="false" ht="12" hidden="false" customHeight="false" outlineLevel="0" collapsed="false">
      <c r="A325" s="389" t="str">
        <v> </v>
      </c>
      <c r="C325" s="390" t="s">
        <v>93</v>
      </c>
      <c r="D325" s="390"/>
      <c r="F325" s="390" t="s">
        <v>93</v>
      </c>
      <c r="G325" s="390"/>
      <c r="H325" s="391"/>
      <c r="I325" s="392" t="s">
        <v>93</v>
      </c>
      <c r="J325" s="392"/>
      <c r="K325" s="391"/>
      <c r="L325" s="390" t="str">
        <f aca="false">A97</f>
        <v>Klima D9-7 x2</v>
      </c>
      <c r="M325" s="390"/>
      <c r="O325" s="390" t="str">
        <f aca="false">A153</f>
        <v>p29-1G 56F120</v>
      </c>
      <c r="P325" s="390"/>
      <c r="R325" s="390" t="s">
        <v>93</v>
      </c>
      <c r="S325" s="390"/>
    </row>
    <row r="326" customFormat="false" ht="12" hidden="false" customHeight="false" outlineLevel="0" collapsed="false">
      <c r="A326" s="389" t="str">
        <v> </v>
      </c>
      <c r="C326" s="390" t="s">
        <v>93</v>
      </c>
      <c r="D326" s="390"/>
      <c r="F326" s="390" t="s">
        <v>93</v>
      </c>
      <c r="G326" s="390"/>
      <c r="H326" s="391"/>
      <c r="I326" s="392" t="s">
        <v>93</v>
      </c>
      <c r="J326" s="392"/>
      <c r="K326" s="391"/>
      <c r="L326" s="390" t="str">
        <f aca="false">A102</f>
        <v>Klima D9-7 x3</v>
      </c>
      <c r="M326" s="390"/>
      <c r="O326" s="390" t="str">
        <f aca="false">A158</f>
        <v>p29-1G 57F59</v>
      </c>
      <c r="P326" s="390"/>
      <c r="R326" s="390" t="s">
        <v>93</v>
      </c>
      <c r="S326" s="390"/>
    </row>
    <row r="327" customFormat="false" ht="12" hidden="false" customHeight="false" outlineLevel="0" collapsed="false">
      <c r="A327" s="389" t="str">
        <v> </v>
      </c>
      <c r="C327" s="390" t="s">
        <v>93</v>
      </c>
      <c r="D327" s="390"/>
      <c r="F327" s="390" t="s">
        <v>93</v>
      </c>
      <c r="G327" s="390"/>
      <c r="H327" s="391"/>
      <c r="I327" s="392" t="s">
        <v>93</v>
      </c>
      <c r="J327" s="392"/>
      <c r="K327" s="391"/>
      <c r="L327" s="390" t="s">
        <v>93</v>
      </c>
      <c r="M327" s="390"/>
      <c r="O327" s="390" t="str">
        <f aca="false">A163</f>
        <v>p24-3G 60F50</v>
      </c>
      <c r="P327" s="390"/>
      <c r="R327" s="390" t="s">
        <v>93</v>
      </c>
      <c r="S327" s="390"/>
    </row>
    <row r="328" customFormat="false" ht="12" hidden="false" customHeight="false" outlineLevel="0" collapsed="false">
      <c r="A328" s="389" t="str">
        <v> </v>
      </c>
      <c r="C328" s="390" t="s">
        <v>93</v>
      </c>
      <c r="D328" s="390"/>
      <c r="F328" s="390" t="s">
        <v>93</v>
      </c>
      <c r="G328" s="390"/>
      <c r="H328" s="391"/>
      <c r="I328" s="392" t="s">
        <v>93</v>
      </c>
      <c r="J328" s="392"/>
      <c r="K328" s="391"/>
      <c r="L328" s="390" t="s">
        <v>93</v>
      </c>
      <c r="M328" s="390"/>
      <c r="O328" s="390" t="str">
        <f aca="false">A168</f>
        <v>p24-3G 68F79</v>
      </c>
      <c r="P328" s="390"/>
      <c r="R328" s="390" t="s">
        <v>93</v>
      </c>
      <c r="S328" s="390"/>
    </row>
    <row r="329" customFormat="false" ht="12" hidden="false" customHeight="false" outlineLevel="0" collapsed="false">
      <c r="A329" s="389" t="str">
        <v> </v>
      </c>
      <c r="C329" s="390" t="s">
        <v>93</v>
      </c>
      <c r="D329" s="390"/>
      <c r="F329" s="390" t="s">
        <v>93</v>
      </c>
      <c r="G329" s="390"/>
      <c r="H329" s="391"/>
      <c r="I329" s="392" t="s">
        <v>93</v>
      </c>
      <c r="J329" s="392"/>
      <c r="K329" s="391"/>
      <c r="L329" s="390" t="s">
        <v>93</v>
      </c>
      <c r="M329" s="390"/>
      <c r="O329" s="390" t="str">
        <f aca="false">A173</f>
        <v>p24-3G 68F240</v>
      </c>
      <c r="P329" s="390"/>
      <c r="R329" s="390" t="s">
        <v>93</v>
      </c>
      <c r="S329" s="390"/>
    </row>
    <row r="330" customFormat="false" ht="12" hidden="false" customHeight="false" outlineLevel="0" collapsed="false">
      <c r="A330" s="389" t="str">
        <v> </v>
      </c>
      <c r="C330" s="390" t="s">
        <v>93</v>
      </c>
      <c r="D330" s="390"/>
      <c r="F330" s="390" t="s">
        <v>93</v>
      </c>
      <c r="G330" s="390"/>
      <c r="H330" s="391"/>
      <c r="I330" s="392" t="s">
        <v>93</v>
      </c>
      <c r="J330" s="392"/>
      <c r="K330" s="391"/>
      <c r="L330" s="390" t="s">
        <v>93</v>
      </c>
      <c r="M330" s="390"/>
      <c r="O330" s="390" t="str">
        <f aca="false">A178</f>
        <v>p24-3G 73F30</v>
      </c>
      <c r="P330" s="390"/>
      <c r="R330" s="390" t="s">
        <v>93</v>
      </c>
      <c r="S330" s="390"/>
    </row>
    <row r="331" customFormat="false" ht="12" hidden="false" customHeight="false" outlineLevel="0" collapsed="false">
      <c r="A331" s="389" t="str">
        <v> </v>
      </c>
      <c r="C331" s="390" t="s">
        <v>93</v>
      </c>
      <c r="D331" s="390"/>
      <c r="F331" s="390" t="s">
        <v>93</v>
      </c>
      <c r="G331" s="390"/>
      <c r="H331" s="391"/>
      <c r="I331" s="390" t="s">
        <v>93</v>
      </c>
      <c r="J331" s="390"/>
      <c r="K331" s="391"/>
      <c r="L331" s="390" t="s">
        <v>93</v>
      </c>
      <c r="M331" s="390"/>
      <c r="O331" s="390" t="str">
        <f aca="false">A183</f>
        <v>p24-3G 74F85</v>
      </c>
      <c r="P331" s="390"/>
      <c r="R331" s="390" t="s">
        <v>93</v>
      </c>
      <c r="S331" s="390"/>
    </row>
    <row r="332" customFormat="false" ht="12" hidden="false" customHeight="false" outlineLevel="0" collapsed="false">
      <c r="A332" s="393" t="str">
        <v> </v>
      </c>
      <c r="C332" s="394" t="s">
        <v>93</v>
      </c>
      <c r="D332" s="394"/>
      <c r="F332" s="394" t="s">
        <v>93</v>
      </c>
      <c r="G332" s="394"/>
      <c r="H332" s="391"/>
      <c r="I332" s="394" t="s">
        <v>93</v>
      </c>
      <c r="J332" s="394"/>
      <c r="K332" s="391"/>
      <c r="L332" s="394" t="s">
        <v>93</v>
      </c>
      <c r="M332" s="394"/>
      <c r="O332" s="390" t="str">
        <f aca="false">A188</f>
        <v>p24-3G 75F51</v>
      </c>
      <c r="P332" s="390"/>
      <c r="R332" s="394" t="s">
        <v>93</v>
      </c>
      <c r="S332" s="394"/>
    </row>
    <row r="333" customFormat="false" ht="12" hidden="false" customHeight="false" outlineLevel="0" collapsed="false">
      <c r="A333" s="389" t="str">
        <v> </v>
      </c>
      <c r="C333" s="395" t="s">
        <v>93</v>
      </c>
      <c r="D333" s="395"/>
      <c r="F333" s="395" t="s">
        <v>93</v>
      </c>
      <c r="G333" s="395"/>
      <c r="I333" s="396" t="s">
        <v>93</v>
      </c>
      <c r="J333" s="396"/>
      <c r="L333" s="396" t="s">
        <v>93</v>
      </c>
      <c r="M333" s="396"/>
      <c r="O333" s="390" t="str">
        <f aca="false">A213</f>
        <v>p29-2G 84G88</v>
      </c>
      <c r="P333" s="390"/>
      <c r="R333" s="397" t="s">
        <v>93</v>
      </c>
      <c r="S333" s="397"/>
    </row>
    <row r="334" customFormat="false" ht="12" hidden="false" customHeight="false" outlineLevel="0" collapsed="false">
      <c r="A334" s="398" t="str">
        <v>Isard</v>
      </c>
      <c r="C334" s="399" t="s">
        <v>93</v>
      </c>
      <c r="D334" s="399"/>
      <c r="F334" s="399" t="s">
        <v>93</v>
      </c>
      <c r="G334" s="399"/>
      <c r="I334" s="396" t="s">
        <v>93</v>
      </c>
      <c r="J334" s="396"/>
      <c r="L334" s="396" t="s">
        <v>93</v>
      </c>
      <c r="M334" s="396"/>
      <c r="O334" s="390" t="str">
        <f aca="false">A218</f>
        <v>p29-2G 93G80</v>
      </c>
      <c r="P334" s="390"/>
      <c r="R334" s="400" t="str">
        <f aca="false">A269</f>
        <v>Isard</v>
      </c>
      <c r="S334" s="400"/>
    </row>
    <row r="335" customFormat="false" ht="12" hidden="false" customHeight="false" outlineLevel="0" collapsed="false">
      <c r="A335" s="398" t="str">
        <v>Chamois</v>
      </c>
      <c r="C335" s="399" t="s">
        <v>93</v>
      </c>
      <c r="D335" s="399"/>
      <c r="F335" s="399" t="s">
        <v>93</v>
      </c>
      <c r="G335" s="399"/>
      <c r="I335" s="396" t="s">
        <v>93</v>
      </c>
      <c r="J335" s="396"/>
      <c r="L335" s="396" t="s">
        <v>93</v>
      </c>
      <c r="M335" s="396"/>
      <c r="O335" s="390" t="str">
        <f aca="false">A223</f>
        <v>p29-2G 110G250</v>
      </c>
      <c r="P335" s="390"/>
      <c r="R335" s="400" t="str">
        <f aca="false">A274</f>
        <v>Chamois</v>
      </c>
      <c r="S335" s="400"/>
    </row>
    <row r="336" customFormat="false" ht="12" hidden="false" customHeight="false" outlineLevel="0" collapsed="false">
      <c r="A336" s="398" t="str">
        <v>Pro75-2G</v>
      </c>
      <c r="C336" s="399" t="s">
        <v>93</v>
      </c>
      <c r="D336" s="399"/>
      <c r="F336" s="399" t="s">
        <v>93</v>
      </c>
      <c r="G336" s="399"/>
      <c r="I336" s="396" t="s">
        <v>93</v>
      </c>
      <c r="J336" s="396"/>
      <c r="L336" s="396" t="s">
        <v>93</v>
      </c>
      <c r="M336" s="396"/>
      <c r="O336" s="390" t="str">
        <f aca="false">A228</f>
        <v>p29-2G 116G126</v>
      </c>
      <c r="P336" s="390"/>
      <c r="R336" s="400" t="str">
        <f aca="false">A284</f>
        <v>Pro75-2G</v>
      </c>
      <c r="S336" s="400"/>
    </row>
    <row r="337" customFormat="false" ht="12" hidden="false" customHeight="false" outlineLevel="0" collapsed="false">
      <c r="A337" s="398" t="str">
        <v>Pro98-2G WT</v>
      </c>
      <c r="C337" s="399" t="s">
        <v>93</v>
      </c>
      <c r="D337" s="399"/>
      <c r="F337" s="399" t="s">
        <v>93</v>
      </c>
      <c r="G337" s="399"/>
      <c r="I337" s="396" t="s">
        <v>93</v>
      </c>
      <c r="J337" s="396"/>
      <c r="L337" s="396" t="s">
        <v>93</v>
      </c>
      <c r="M337" s="396"/>
      <c r="O337" s="390" t="str">
        <f aca="false">A233</f>
        <v>p29-3G 125G131</v>
      </c>
      <c r="P337" s="390"/>
      <c r="R337" s="400" t="str">
        <f aca="false">A294</f>
        <v>Pro98-2G WT</v>
      </c>
      <c r="S337" s="400"/>
    </row>
    <row r="338" customFormat="false" ht="12" hidden="false" customHeight="false" outlineLevel="0" collapsed="false">
      <c r="A338" s="398" t="str">
        <v>Pro98-3G WT</v>
      </c>
      <c r="C338" s="399" t="s">
        <v>93</v>
      </c>
      <c r="D338" s="399"/>
      <c r="F338" s="399" t="s">
        <v>93</v>
      </c>
      <c r="G338" s="399"/>
      <c r="I338" s="396" t="s">
        <v>93</v>
      </c>
      <c r="J338" s="396"/>
      <c r="L338" s="396" t="s">
        <v>93</v>
      </c>
      <c r="M338" s="396"/>
      <c r="O338" s="390" t="str">
        <f aca="false">A248</f>
        <v>p38-1G 128G185</v>
      </c>
      <c r="P338" s="390"/>
      <c r="R338" s="400" t="str">
        <f aca="false">A299</f>
        <v>Pro98-3G WT</v>
      </c>
      <c r="S338" s="400"/>
    </row>
    <row r="339" customFormat="false" ht="12" hidden="false" customHeight="false" outlineLevel="0" collapsed="false">
      <c r="A339" s="398" t="str">
        <v>Aucun (2e ét. inerte)</v>
      </c>
      <c r="C339" s="399" t="s">
        <v>93</v>
      </c>
      <c r="D339" s="399"/>
      <c r="F339" s="399" t="s">
        <v>93</v>
      </c>
      <c r="G339" s="399"/>
      <c r="I339" s="396" t="s">
        <v>93</v>
      </c>
      <c r="J339" s="396"/>
      <c r="L339" s="396" t="s">
        <v>93</v>
      </c>
      <c r="M339" s="396"/>
      <c r="O339" s="390" t="str">
        <f aca="false">A243</f>
        <v>p38-1G 137G58</v>
      </c>
      <c r="P339" s="390"/>
      <c r="R339" s="400" t="str">
        <f aca="false">A309</f>
        <v>Aucun (2e ét. inerte)</v>
      </c>
      <c r="S339" s="400"/>
    </row>
    <row r="340" customFormat="false" ht="12" hidden="false" customHeight="false" outlineLevel="0" collapsed="false">
      <c r="A340" s="398" t="str">
        <v> </v>
      </c>
      <c r="C340" s="399" t="s">
        <v>93</v>
      </c>
      <c r="D340" s="399"/>
      <c r="F340" s="399" t="s">
        <v>93</v>
      </c>
      <c r="G340" s="399"/>
      <c r="I340" s="396" t="s">
        <v>93</v>
      </c>
      <c r="J340" s="396"/>
      <c r="L340" s="396" t="s">
        <v>93</v>
      </c>
      <c r="M340" s="396"/>
      <c r="O340" s="390" t="str">
        <f aca="false">A253</f>
        <v>p38-1G 141G78</v>
      </c>
      <c r="P340" s="390"/>
      <c r="R340" s="401" t="s">
        <v>93</v>
      </c>
      <c r="S340" s="401"/>
    </row>
    <row r="341" customFormat="false" ht="12" hidden="false" customHeight="false" outlineLevel="0" collapsed="false">
      <c r="A341" s="398" t="str">
        <v> </v>
      </c>
      <c r="C341" s="399" t="s">
        <v>93</v>
      </c>
      <c r="D341" s="399"/>
      <c r="F341" s="399" t="s">
        <v>93</v>
      </c>
      <c r="G341" s="399"/>
      <c r="I341" s="402" t="s">
        <v>93</v>
      </c>
      <c r="J341" s="402"/>
      <c r="L341" s="396" t="s">
        <v>93</v>
      </c>
      <c r="M341" s="396"/>
      <c r="O341" s="390" t="str">
        <f aca="false">A193</f>
        <v>p24-6G 140G145 PK</v>
      </c>
      <c r="P341" s="390"/>
      <c r="R341" s="399" t="s">
        <v>93</v>
      </c>
      <c r="S341" s="399"/>
    </row>
    <row r="342" customFormat="false" ht="12" hidden="false" customHeight="false" outlineLevel="0" collapsed="false">
      <c r="A342" s="398" t="str">
        <v> </v>
      </c>
      <c r="C342" s="399" t="s">
        <v>93</v>
      </c>
      <c r="D342" s="399"/>
      <c r="F342" s="399" t="s">
        <v>93</v>
      </c>
      <c r="G342" s="399"/>
      <c r="I342" s="402" t="s">
        <v>93</v>
      </c>
      <c r="J342" s="402"/>
      <c r="L342" s="396" t="s">
        <v>93</v>
      </c>
      <c r="M342" s="396"/>
      <c r="O342" s="390" t="str">
        <f aca="false">A198</f>
        <v>Pandora (Pro24-6G BS)</v>
      </c>
      <c r="P342" s="390"/>
      <c r="R342" s="399" t="s">
        <v>93</v>
      </c>
      <c r="S342" s="399"/>
    </row>
    <row r="343" customFormat="false" ht="12" hidden="false" customHeight="false" outlineLevel="0" collapsed="false">
      <c r="A343" s="398" t="str">
        <v> </v>
      </c>
      <c r="C343" s="399" t="s">
        <v>93</v>
      </c>
      <c r="D343" s="399"/>
      <c r="F343" s="399" t="s">
        <v>93</v>
      </c>
      <c r="G343" s="399"/>
      <c r="I343" s="402" t="s">
        <v>93</v>
      </c>
      <c r="J343" s="402"/>
      <c r="L343" s="402" t="s">
        <v>93</v>
      </c>
      <c r="M343" s="402"/>
      <c r="O343" s="392" t="str">
        <f aca="false">A203</f>
        <v>p24-6G 142G117 WT</v>
      </c>
      <c r="P343" s="392"/>
      <c r="R343" s="399" t="s">
        <v>93</v>
      </c>
      <c r="S343" s="399"/>
    </row>
    <row r="344" customFormat="false" ht="12" hidden="false" customHeight="false" outlineLevel="0" collapsed="false">
      <c r="A344" s="398" t="str">
        <v> </v>
      </c>
      <c r="C344" s="399" t="s">
        <v>93</v>
      </c>
      <c r="D344" s="399"/>
      <c r="F344" s="399" t="s">
        <v>93</v>
      </c>
      <c r="G344" s="399"/>
      <c r="I344" s="388" t="s">
        <v>93</v>
      </c>
      <c r="J344" s="388"/>
      <c r="L344" s="402" t="s">
        <v>93</v>
      </c>
      <c r="M344" s="402"/>
      <c r="O344" s="392" t="str">
        <f aca="false">A208</f>
        <v>p24-6G 139G107 DT</v>
      </c>
      <c r="P344" s="392"/>
      <c r="R344" s="399" t="s">
        <v>93</v>
      </c>
      <c r="S344" s="399"/>
    </row>
    <row r="345" customFormat="false" ht="12" hidden="false" customHeight="false" outlineLevel="0" collapsed="false">
      <c r="A345" s="398" t="str">
        <v> </v>
      </c>
      <c r="C345" s="399" t="s">
        <v>93</v>
      </c>
      <c r="D345" s="399"/>
      <c r="F345" s="399" t="s">
        <v>93</v>
      </c>
      <c r="G345" s="399"/>
      <c r="I345" s="399" t="s">
        <v>93</v>
      </c>
      <c r="J345" s="399"/>
      <c r="L345" s="402" t="s">
        <v>93</v>
      </c>
      <c r="M345" s="402"/>
      <c r="O345" s="392" t="str">
        <f aca="false">A263</f>
        <v>Cariacou</v>
      </c>
      <c r="P345" s="392"/>
      <c r="R345" s="399" t="s">
        <v>93</v>
      </c>
      <c r="S345" s="399"/>
    </row>
    <row r="346" customFormat="false" ht="12" hidden="false" customHeight="false" outlineLevel="0" collapsed="false">
      <c r="A346" s="403" t="str">
        <v> </v>
      </c>
      <c r="C346" s="399" t="s">
        <v>93</v>
      </c>
      <c r="D346" s="399"/>
      <c r="F346" s="399" t="s">
        <v>93</v>
      </c>
      <c r="G346" s="399"/>
      <c r="I346" s="399" t="s">
        <v>93</v>
      </c>
      <c r="J346" s="399"/>
      <c r="L346" s="388" t="s">
        <v>93</v>
      </c>
      <c r="M346" s="388"/>
      <c r="O346" s="404" t="str">
        <f aca="false">A258</f>
        <v>Wapiti</v>
      </c>
      <c r="P346" s="404"/>
      <c r="R346" s="399" t="s">
        <v>93</v>
      </c>
      <c r="S346" s="399"/>
    </row>
  </sheetData>
  <sheetProtection sheet="true" password="c6ac" objects="true" scenarios="true"/>
  <mergeCells count="186">
    <mergeCell ref="C316:D316"/>
    <mergeCell ref="F316:G316"/>
    <mergeCell ref="I316:J316"/>
    <mergeCell ref="L316:M316"/>
    <mergeCell ref="O316:P316"/>
    <mergeCell ref="R316:S316"/>
    <mergeCell ref="C317:D317"/>
    <mergeCell ref="F317:G317"/>
    <mergeCell ref="I317:J317"/>
    <mergeCell ref="L317:M317"/>
    <mergeCell ref="O317:P317"/>
    <mergeCell ref="R317:S317"/>
    <mergeCell ref="C318:D318"/>
    <mergeCell ref="F318:G318"/>
    <mergeCell ref="I318:J318"/>
    <mergeCell ref="L318:M318"/>
    <mergeCell ref="O318:P318"/>
    <mergeCell ref="R318:S318"/>
    <mergeCell ref="C319:D319"/>
    <mergeCell ref="F319:G319"/>
    <mergeCell ref="I319:J319"/>
    <mergeCell ref="L319:M319"/>
    <mergeCell ref="O319:P319"/>
    <mergeCell ref="R319:S319"/>
    <mergeCell ref="C320:D320"/>
    <mergeCell ref="F320:G320"/>
    <mergeCell ref="I320:J320"/>
    <mergeCell ref="L320:M320"/>
    <mergeCell ref="O320:P320"/>
    <mergeCell ref="R320:S320"/>
    <mergeCell ref="C321:D321"/>
    <mergeCell ref="F321:G321"/>
    <mergeCell ref="I321:J321"/>
    <mergeCell ref="L321:M321"/>
    <mergeCell ref="O321:P321"/>
    <mergeCell ref="R321:S321"/>
    <mergeCell ref="C322:D322"/>
    <mergeCell ref="F322:G322"/>
    <mergeCell ref="I322:J322"/>
    <mergeCell ref="L322:M322"/>
    <mergeCell ref="O322:P322"/>
    <mergeCell ref="R322:S322"/>
    <mergeCell ref="C323:D323"/>
    <mergeCell ref="F323:G323"/>
    <mergeCell ref="I323:J323"/>
    <mergeCell ref="L323:M323"/>
    <mergeCell ref="O323:P323"/>
    <mergeCell ref="R323:S323"/>
    <mergeCell ref="C324:D324"/>
    <mergeCell ref="F324:G324"/>
    <mergeCell ref="I324:J324"/>
    <mergeCell ref="L324:M324"/>
    <mergeCell ref="O324:P324"/>
    <mergeCell ref="R324:S324"/>
    <mergeCell ref="C325:D325"/>
    <mergeCell ref="F325:G325"/>
    <mergeCell ref="I325:J325"/>
    <mergeCell ref="L325:M325"/>
    <mergeCell ref="O325:P325"/>
    <mergeCell ref="R325:S325"/>
    <mergeCell ref="C326:D326"/>
    <mergeCell ref="F326:G326"/>
    <mergeCell ref="I326:J326"/>
    <mergeCell ref="L326:M326"/>
    <mergeCell ref="O326:P326"/>
    <mergeCell ref="R326:S326"/>
    <mergeCell ref="C327:D327"/>
    <mergeCell ref="F327:G327"/>
    <mergeCell ref="I327:J327"/>
    <mergeCell ref="L327:M327"/>
    <mergeCell ref="O327:P327"/>
    <mergeCell ref="R327:S327"/>
    <mergeCell ref="C328:D328"/>
    <mergeCell ref="F328:G328"/>
    <mergeCell ref="I328:J328"/>
    <mergeCell ref="L328:M328"/>
    <mergeCell ref="O328:P328"/>
    <mergeCell ref="R328:S328"/>
    <mergeCell ref="C329:D329"/>
    <mergeCell ref="F329:G329"/>
    <mergeCell ref="I329:J329"/>
    <mergeCell ref="L329:M329"/>
    <mergeCell ref="O329:P329"/>
    <mergeCell ref="R329:S329"/>
    <mergeCell ref="C330:D330"/>
    <mergeCell ref="F330:G330"/>
    <mergeCell ref="I330:J330"/>
    <mergeCell ref="L330:M330"/>
    <mergeCell ref="O330:P330"/>
    <mergeCell ref="R330:S330"/>
    <mergeCell ref="C331:D331"/>
    <mergeCell ref="F331:G331"/>
    <mergeCell ref="I331:J331"/>
    <mergeCell ref="L331:M331"/>
    <mergeCell ref="O331:P331"/>
    <mergeCell ref="R331:S331"/>
    <mergeCell ref="C332:D332"/>
    <mergeCell ref="F332:G332"/>
    <mergeCell ref="I332:J332"/>
    <mergeCell ref="L332:M332"/>
    <mergeCell ref="O332:P332"/>
    <mergeCell ref="R332:S332"/>
    <mergeCell ref="C333:D333"/>
    <mergeCell ref="F333:G333"/>
    <mergeCell ref="I333:J333"/>
    <mergeCell ref="L333:M333"/>
    <mergeCell ref="O333:P333"/>
    <mergeCell ref="R333:S333"/>
    <mergeCell ref="C334:D334"/>
    <mergeCell ref="F334:G334"/>
    <mergeCell ref="I334:J334"/>
    <mergeCell ref="L334:M334"/>
    <mergeCell ref="O334:P334"/>
    <mergeCell ref="R334:S334"/>
    <mergeCell ref="C335:D335"/>
    <mergeCell ref="F335:G335"/>
    <mergeCell ref="I335:J335"/>
    <mergeCell ref="L335:M335"/>
    <mergeCell ref="O335:P335"/>
    <mergeCell ref="R335:S335"/>
    <mergeCell ref="C336:D336"/>
    <mergeCell ref="F336:G336"/>
    <mergeCell ref="I336:J336"/>
    <mergeCell ref="L336:M336"/>
    <mergeCell ref="O336:P336"/>
    <mergeCell ref="R336:S336"/>
    <mergeCell ref="C337:D337"/>
    <mergeCell ref="F337:G337"/>
    <mergeCell ref="I337:J337"/>
    <mergeCell ref="L337:M337"/>
    <mergeCell ref="O337:P337"/>
    <mergeCell ref="R337:S337"/>
    <mergeCell ref="C338:D338"/>
    <mergeCell ref="F338:G338"/>
    <mergeCell ref="I338:J338"/>
    <mergeCell ref="L338:M338"/>
    <mergeCell ref="O338:P338"/>
    <mergeCell ref="R338:S338"/>
    <mergeCell ref="C339:D339"/>
    <mergeCell ref="F339:G339"/>
    <mergeCell ref="I339:J339"/>
    <mergeCell ref="L339:M339"/>
    <mergeCell ref="O339:P339"/>
    <mergeCell ref="R339:S339"/>
    <mergeCell ref="C340:D340"/>
    <mergeCell ref="F340:G340"/>
    <mergeCell ref="I340:J340"/>
    <mergeCell ref="L340:M340"/>
    <mergeCell ref="O340:P340"/>
    <mergeCell ref="R340:S340"/>
    <mergeCell ref="C341:D341"/>
    <mergeCell ref="F341:G341"/>
    <mergeCell ref="I341:J341"/>
    <mergeCell ref="L341:M341"/>
    <mergeCell ref="O341:P341"/>
    <mergeCell ref="R341:S341"/>
    <mergeCell ref="C342:D342"/>
    <mergeCell ref="F342:G342"/>
    <mergeCell ref="I342:J342"/>
    <mergeCell ref="L342:M342"/>
    <mergeCell ref="O342:P342"/>
    <mergeCell ref="R342:S342"/>
    <mergeCell ref="C343:D343"/>
    <mergeCell ref="F343:G343"/>
    <mergeCell ref="I343:J343"/>
    <mergeCell ref="L343:M343"/>
    <mergeCell ref="O343:P343"/>
    <mergeCell ref="R343:S343"/>
    <mergeCell ref="C344:D344"/>
    <mergeCell ref="F344:G344"/>
    <mergeCell ref="I344:J344"/>
    <mergeCell ref="L344:M344"/>
    <mergeCell ref="O344:P344"/>
    <mergeCell ref="R344:S344"/>
    <mergeCell ref="C345:D345"/>
    <mergeCell ref="F345:G345"/>
    <mergeCell ref="I345:J345"/>
    <mergeCell ref="L345:M345"/>
    <mergeCell ref="O345:P345"/>
    <mergeCell ref="R345:S345"/>
    <mergeCell ref="C346:D346"/>
    <mergeCell ref="F346:G346"/>
    <mergeCell ref="I346:J346"/>
    <mergeCell ref="L346:M346"/>
    <mergeCell ref="O346:P346"/>
    <mergeCell ref="R346:S346"/>
  </mergeCells>
  <printOptions headings="false" gridLines="false" gridLinesSet="true" horizontalCentered="false" verticalCentered="false"/>
  <pageMargins left="0.39375" right="0.39375" top="0.39375" bottom="0.39375" header="0.511811023622047" footer="0.511811023622047"/>
  <pageSetup paperSize="1" scale="100" fitToWidth="1" fitToHeight="3"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H107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7" topLeftCell="D8" activePane="bottomRight" state="frozen"/>
      <selection pane="topLeft" activeCell="A1" activeCellId="0" sqref="A1"/>
      <selection pane="topRight" activeCell="D1" activeCellId="0" sqref="D1"/>
      <selection pane="bottomLeft" activeCell="A8" activeCellId="0" sqref="A8"/>
      <selection pane="bottomRight" activeCell="B219" activeCellId="0" sqref="B219"/>
    </sheetView>
  </sheetViews>
  <sheetFormatPr defaultColWidth="11.6328125" defaultRowHeight="12" zeroHeight="false" outlineLevelRow="0" outlineLevelCol="0"/>
  <cols>
    <col collapsed="false" customWidth="true" hidden="false" outlineLevel="0" max="1" min="1" style="405" width="4.63"/>
    <col collapsed="false" customWidth="true" hidden="false" outlineLevel="0" max="2" min="2" style="405" width="6"/>
    <col collapsed="false" customWidth="true" hidden="false" outlineLevel="0" max="3" min="3" style="406" width="1.36"/>
    <col collapsed="false" customWidth="true" hidden="false" outlineLevel="0" max="4" min="4" style="407" width="7.18"/>
    <col collapsed="false" customWidth="true" hidden="false" outlineLevel="0" max="6" min="5" style="407" width="7.36"/>
    <col collapsed="false" customWidth="true" hidden="false" outlineLevel="0" max="7" min="7" style="407" width="7.18"/>
    <col collapsed="false" customWidth="true" hidden="false" outlineLevel="0" max="8" min="8" style="407" width="7.36"/>
    <col collapsed="false" customWidth="true" hidden="false" outlineLevel="0" max="9" min="9" style="407" width="7.18"/>
    <col collapsed="false" customWidth="true" hidden="false" outlineLevel="0" max="12" min="10" style="407" width="7.63"/>
    <col collapsed="false" customWidth="true" hidden="false" outlineLevel="0" max="13" min="13" style="407" width="5.73"/>
    <col collapsed="false" customWidth="true" hidden="false" outlineLevel="0" max="14" min="14" style="407" width="6.36"/>
    <col collapsed="false" customWidth="true" hidden="false" outlineLevel="0" max="15" min="15" style="406" width="1.36"/>
    <col collapsed="false" customWidth="true" hidden="false" outlineLevel="0" max="16" min="16" style="407" width="4"/>
    <col collapsed="false" customWidth="true" hidden="false" outlineLevel="0" max="17" min="17" style="407" width="8.63"/>
    <col collapsed="false" customWidth="true" hidden="false" outlineLevel="0" max="18" min="18" style="407" width="5.73"/>
    <col collapsed="false" customWidth="true" hidden="false" outlineLevel="0" max="19" min="19" style="407" width="5.27"/>
    <col collapsed="false" customWidth="true" hidden="false" outlineLevel="0" max="20" min="20" style="407" width="6"/>
    <col collapsed="false" customWidth="true" hidden="false" outlineLevel="0" max="21" min="21" style="407" width="8.73"/>
    <col collapsed="false" customWidth="true" hidden="false" outlineLevel="0" max="22" min="22" style="407" width="6.73"/>
    <col collapsed="false" customWidth="true" hidden="false" outlineLevel="0" max="23" min="23" style="407" width="7.18"/>
    <col collapsed="false" customWidth="true" hidden="false" outlineLevel="0" max="24" min="24" style="406" width="1.36"/>
    <col collapsed="false" customWidth="true" hidden="false" outlineLevel="0" max="25" min="25" style="407" width="15.73"/>
    <col collapsed="false" customWidth="true" hidden="false" outlineLevel="0" max="26" min="26" style="407" width="5.73"/>
    <col collapsed="false" customWidth="true" hidden="false" outlineLevel="0" max="27" min="27" style="407" width="7.73"/>
    <col collapsed="false" customWidth="true" hidden="false" outlineLevel="0" max="28" min="28" style="407" width="1.63"/>
    <col collapsed="false" customWidth="true" hidden="false" outlineLevel="0" max="29" min="29" style="407" width="7.27"/>
    <col collapsed="false" customWidth="true" hidden="false" outlineLevel="0" max="31" min="30" style="407" width="6.73"/>
    <col collapsed="false" customWidth="true" hidden="false" outlineLevel="0" max="32" min="32" style="407" width="1.82"/>
    <col collapsed="false" customWidth="true" hidden="false" outlineLevel="0" max="238" min="33" style="407" width="11.36"/>
    <col collapsed="false" customWidth="true" hidden="false" outlineLevel="0" max="239" min="239" style="407" width="11"/>
  </cols>
  <sheetData>
    <row r="1" customFormat="false" ht="12.75" hidden="false" customHeight="false" outlineLevel="0" collapsed="false">
      <c r="D1" s="408" t="s">
        <v>302</v>
      </c>
      <c r="E1" s="408"/>
      <c r="F1" s="408"/>
      <c r="G1" s="408"/>
      <c r="H1" s="408"/>
      <c r="I1" s="408"/>
      <c r="J1" s="408"/>
      <c r="K1" s="408"/>
      <c r="L1" s="408"/>
      <c r="M1" s="408"/>
      <c r="N1" s="408"/>
      <c r="P1" s="408" t="s">
        <v>303</v>
      </c>
      <c r="Q1" s="408"/>
      <c r="R1" s="408"/>
      <c r="S1" s="408"/>
      <c r="T1" s="408"/>
      <c r="U1" s="408"/>
      <c r="V1" s="408"/>
      <c r="W1" s="408"/>
      <c r="Y1" s="409"/>
      <c r="Z1" s="409"/>
      <c r="AA1" s="409"/>
      <c r="AC1" s="408" t="s">
        <v>304</v>
      </c>
      <c r="AD1" s="408"/>
      <c r="AE1" s="408"/>
      <c r="AG1" s="410" t="s">
        <v>305</v>
      </c>
      <c r="AH1" s="410"/>
    </row>
    <row r="2" s="355" customFormat="true" ht="12" hidden="false" customHeight="false" outlineLevel="0" collapsed="false">
      <c r="A2" s="411" t="s">
        <v>306</v>
      </c>
      <c r="B2" s="412" t="s">
        <v>203</v>
      </c>
      <c r="C2" s="413"/>
      <c r="D2" s="414" t="s">
        <v>307</v>
      </c>
      <c r="E2" s="415" t="s">
        <v>308</v>
      </c>
      <c r="F2" s="412" t="s">
        <v>309</v>
      </c>
      <c r="G2" s="414" t="s">
        <v>310</v>
      </c>
      <c r="H2" s="415" t="s">
        <v>311</v>
      </c>
      <c r="I2" s="412" t="s">
        <v>312</v>
      </c>
      <c r="J2" s="414" t="s">
        <v>313</v>
      </c>
      <c r="K2" s="415" t="s">
        <v>314</v>
      </c>
      <c r="L2" s="412" t="s">
        <v>315</v>
      </c>
      <c r="M2" s="411" t="s">
        <v>316</v>
      </c>
      <c r="N2" s="412" t="s">
        <v>317</v>
      </c>
      <c r="O2" s="413"/>
      <c r="P2" s="411" t="s">
        <v>318</v>
      </c>
      <c r="Q2" s="412" t="s">
        <v>319</v>
      </c>
      <c r="R2" s="411" t="s">
        <v>320</v>
      </c>
      <c r="S2" s="415" t="s">
        <v>175</v>
      </c>
      <c r="T2" s="412" t="s">
        <v>321</v>
      </c>
      <c r="U2" s="416" t="s">
        <v>322</v>
      </c>
      <c r="V2" s="411" t="s">
        <v>323</v>
      </c>
      <c r="W2" s="412" t="s">
        <v>324</v>
      </c>
      <c r="X2" s="417"/>
      <c r="Y2" s="418" t="s">
        <v>325</v>
      </c>
      <c r="Z2" s="418"/>
      <c r="AA2" s="418"/>
      <c r="AC2" s="411" t="s">
        <v>326</v>
      </c>
      <c r="AD2" s="415" t="s">
        <v>202</v>
      </c>
      <c r="AE2" s="412" t="s">
        <v>201</v>
      </c>
      <c r="AG2" s="419" t="s">
        <v>327</v>
      </c>
      <c r="AH2" s="412" t="s">
        <v>328</v>
      </c>
    </row>
    <row r="3" s="355" customFormat="true" ht="12" hidden="false" customHeight="false" outlineLevel="0" collapsed="false">
      <c r="A3" s="420" t="s">
        <v>174</v>
      </c>
      <c r="B3" s="421" t="s">
        <v>174</v>
      </c>
      <c r="C3" s="413"/>
      <c r="D3" s="422" t="s">
        <v>177</v>
      </c>
      <c r="E3" s="423" t="s">
        <v>177</v>
      </c>
      <c r="F3" s="421" t="s">
        <v>177</v>
      </c>
      <c r="G3" s="422" t="s">
        <v>176</v>
      </c>
      <c r="H3" s="423" t="s">
        <v>176</v>
      </c>
      <c r="I3" s="421" t="s">
        <v>176</v>
      </c>
      <c r="J3" s="422" t="s">
        <v>175</v>
      </c>
      <c r="K3" s="423" t="s">
        <v>175</v>
      </c>
      <c r="L3" s="421" t="s">
        <v>175</v>
      </c>
      <c r="M3" s="420" t="s">
        <v>329</v>
      </c>
      <c r="N3" s="421" t="s">
        <v>178</v>
      </c>
      <c r="O3" s="413"/>
      <c r="P3" s="422" t="s">
        <v>11</v>
      </c>
      <c r="Q3" s="424" t="s">
        <v>330</v>
      </c>
      <c r="R3" s="422" t="s">
        <v>331</v>
      </c>
      <c r="S3" s="425" t="s">
        <v>332</v>
      </c>
      <c r="T3" s="424" t="s">
        <v>330</v>
      </c>
      <c r="U3" s="426" t="s">
        <v>330</v>
      </c>
      <c r="V3" s="422" t="s">
        <v>333</v>
      </c>
      <c r="W3" s="424" t="s">
        <v>330</v>
      </c>
      <c r="X3" s="417"/>
      <c r="Y3" s="427"/>
      <c r="Z3" s="428"/>
      <c r="AA3" s="429"/>
      <c r="AC3" s="422" t="s">
        <v>174</v>
      </c>
      <c r="AD3" s="425" t="s">
        <v>175</v>
      </c>
      <c r="AE3" s="424" t="s">
        <v>175</v>
      </c>
      <c r="AG3" s="427" t="s">
        <v>177</v>
      </c>
      <c r="AH3" s="424" t="s">
        <v>177</v>
      </c>
    </row>
    <row r="4" customFormat="false" ht="12" hidden="false" customHeight="false" outlineLevel="0" collapsed="false">
      <c r="A4" s="430" t="s">
        <v>11</v>
      </c>
      <c r="B4" s="431" t="n">
        <f aca="false">T_ini</f>
        <v>0</v>
      </c>
      <c r="C4" s="432"/>
      <c r="D4" s="430" t="s">
        <v>11</v>
      </c>
      <c r="E4" s="433" t="s">
        <v>11</v>
      </c>
      <c r="F4" s="434" t="s">
        <v>11</v>
      </c>
      <c r="G4" s="430" t="n">
        <f aca="false">vit_xz*COS(Beta)</f>
        <v>0</v>
      </c>
      <c r="H4" s="433" t="n">
        <f aca="false">vit_xz*SIN(Beta)</f>
        <v>0</v>
      </c>
      <c r="I4" s="431" t="n">
        <f aca="false">V_ini</f>
        <v>0</v>
      </c>
      <c r="J4" s="435" t="n">
        <f aca="false">X_ini</f>
        <v>0</v>
      </c>
      <c r="K4" s="436" t="n">
        <f aca="false">Z_ini</f>
        <v>0</v>
      </c>
      <c r="L4" s="437" t="n">
        <f aca="false">SQRT(pos_x^2+pos_z^2)</f>
        <v>0</v>
      </c>
      <c r="M4" s="430" t="n">
        <f aca="false">RADIANS(N4)</f>
        <v>1.39626340159546</v>
      </c>
      <c r="N4" s="431" t="n">
        <f aca="false">Beta_rampe</f>
        <v>80</v>
      </c>
      <c r="O4" s="438"/>
      <c r="P4" s="430" t="s">
        <v>11</v>
      </c>
      <c r="Q4" s="434" t="s">
        <v>11</v>
      </c>
      <c r="R4" s="430" t="s">
        <v>11</v>
      </c>
      <c r="S4" s="436" t="n">
        <f aca="false">m_tot</f>
        <v>9.685</v>
      </c>
      <c r="T4" s="437" t="n">
        <f aca="false">m*g</f>
        <v>95.00985</v>
      </c>
      <c r="U4" s="439" t="n">
        <f aca="false">IF(pos_xz&lt;L_rampe,Poids*COS(Beta),0)</f>
        <v>16.4982873129084</v>
      </c>
      <c r="V4" s="440" t="n">
        <f aca="false">Rho_moyen*(20000-Alt_rampe-pos_z)/(20000+Alt_rampe+pos_z)</f>
        <v>1.225</v>
      </c>
      <c r="W4" s="437" t="n">
        <f aca="false">1/2*Rho*Sref*Cx*vit_xz^2</f>
        <v>0</v>
      </c>
      <c r="X4" s="438"/>
      <c r="Y4" s="441" t="s">
        <v>11</v>
      </c>
      <c r="Z4" s="442" t="s">
        <v>11</v>
      </c>
      <c r="AA4" s="443" t="s">
        <v>11</v>
      </c>
      <c r="AB4" s="444"/>
      <c r="AC4" s="445" t="n">
        <f aca="false">IF(ABS(t-ROUND(t,0))&lt;0.001,t,-1)</f>
        <v>0</v>
      </c>
      <c r="AD4" s="446" t="n">
        <f aca="false">IF(ABS(t-ROUND(t,0))&lt;0.001,pos_x,-1)</f>
        <v>0</v>
      </c>
      <c r="AE4" s="447" t="n">
        <f aca="false">IF(t&lt;T_para, pos_z, NA())</f>
        <v>0</v>
      </c>
      <c r="AF4" s="444"/>
      <c r="AG4" s="430" t="s">
        <v>11</v>
      </c>
      <c r="AH4" s="434" t="s">
        <v>11</v>
      </c>
    </row>
    <row r="5" customFormat="false" ht="12" hidden="false" customHeight="false" outlineLevel="0" collapsed="false">
      <c r="A5" s="448" t="n">
        <f aca="false">IF(B4+0.01&lt;=T_ini+ROUNDUP(Temps_fin_propu,0), 0.01, IF(K4&gt;0, 0.1, 0.0001))</f>
        <v>0.01</v>
      </c>
      <c r="B5" s="449" t="n">
        <f aca="false">B4+pas</f>
        <v>0.01</v>
      </c>
      <c r="C5" s="432"/>
      <c r="D5" s="450" t="n">
        <f aca="false">IF(AND(L4&lt;L_rampe,Poussee&lt;Poids*SIN(M4)),0,(-W4+Poussee)/m*COS(M4)-U4/m*SIN(M4))</f>
        <v>0</v>
      </c>
      <c r="E5" s="451" t="n">
        <f aca="false">IF(AND(L4&lt;L_rampe,Poussee&lt;Poids*SIN(M4)),0,(-W4+Poussee)/m*SIN(M4)+U4/m*COS(M4)-Poids/m)</f>
        <v>0</v>
      </c>
      <c r="F5" s="449" t="n">
        <f aca="false">SQRT(acc_x^2+acc_z^2)</f>
        <v>0</v>
      </c>
      <c r="G5" s="450" t="n">
        <f aca="false">G4+acc_x*pas</f>
        <v>0</v>
      </c>
      <c r="H5" s="451" t="n">
        <f aca="false">H4+acc_z*pas</f>
        <v>0</v>
      </c>
      <c r="I5" s="449" t="n">
        <f aca="false">SQRT(vit_x^2+vit_z^2)</f>
        <v>0</v>
      </c>
      <c r="J5" s="450" t="n">
        <f aca="false">J4+0.5*(vit_x+G4)*pas*(K4&gt;=0)</f>
        <v>0</v>
      </c>
      <c r="K5" s="451" t="n">
        <f aca="false">K4+0.5*(vit_z+H4)*pas</f>
        <v>0</v>
      </c>
      <c r="L5" s="449" t="n">
        <f aca="false">SQRT(pos_x^2+pos_z^2)</f>
        <v>0</v>
      </c>
      <c r="M5" s="450" t="n">
        <f aca="false">IF(AND(L4&gt;L_rampe,G5&gt;0),ATAN2(G5,H5),$M$4)</f>
        <v>1.39626340159546</v>
      </c>
      <c r="N5" s="449" t="n">
        <f aca="false">DEGREES(Beta)</f>
        <v>80</v>
      </c>
      <c r="O5" s="438"/>
      <c r="P5" s="452" t="n">
        <f aca="false">MATCH(t-pas/2-T_ini,CdP_t)</f>
        <v>1</v>
      </c>
      <c r="Q5" s="449" t="n">
        <f aca="false">(INDEX(CdP,2,i_P+1)-INDEX(CdP,2,i_P+0))/(INDEX(CdP,1,i_P+1)-INDEX(CdP,1,i_P+0))*(t-pas/2-T_ini-INDEX(CdP,1,i_P+0))+INDEX(CdP,2,i_P+0)</f>
        <v>89.3</v>
      </c>
      <c r="R5" s="450" t="n">
        <f aca="false">Poussee/(g*ISP)</f>
        <v>0.0448155093593474</v>
      </c>
      <c r="S5" s="451" t="n">
        <f aca="false">S4-Débit*pas</f>
        <v>9.68455184490641</v>
      </c>
      <c r="T5" s="449" t="n">
        <f aca="false">m*g</f>
        <v>95.0054535985319</v>
      </c>
      <c r="U5" s="453" t="n">
        <f aca="false">IF(pos_xz&lt;L_rampe,Poids*COS(Beta),0)</f>
        <v>16.4975238858052</v>
      </c>
      <c r="V5" s="450" t="n">
        <f aca="false">Rho_moyen*(20000-Alt_rampe-pos_z)/(20000+Alt_rampe+pos_z)</f>
        <v>1.225</v>
      </c>
      <c r="W5" s="449" t="n">
        <f aca="false">1/2*Rho*Sref*Cx*vit_xz^2</f>
        <v>0</v>
      </c>
      <c r="X5" s="438"/>
      <c r="Y5" s="454" t="str">
        <f aca="false">IF(AND(pos_z&lt;=0,K4&gt;0),"Impact balistique","") &amp; IF(AND(H6&lt;0,vit_z&gt;=0),"Apogée","") &amp; IF(AND(Poussee=0,Q4&gt;0),"Fin de propulsion","") &amp; IF(AND(L6&gt;L_rampe,pos_xz&lt;=L_rampe),"Sortie de rampe","")</f>
        <v/>
      </c>
      <c r="Z5" s="455" t="str">
        <f aca="false">IF(ABS(t-T_para)&lt;pas/2,"Para","")</f>
        <v/>
      </c>
      <c r="AA5" s="456" t="str">
        <f aca="false">IF(ABS(t-T_satellite)&lt;pas/2,"Satellite","")</f>
        <v/>
      </c>
      <c r="AB5" s="444"/>
      <c r="AC5" s="452" t="e">
        <f aca="false">IF(ABS(t-ROUND(t,0))&lt;0.001,t,NA())</f>
        <v>#N/A</v>
      </c>
      <c r="AD5" s="457" t="e">
        <f aca="false">IF(ABS(t-ROUND(t,0))&lt;0.001,pos_x,NA())</f>
        <v>#N/A</v>
      </c>
      <c r="AE5" s="458" t="n">
        <f aca="false">IF(t&lt;T_para, pos_z, NA())</f>
        <v>0</v>
      </c>
      <c r="AF5" s="444"/>
      <c r="AG5" s="450" t="n">
        <f aca="false">IF(AND(L4&lt;L_rampe,Poussee&lt;Poids*SIN(M4)),0,(-W4+Poussee)/m-Poids*SIN(M4)/m)</f>
        <v>0</v>
      </c>
      <c r="AH5" s="449" t="n">
        <f aca="false">IF(AND(L4&lt;L_rampe,Poussee&lt;Poids*SIN(M4)), g*SIN(M4), (-W4+Poussee)/m)</f>
        <v>9.66096405704976</v>
      </c>
    </row>
    <row r="6" customFormat="false" ht="12" hidden="false" customHeight="false" outlineLevel="0" collapsed="false">
      <c r="A6" s="448" t="n">
        <f aca="false">IF(B5+0.01&lt;=T_ini+ROUNDUP(Temps_fin_propu,0), 0.01, IF(K5&gt;0, 0.1, 0.0001))</f>
        <v>0.01</v>
      </c>
      <c r="B6" s="449" t="n">
        <f aca="false">B5+pas</f>
        <v>0.02</v>
      </c>
      <c r="C6" s="432"/>
      <c r="D6" s="450" t="n">
        <f aca="false">IF(AND(L5&lt;L_rampe,Poussee&lt;Poids*SIN(M5)),0,(-W5+Poussee)/m*COS(M5)-U5/m*SIN(M5))</f>
        <v>3.12638738197674</v>
      </c>
      <c r="E6" s="451" t="n">
        <f aca="false">IF(AND(L5&lt;L_rampe,Poussee&lt;Poids*SIN(M5)),0,(-W5+Poussee)/m*SIN(M5)+U5/m*COS(M5)-Poids/m)</f>
        <v>17.7319859902937</v>
      </c>
      <c r="F6" s="449" t="n">
        <f aca="false">SQRT(acc_x^2+acc_z^2)</f>
        <v>18.0054887526597</v>
      </c>
      <c r="G6" s="450" t="n">
        <f aca="false">G5+acc_x*pas</f>
        <v>0.0312638738197674</v>
      </c>
      <c r="H6" s="451" t="n">
        <f aca="false">H5+acc_z*pas</f>
        <v>0.177319859902937</v>
      </c>
      <c r="I6" s="449" t="n">
        <f aca="false">SQRT(vit_x^2+vit_z^2)</f>
        <v>0.180054887526597</v>
      </c>
      <c r="J6" s="450" t="n">
        <f aca="false">J5+0.5*(vit_x+G5)*pas*(K5&gt;=0)</f>
        <v>0.000156319369098837</v>
      </c>
      <c r="K6" s="451" t="n">
        <f aca="false">K5+0.5*(vit_z+H5)*pas</f>
        <v>0.000886599299514683</v>
      </c>
      <c r="L6" s="449" t="n">
        <f aca="false">SQRT(pos_x^2+pos_z^2)</f>
        <v>0.000900274437632984</v>
      </c>
      <c r="M6" s="450" t="n">
        <f aca="false">IF(AND(L5&gt;L_rampe,G6&gt;0),ATAN2(G6,H6),$M$4)</f>
        <v>1.39626340159546</v>
      </c>
      <c r="N6" s="449" t="n">
        <f aca="false">DEGREES(Beta)</f>
        <v>80</v>
      </c>
      <c r="O6" s="438"/>
      <c r="P6" s="452" t="n">
        <f aca="false">MATCH(t-pas/2-T_ini,CdP_t)</f>
        <v>1</v>
      </c>
      <c r="Q6" s="449" t="n">
        <f aca="false">(INDEX(CdP,2,i_P+1)-INDEX(CdP,2,i_P+0))/(INDEX(CdP,1,i_P+1)-INDEX(CdP,1,i_P+0))*(t-pas/2-T_ini-INDEX(CdP,1,i_P+0))+INDEX(CdP,2,i_P+0)</f>
        <v>267.9</v>
      </c>
      <c r="R6" s="450" t="n">
        <f aca="false">Poussee/(g*ISP)</f>
        <v>0.134446528078042</v>
      </c>
      <c r="S6" s="451" t="n">
        <f aca="false">S5-Débit*pas</f>
        <v>9.68320737962563</v>
      </c>
      <c r="T6" s="449" t="n">
        <f aca="false">m*g</f>
        <v>94.9922643941274</v>
      </c>
      <c r="U6" s="453" t="n">
        <f aca="false">IF(pos_xz&lt;L_rampe,Poids*COS(Beta),0)</f>
        <v>16.4952336044955</v>
      </c>
      <c r="V6" s="450" t="n">
        <f aca="false">Rho_moyen*(20000-Alt_rampe-pos_z)/(20000+Alt_rampe+pos_z)</f>
        <v>1.22499989139159</v>
      </c>
      <c r="W6" s="449" t="n">
        <f aca="false">1/2*Rho*Sref*Cx*vit_xz^2</f>
        <v>8.83043537338763E-005</v>
      </c>
      <c r="X6" s="438"/>
      <c r="Y6" s="454" t="str">
        <f aca="false">IF(AND(pos_z&lt;=0,K5&gt;0),"Impact balistique","") &amp; IF(AND(H7&lt;0,vit_z&gt;=0),"Apogée","") &amp; IF(AND(Poussee=0,Q5&gt;0),"Fin de propulsion","") &amp; IF(AND(L7&gt;L_rampe,pos_xz&lt;=L_rampe),"Sortie de rampe","")</f>
        <v/>
      </c>
      <c r="Z6" s="455" t="str">
        <f aca="false">IF(ABS(t-T_para)&lt;pas/2,"Para","")</f>
        <v/>
      </c>
      <c r="AA6" s="456" t="str">
        <f aca="false">IF(ABS(t-T_satellite)&lt;pas/2,"Satellite","")</f>
        <v/>
      </c>
      <c r="AB6" s="444"/>
      <c r="AC6" s="452" t="e">
        <f aca="false">IF(ABS(t-ROUND(t,0))&lt;0.001,t,NA())</f>
        <v>#N/A</v>
      </c>
      <c r="AD6" s="457" t="e">
        <f aca="false">IF(ABS(t-ROUND(t,0))&lt;0.001,pos_x,NA())</f>
        <v>#N/A</v>
      </c>
      <c r="AE6" s="458" t="n">
        <f aca="false">IF(t&lt;T_para, pos_z, NA())</f>
        <v>0.000886599299514683</v>
      </c>
      <c r="AF6" s="444"/>
      <c r="AG6" s="450" t="n">
        <f aca="false">IF(AND(L5&lt;L_rampe,Poussee&lt;Poids*SIN(M5)),0,(-W5+Poussee)/m-Poids*SIN(M5)/m)</f>
        <v>18.0054887511062</v>
      </c>
      <c r="AH6" s="449" t="n">
        <f aca="false">IF(AND(L5&lt;L_rampe,Poussee&lt;Poids*SIN(M5)), g*SIN(M5), (-W5+Poussee)/m)</f>
        <v>27.666452808156</v>
      </c>
    </row>
    <row r="7" customFormat="false" ht="12" hidden="false" customHeight="false" outlineLevel="0" collapsed="false">
      <c r="A7" s="448" t="n">
        <f aca="false">IF(B6+0.01&lt;=T_ini+ROUNDUP(Temps_fin_propu,0), 0.01, IF(K6&gt;0, 0.1, 0.0001))</f>
        <v>0.01</v>
      </c>
      <c r="B7" s="449" t="n">
        <f aca="false">B6+pas</f>
        <v>0.03</v>
      </c>
      <c r="C7" s="432"/>
      <c r="D7" s="450" t="n">
        <f aca="false">IF(AND(L6&lt;L_rampe,Poussee&lt;Poids*SIN(M6)),0,(-W6+Poussee)/m*COS(M6)-U6/m*SIN(M6))</f>
        <v>6.33090315863893</v>
      </c>
      <c r="E7" s="451" t="n">
        <f aca="false">IF(AND(L6&lt;L_rampe,Poussee&lt;Poids*SIN(M6)),0,(-W6+Poussee)/m*SIN(M6)+U6/m*COS(M6)-Poids/m)</f>
        <v>35.9066066271394</v>
      </c>
      <c r="F7" s="449" t="n">
        <f aca="false">SQRT(acc_x^2+acc_z^2)</f>
        <v>36.4604543893819</v>
      </c>
      <c r="G7" s="450" t="n">
        <f aca="false">G6+acc_x*pas</f>
        <v>0.0945729054061567</v>
      </c>
      <c r="H7" s="451" t="n">
        <f aca="false">H6+acc_z*pas</f>
        <v>0.536385926174331</v>
      </c>
      <c r="I7" s="449" t="n">
        <f aca="false">SQRT(vit_x^2+vit_z^2)</f>
        <v>0.544659431420091</v>
      </c>
      <c r="J7" s="450" t="n">
        <f aca="false">J6+0.5*(vit_x+G6)*pas*(K6&gt;=0)</f>
        <v>0.000785503265228458</v>
      </c>
      <c r="K7" s="451" t="n">
        <f aca="false">K6+0.5*(vit_z+H6)*pas</f>
        <v>0.00445512822990102</v>
      </c>
      <c r="L7" s="449" t="n">
        <f aca="false">SQRT(pos_x^2+pos_z^2)</f>
        <v>0.00452384603236511</v>
      </c>
      <c r="M7" s="450" t="n">
        <f aca="false">IF(AND(L6&gt;L_rampe,G7&gt;0),ATAN2(G7,H7),$M$4)</f>
        <v>1.39626340159546</v>
      </c>
      <c r="N7" s="449" t="n">
        <f aca="false">DEGREES(Beta)</f>
        <v>80</v>
      </c>
      <c r="O7" s="438"/>
      <c r="P7" s="452" t="n">
        <f aca="false">MATCH(t-pas/2-T_ini,CdP_t)</f>
        <v>1</v>
      </c>
      <c r="Q7" s="449" t="n">
        <f aca="false">(INDEX(CdP,2,i_P+1)-INDEX(CdP,2,i_P+0))/(INDEX(CdP,1,i_P+1)-INDEX(CdP,1,i_P+0))*(t-pas/2-T_ini-INDEX(CdP,1,i_P+0))+INDEX(CdP,2,i_P+0)</f>
        <v>446.5</v>
      </c>
      <c r="R7" s="450" t="n">
        <f aca="false">Poussee/(g*ISP)</f>
        <v>0.224077546796737</v>
      </c>
      <c r="S7" s="451" t="n">
        <f aca="false">S6-Débit*pas</f>
        <v>9.68096660415766</v>
      </c>
      <c r="T7" s="449" t="n">
        <f aca="false">m*g</f>
        <v>94.9702823867866</v>
      </c>
      <c r="U7" s="453" t="n">
        <f aca="false">IF(pos_xz&lt;L_rampe,Poids*COS(Beta),0)</f>
        <v>16.4914164689793</v>
      </c>
      <c r="V7" s="450" t="n">
        <f aca="false">Rho_moyen*(20000-Alt_rampe-pos_z)/(20000+Alt_rampe+pos_z)</f>
        <v>1.22499945424691</v>
      </c>
      <c r="W7" s="449" t="n">
        <f aca="false">1/2*Rho*Sref*Cx*vit_xz^2</f>
        <v>0.000808020145849269</v>
      </c>
      <c r="X7" s="438"/>
      <c r="Y7" s="454" t="str">
        <f aca="false">IF(AND(pos_z&lt;=0,K6&gt;0),"Impact balistique","") &amp; IF(AND(H8&lt;0,vit_z&gt;=0),"Apogée","") &amp; IF(AND(Poussee=0,Q6&gt;0),"Fin de propulsion","") &amp; IF(AND(L8&gt;L_rampe,pos_xz&lt;=L_rampe),"Sortie de rampe","")</f>
        <v/>
      </c>
      <c r="Z7" s="455" t="str">
        <f aca="false">IF(ABS(t-T_para)&lt;pas/2,"Para","")</f>
        <v/>
      </c>
      <c r="AA7" s="456" t="str">
        <f aca="false">IF(ABS(t-T_satellite)&lt;pas/2,"Satellite","")</f>
        <v/>
      </c>
      <c r="AB7" s="444"/>
      <c r="AC7" s="452" t="e">
        <f aca="false">IF(ABS(t-ROUND(t,0))&lt;0.001,t,NA())</f>
        <v>#N/A</v>
      </c>
      <c r="AD7" s="457" t="e">
        <f aca="false">IF(ABS(t-ROUND(t,0))&lt;0.001,pos_x,NA())</f>
        <v>#N/A</v>
      </c>
      <c r="AE7" s="458" t="n">
        <f aca="false">IF(t&lt;T_para, pos_z, NA())</f>
        <v>0.00445512822990102</v>
      </c>
      <c r="AF7" s="444"/>
      <c r="AG7" s="450" t="n">
        <f aca="false">IF(AND(L6&lt;L_rampe,Poussee&lt;Poids*SIN(M6)),0,(-W6+Poussee)/m-Poids*SIN(M6)/m)</f>
        <v>36.4604543872499</v>
      </c>
      <c r="AH7" s="449" t="n">
        <f aca="false">IF(AND(L6&lt;L_rampe,Poussee&lt;Poids*SIN(M6)), g*SIN(M6), (-W6+Poussee)/m)</f>
        <v>46.1214184442997</v>
      </c>
    </row>
    <row r="8" customFormat="false" ht="12" hidden="false" customHeight="false" outlineLevel="0" collapsed="false">
      <c r="A8" s="448" t="n">
        <f aca="false">IF(B7+0.01&lt;=T_ini+ROUNDUP(Temps_fin_propu,0), 0.01, IF(K7&gt;0, 0.1, 0.0001))</f>
        <v>0.01</v>
      </c>
      <c r="B8" s="449" t="n">
        <f aca="false">B7+pas</f>
        <v>0.04</v>
      </c>
      <c r="C8" s="432"/>
      <c r="D8" s="450" t="n">
        <f aca="false">IF(AND(L7&lt;L_rampe,Poussee&lt;Poids*SIN(M7)),0,(-W7+Poussee)/m*COS(M7)-U7/m*SIN(M7))</f>
        <v>9.5379300260552</v>
      </c>
      <c r="E8" s="451" t="n">
        <f aca="false">IF(AND(L7&lt;L_rampe,Poussee&lt;Poids*SIN(M7)),0,(-W7+Poussee)/m*SIN(M7)+U7/m*COS(M7)-Poids/m)</f>
        <v>54.0954690825045</v>
      </c>
      <c r="F8" s="449" t="n">
        <f aca="false">SQRT(acc_x^2+acc_z^2)</f>
        <v>54.9298815257973</v>
      </c>
      <c r="G8" s="450" t="n">
        <f aca="false">G7+acc_x*pas</f>
        <v>0.189952205666709</v>
      </c>
      <c r="H8" s="451" t="n">
        <f aca="false">H7+acc_z*pas</f>
        <v>1.07734061699938</v>
      </c>
      <c r="I8" s="449" t="n">
        <f aca="false">SQRT(vit_x^2+vit_z^2)</f>
        <v>1.09395824667774</v>
      </c>
      <c r="J8" s="450" t="n">
        <f aca="false">J7+0.5*(vit_x+G7)*pas*(K7&gt;=0)</f>
        <v>0.00220812882059278</v>
      </c>
      <c r="K8" s="451" t="n">
        <f aca="false">K7+0.5*(vit_z+H7)*pas</f>
        <v>0.0125237609457696</v>
      </c>
      <c r="L8" s="449" t="n">
        <f aca="false">SQRT(pos_x^2+pos_z^2)</f>
        <v>0.0127169344228519</v>
      </c>
      <c r="M8" s="450" t="n">
        <f aca="false">IF(AND(L7&gt;L_rampe,G8&gt;0),ATAN2(G8,H8),$M$4)</f>
        <v>1.39626340159546</v>
      </c>
      <c r="N8" s="449" t="n">
        <f aca="false">DEGREES(Beta)</f>
        <v>80</v>
      </c>
      <c r="O8" s="438"/>
      <c r="P8" s="452" t="n">
        <f aca="false">MATCH(t-pas/2-T_ini,CdP_t)</f>
        <v>1</v>
      </c>
      <c r="Q8" s="449" t="n">
        <f aca="false">(INDEX(CdP,2,i_P+1)-INDEX(CdP,2,i_P+0))/(INDEX(CdP,1,i_P+1)-INDEX(CdP,1,i_P+0))*(t-pas/2-T_ini-INDEX(CdP,1,i_P+0))+INDEX(CdP,2,i_P+0)</f>
        <v>625.1</v>
      </c>
      <c r="R8" s="450" t="n">
        <f aca="false">Poussee/(g*ISP)</f>
        <v>0.313708565515432</v>
      </c>
      <c r="S8" s="451" t="n">
        <f aca="false">S7-Débit*pas</f>
        <v>9.6778295185025</v>
      </c>
      <c r="T8" s="449" t="n">
        <f aca="false">m*g</f>
        <v>94.9395075765096</v>
      </c>
      <c r="U8" s="453" t="n">
        <f aca="false">IF(pos_xz&lt;L_rampe,Poids*COS(Beta),0)</f>
        <v>16.4860724792566</v>
      </c>
      <c r="V8" s="450" t="n">
        <f aca="false">Rho_moyen*(20000-Alt_rampe-pos_z)/(20000+Alt_rampe+pos_z)</f>
        <v>1.22499846584024</v>
      </c>
      <c r="W8" s="449" t="n">
        <f aca="false">1/2*Rho*Sref*Cx*vit_xz^2</f>
        <v>0.0032596672924984</v>
      </c>
      <c r="X8" s="438"/>
      <c r="Y8" s="454" t="str">
        <f aca="false">IF(AND(pos_z&lt;=0,K7&gt;0),"Impact balistique","") &amp; IF(AND(H9&lt;0,vit_z&gt;=0),"Apogée","") &amp; IF(AND(Poussee=0,Q7&gt;0),"Fin de propulsion","") &amp; IF(AND(L9&gt;L_rampe,pos_xz&lt;=L_rampe),"Sortie de rampe","")</f>
        <v/>
      </c>
      <c r="Z8" s="455" t="str">
        <f aca="false">IF(ABS(t-T_para)&lt;pas/2,"Para","")</f>
        <v/>
      </c>
      <c r="AA8" s="456" t="str">
        <f aca="false">IF(ABS(t-T_satellite)&lt;pas/2,"Satellite","")</f>
        <v/>
      </c>
      <c r="AB8" s="444"/>
      <c r="AC8" s="452" t="e">
        <f aca="false">IF(ABS(t-ROUND(t,0))&lt;0.001,t,NA())</f>
        <v>#N/A</v>
      </c>
      <c r="AD8" s="457" t="e">
        <f aca="false">IF(ABS(t-ROUND(t,0))&lt;0.001,pos_x,NA())</f>
        <v>#N/A</v>
      </c>
      <c r="AE8" s="458" t="n">
        <f aca="false">IF(t&lt;T_para, pos_z, NA())</f>
        <v>0.0125237609457696</v>
      </c>
      <c r="AF8" s="444"/>
      <c r="AG8" s="450" t="n">
        <f aca="false">IF(AND(L7&lt;L_rampe,Poussee&lt;Poids*SIN(M7)),0,(-W7+Poussee)/m-Poids*SIN(M7)/m)</f>
        <v>54.9298815230219</v>
      </c>
      <c r="AH8" s="449" t="n">
        <f aca="false">IF(AND(L7&lt;L_rampe,Poussee&lt;Poids*SIN(M7)), g*SIN(M7), (-W7+Poussee)/m)</f>
        <v>64.5908455800716</v>
      </c>
    </row>
    <row r="9" customFormat="false" ht="12" hidden="false" customHeight="false" outlineLevel="0" collapsed="false">
      <c r="A9" s="448" t="n">
        <f aca="false">IF(B8+0.01&lt;=T_ini+ROUNDUP(Temps_fin_propu,0), 0.01, IF(K8&gt;0, 0.1, 0.0001))</f>
        <v>0.01</v>
      </c>
      <c r="B9" s="449" t="n">
        <f aca="false">B8+pas</f>
        <v>0.05</v>
      </c>
      <c r="C9" s="432"/>
      <c r="D9" s="450" t="n">
        <f aca="false">IF(AND(L8&lt;L_rampe,Poussee&lt;Poids*SIN(M8)),0,(-W8+Poussee)/m*COS(M8)-U8/m*SIN(M8))</f>
        <v>12.7483420983469</v>
      </c>
      <c r="E9" s="451" t="n">
        <f aca="false">IF(AND(L8&lt;L_rampe,Poussee&lt;Poids*SIN(M8)),0,(-W8+Poussee)/m*SIN(M8)+U8/m*COS(M8)-Poids/m)</f>
        <v>72.3035309573552</v>
      </c>
      <c r="F9" s="449" t="n">
        <f aca="false">SQRT(acc_x^2+acc_z^2)</f>
        <v>73.4188042340496</v>
      </c>
      <c r="G9" s="450" t="n">
        <f aca="false">G8+acc_x*pas</f>
        <v>0.317435626650178</v>
      </c>
      <c r="H9" s="451" t="n">
        <f aca="false">H8+acc_z*pas</f>
        <v>1.80037592657293</v>
      </c>
      <c r="I9" s="449" t="n">
        <f aca="false">SQRT(vit_x^2+vit_z^2)</f>
        <v>1.82814628901796</v>
      </c>
      <c r="J9" s="450" t="n">
        <f aca="false">J8+0.5*(vit_x+G8)*pas*(K8&gt;=0)</f>
        <v>0.00474506798217722</v>
      </c>
      <c r="K9" s="451" t="n">
        <f aca="false">K8+0.5*(vit_z+H8)*pas</f>
        <v>0.0269123436636311</v>
      </c>
      <c r="L9" s="449" t="n">
        <f aca="false">SQRT(pos_x^2+pos_z^2)</f>
        <v>0.027327457101327</v>
      </c>
      <c r="M9" s="450" t="n">
        <f aca="false">IF(AND(L8&gt;L_rampe,G9&gt;0),ATAN2(G9,H9),$M$4)</f>
        <v>1.39626340159546</v>
      </c>
      <c r="N9" s="449" t="n">
        <f aca="false">DEGREES(Beta)</f>
        <v>80</v>
      </c>
      <c r="O9" s="438"/>
      <c r="P9" s="452" t="n">
        <f aca="false">MATCH(t-pas/2-T_ini,CdP_t)</f>
        <v>1</v>
      </c>
      <c r="Q9" s="449" t="n">
        <f aca="false">(INDEX(CdP,2,i_P+1)-INDEX(CdP,2,i_P+0))/(INDEX(CdP,1,i_P+1)-INDEX(CdP,1,i_P+0))*(t-pas/2-T_ini-INDEX(CdP,1,i_P+0))+INDEX(CdP,2,i_P+0)</f>
        <v>803.7</v>
      </c>
      <c r="R9" s="450" t="n">
        <f aca="false">Poussee/(g*ISP)</f>
        <v>0.403339584234127</v>
      </c>
      <c r="S9" s="451" t="n">
        <f aca="false">S8-Débit*pas</f>
        <v>9.67379612266016</v>
      </c>
      <c r="T9" s="449" t="n">
        <f aca="false">m*g</f>
        <v>94.8999399632962</v>
      </c>
      <c r="U9" s="453" t="n">
        <f aca="false">IF(pos_xz&lt;L_rampe,Poids*COS(Beta),0)</f>
        <v>16.4792016353275</v>
      </c>
      <c r="V9" s="450" t="n">
        <f aca="false">Rho_moyen*(20000-Alt_rampe-pos_z)/(20000+Alt_rampe+pos_z)</f>
        <v>1.22499670324234</v>
      </c>
      <c r="W9" s="449" t="n">
        <f aca="false">1/2*Rho*Sref*Cx*vit_xz^2</f>
        <v>0.00910317826129085</v>
      </c>
      <c r="X9" s="438"/>
      <c r="Y9" s="454" t="str">
        <f aca="false">IF(AND(pos_z&lt;=0,K8&gt;0),"Impact balistique","") &amp; IF(AND(H10&lt;0,vit_z&gt;=0),"Apogée","") &amp; IF(AND(Poussee=0,Q8&gt;0),"Fin de propulsion","") &amp; IF(AND(L10&gt;L_rampe,pos_xz&lt;=L_rampe),"Sortie de rampe","")</f>
        <v/>
      </c>
      <c r="Z9" s="455" t="str">
        <f aca="false">IF(ABS(t-T_para)&lt;pas/2,"Para","")</f>
        <v/>
      </c>
      <c r="AA9" s="456" t="str">
        <f aca="false">IF(ABS(t-T_satellite)&lt;pas/2,"Satellite","")</f>
        <v/>
      </c>
      <c r="AB9" s="444"/>
      <c r="AC9" s="452" t="e">
        <f aca="false">IF(ABS(t-ROUND(t,0))&lt;0.001,t,NA())</f>
        <v>#N/A</v>
      </c>
      <c r="AD9" s="457" t="e">
        <f aca="false">IF(ABS(t-ROUND(t,0))&lt;0.001,pos_x,NA())</f>
        <v>#N/A</v>
      </c>
      <c r="AE9" s="458" t="n">
        <f aca="false">IF(t&lt;T_para, pos_z, NA())</f>
        <v>0.0269123436636311</v>
      </c>
      <c r="AF9" s="444"/>
      <c r="AG9" s="450" t="n">
        <f aca="false">IF(AND(L8&lt;L_rampe,Poussee&lt;Poids*SIN(M8)),0,(-W8+Poussee)/m-Poids*SIN(M8)/m)</f>
        <v>73.4188042306141</v>
      </c>
      <c r="AH9" s="449" t="n">
        <f aca="false">IF(AND(L8&lt;L_rampe,Poussee&lt;Poids*SIN(M8)), g*SIN(M8), (-W8+Poussee)/m)</f>
        <v>83.0797682876639</v>
      </c>
    </row>
    <row r="10" customFormat="false" ht="12" hidden="false" customHeight="false" outlineLevel="0" collapsed="false">
      <c r="A10" s="448" t="n">
        <f aca="false">IF(B9+0.01&lt;=T_ini+ROUNDUP(Temps_fin_propu,0), 0.01, IF(K9&gt;0, 0.1, 0.0001))</f>
        <v>0.01</v>
      </c>
      <c r="B10" s="449" t="n">
        <f aca="false">B9+pas</f>
        <v>0.06</v>
      </c>
      <c r="C10" s="432"/>
      <c r="D10" s="450" t="n">
        <f aca="false">IF(AND(L9&lt;L_rampe,Poussee&lt;Poids*SIN(M9)),0,(-W9+Poussee)/m*COS(M9)-U9/m*SIN(M9))</f>
        <v>14.3395919207582</v>
      </c>
      <c r="E10" s="451" t="n">
        <f aca="false">IF(AND(L9&lt;L_rampe,Poussee&lt;Poids*SIN(M9)),0,(-W9+Poussee)/m*SIN(M9)+U9/m*COS(M9)-Poids/m)</f>
        <v>81.3284083400948</v>
      </c>
      <c r="F10" s="449" t="n">
        <f aca="false">SQRT(acc_x^2+acc_z^2)</f>
        <v>82.5828910827605</v>
      </c>
      <c r="G10" s="450" t="n">
        <f aca="false">G9+acc_x*pas</f>
        <v>0.46083154585776</v>
      </c>
      <c r="H10" s="451" t="n">
        <f aca="false">H9+acc_z*pas</f>
        <v>2.61366000997388</v>
      </c>
      <c r="I10" s="449" t="n">
        <f aca="false">SQRT(vit_x^2+vit_z^2)</f>
        <v>2.65397519984537</v>
      </c>
      <c r="J10" s="450" t="n">
        <f aca="false">J9+0.5*(vit_x+G9)*pas*(K9&gt;=0)</f>
        <v>0.00863640384471691</v>
      </c>
      <c r="K10" s="451" t="n">
        <f aca="false">K9+0.5*(vit_z+H9)*pas</f>
        <v>0.0489825233463651</v>
      </c>
      <c r="L10" s="449" t="n">
        <f aca="false">SQRT(pos_x^2+pos_z^2)</f>
        <v>0.0497380645456399</v>
      </c>
      <c r="M10" s="450" t="n">
        <f aca="false">IF(AND(L9&gt;L_rampe,G10&gt;0),ATAN2(G10,H10),$M$4)</f>
        <v>1.39626340159546</v>
      </c>
      <c r="N10" s="449" t="n">
        <f aca="false">DEGREES(Beta)</f>
        <v>80</v>
      </c>
      <c r="O10" s="438"/>
      <c r="P10" s="452" t="n">
        <f aca="false">MATCH(t-pas/2-T_ini,CdP_t)</f>
        <v>2</v>
      </c>
      <c r="Q10" s="449" t="n">
        <f aca="false">(INDEX(CdP,2,i_P+1)-INDEX(CdP,2,i_P+0))/(INDEX(CdP,1,i_P+1)-INDEX(CdP,1,i_P+0))*(t-pas/2-T_ini-INDEX(CdP,1,i_P+0))+INDEX(CdP,2,i_P+0)</f>
        <v>891.944444444445</v>
      </c>
      <c r="R10" s="450" t="n">
        <f aca="false">Poussee/(g*ISP)</f>
        <v>0.447625359440291</v>
      </c>
      <c r="S10" s="451" t="n">
        <f aca="false">S9-Débit*pas</f>
        <v>9.66931986906576</v>
      </c>
      <c r="T10" s="449" t="n">
        <f aca="false">m*g</f>
        <v>94.8560279155351</v>
      </c>
      <c r="U10" s="453" t="n">
        <f aca="false">IF(pos_xz&lt;L_rampe,Poids*COS(Beta),0)</f>
        <v>16.4715763882562</v>
      </c>
      <c r="V10" s="450" t="n">
        <f aca="false">Rho_moyen*(20000-Alt_rampe-pos_z)/(20000+Alt_rampe+pos_z)</f>
        <v>1.22499399965559</v>
      </c>
      <c r="W10" s="449" t="n">
        <f aca="false">1/2*Rho*Sref*Cx*vit_xz^2</f>
        <v>0.0191850934477907</v>
      </c>
      <c r="X10" s="438"/>
      <c r="Y10" s="454" t="str">
        <f aca="false">IF(AND(pos_z&lt;=0,K9&gt;0),"Impact balistique","") &amp; IF(AND(H11&lt;0,vit_z&gt;=0),"Apogée","") &amp; IF(AND(Poussee=0,Q9&gt;0),"Fin de propulsion","") &amp; IF(AND(L11&gt;L_rampe,pos_xz&lt;=L_rampe),"Sortie de rampe","")</f>
        <v/>
      </c>
      <c r="Z10" s="455" t="str">
        <f aca="false">IF(ABS(t-T_para)&lt;pas/2,"Para","")</f>
        <v/>
      </c>
      <c r="AA10" s="456" t="str">
        <f aca="false">IF(ABS(t-T_satellite)&lt;pas/2,"Satellite","")</f>
        <v/>
      </c>
      <c r="AB10" s="444"/>
      <c r="AC10" s="452" t="e">
        <f aca="false">IF(ABS(t-ROUND(t,0))&lt;0.001,t,NA())</f>
        <v>#N/A</v>
      </c>
      <c r="AD10" s="457" t="e">
        <f aca="false">IF(ABS(t-ROUND(t,0))&lt;0.001,pos_x,NA())</f>
        <v>#N/A</v>
      </c>
      <c r="AE10" s="458" t="n">
        <f aca="false">IF(t&lt;T_para, pos_z, NA())</f>
        <v>0.0489825233463651</v>
      </c>
      <c r="AF10" s="444"/>
      <c r="AG10" s="450" t="n">
        <f aca="false">IF(AND(L9&lt;L_rampe,Poussee&lt;Poids*SIN(M9)),0,(-W9+Poussee)/m-Poids*SIN(M9)/m)</f>
        <v>82.5828910789952</v>
      </c>
      <c r="AH10" s="449" t="n">
        <f aca="false">IF(AND(L9&lt;L_rampe,Poussee&lt;Poids*SIN(M9)), g*SIN(M9), (-W9+Poussee)/m)</f>
        <v>92.243855136045</v>
      </c>
    </row>
    <row r="11" customFormat="false" ht="12" hidden="false" customHeight="false" outlineLevel="0" collapsed="false">
      <c r="A11" s="448" t="n">
        <f aca="false">IF(B10+0.01&lt;=T_ini+ROUNDUP(Temps_fin_propu,0), 0.01, IF(K10&gt;0, 0.1, 0.0001))</f>
        <v>0.01</v>
      </c>
      <c r="B11" s="449" t="n">
        <f aca="false">B10+pas</f>
        <v>0.07</v>
      </c>
      <c r="C11" s="432"/>
      <c r="D11" s="450" t="n">
        <f aca="false">IF(AND(L10&lt;L_rampe,Poussee&lt;Poids*SIN(M10)),0,(-W10+Poussee)/m*COS(M10)-U10/m*SIN(M10))</f>
        <v>14.308883110448</v>
      </c>
      <c r="E11" s="451" t="n">
        <f aca="false">IF(AND(L10&lt;L_rampe,Poussee&lt;Poids*SIN(M10)),0,(-W10+Poussee)/m*SIN(M10)+U10/m*COS(M10)-Poids/m)</f>
        <v>81.1542413670375</v>
      </c>
      <c r="F11" s="449" t="n">
        <f aca="false">SQRT(acc_x^2+acc_z^2)</f>
        <v>82.40603756842</v>
      </c>
      <c r="G11" s="450" t="n">
        <f aca="false">G10+acc_x*pas</f>
        <v>0.60392037696224</v>
      </c>
      <c r="H11" s="451" t="n">
        <f aca="false">H10+acc_z*pas</f>
        <v>3.42520242364425</v>
      </c>
      <c r="I11" s="449" t="n">
        <f aca="false">SQRT(vit_x^2+vit_z^2)</f>
        <v>3.47803557552948</v>
      </c>
      <c r="J11" s="450" t="n">
        <f aca="false">J10+0.5*(vit_x+G10)*pas*(K10&gt;=0)</f>
        <v>0.0139601634588169</v>
      </c>
      <c r="K11" s="451" t="n">
        <f aca="false">K10+0.5*(vit_z+H10)*pas</f>
        <v>0.0791768355144557</v>
      </c>
      <c r="L11" s="449" t="n">
        <f aca="false">SQRT(pos_x^2+pos_z^2)</f>
        <v>0.0803981184225108</v>
      </c>
      <c r="M11" s="450" t="n">
        <f aca="false">IF(AND(L10&gt;L_rampe,G11&gt;0),ATAN2(G11,H11),$M$4)</f>
        <v>1.39626340159546</v>
      </c>
      <c r="N11" s="449" t="n">
        <f aca="false">DEGREES(Beta)</f>
        <v>80</v>
      </c>
      <c r="O11" s="438"/>
      <c r="P11" s="452" t="n">
        <f aca="false">MATCH(t-pas/2-T_ini,CdP_t)</f>
        <v>2</v>
      </c>
      <c r="Q11" s="449" t="n">
        <f aca="false">(INDEX(CdP,2,i_P+1)-INDEX(CdP,2,i_P+0))/(INDEX(CdP,1,i_P+1)-INDEX(CdP,1,i_P+0))*(t-pas/2-T_ini-INDEX(CdP,1,i_P+0))+INDEX(CdP,2,i_P+0)</f>
        <v>889.833333333333</v>
      </c>
      <c r="R11" s="450" t="n">
        <f aca="false">Poussee/(g*ISP)</f>
        <v>0.446565891133923</v>
      </c>
      <c r="S11" s="451" t="n">
        <f aca="false">S10-Débit*pas</f>
        <v>9.66485421015442</v>
      </c>
      <c r="T11" s="449" t="n">
        <f aca="false">m*g</f>
        <v>94.8122198016149</v>
      </c>
      <c r="U11" s="453" t="n">
        <f aca="false">IF(pos_xz&lt;L_rampe,Poids*COS(Beta),0)</f>
        <v>16.4639691891069</v>
      </c>
      <c r="V11" s="450" t="n">
        <f aca="false">Rho_moyen*(20000-Alt_rampe-pos_z)/(20000+Alt_rampe+pos_z)</f>
        <v>1.22499030087605</v>
      </c>
      <c r="W11" s="449" t="n">
        <f aca="false">1/2*Rho*Sref*Cx*vit_xz^2</f>
        <v>0.03294859703745</v>
      </c>
      <c r="X11" s="438"/>
      <c r="Y11" s="454" t="str">
        <f aca="false">IF(AND(pos_z&lt;=0,K10&gt;0),"Impact balistique","") &amp; IF(AND(H12&lt;0,vit_z&gt;=0),"Apogée","") &amp; IF(AND(Poussee=0,Q10&gt;0),"Fin de propulsion","") &amp; IF(AND(L12&gt;L_rampe,pos_xz&lt;=L_rampe),"Sortie de rampe","")</f>
        <v/>
      </c>
      <c r="Z11" s="455" t="str">
        <f aca="false">IF(ABS(t-T_para)&lt;pas/2,"Para","")</f>
        <v/>
      </c>
      <c r="AA11" s="456" t="str">
        <f aca="false">IF(ABS(t-T_satellite)&lt;pas/2,"Satellite","")</f>
        <v/>
      </c>
      <c r="AB11" s="444"/>
      <c r="AC11" s="452" t="e">
        <f aca="false">IF(ABS(t-ROUND(t,0))&lt;0.001,t,NA())</f>
        <v>#N/A</v>
      </c>
      <c r="AD11" s="457" t="e">
        <f aca="false">IF(ABS(t-ROUND(t,0))&lt;0.001,pos_x,NA())</f>
        <v>#N/A</v>
      </c>
      <c r="AE11" s="458" t="n">
        <f aca="false">IF(t&lt;T_para, pos_z, NA())</f>
        <v>0.0791768355144557</v>
      </c>
      <c r="AF11" s="444"/>
      <c r="AG11" s="450" t="n">
        <f aca="false">IF(AND(L10&lt;L_rampe,Poussee&lt;Poids*SIN(M10)),0,(-W10+Poussee)/m-Poids*SIN(M10)/m)</f>
        <v>82.406037564661</v>
      </c>
      <c r="AH11" s="449" t="n">
        <f aca="false">IF(AND(L10&lt;L_rampe,Poussee&lt;Poids*SIN(M10)), g*SIN(M10), (-W10+Poussee)/m)</f>
        <v>92.0670016217108</v>
      </c>
    </row>
    <row r="12" customFormat="false" ht="12" hidden="false" customHeight="false" outlineLevel="0" collapsed="false">
      <c r="A12" s="448" t="n">
        <f aca="false">IF(B11+0.01&lt;=T_ini+ROUNDUP(Temps_fin_propu,0), 0.01, IF(K11&gt;0, 0.1, 0.0001))</f>
        <v>0.01</v>
      </c>
      <c r="B12" s="449" t="n">
        <f aca="false">B11+pas</f>
        <v>0.08</v>
      </c>
      <c r="C12" s="432"/>
      <c r="D12" s="450" t="n">
        <f aca="false">IF(AND(L11&lt;L_rampe,Poussee&lt;Poids*SIN(M11)),0,(-W11+Poussee)/m*COS(M11)-U11/m*SIN(M11))</f>
        <v>14.2780622325398</v>
      </c>
      <c r="E12" s="451" t="n">
        <f aca="false">IF(AND(L11&lt;L_rampe,Poussee&lt;Poids*SIN(M11)),0,(-W11+Poussee)/m*SIN(M11)+U11/m*COS(M11)-Poids/m)</f>
        <v>80.979438814086</v>
      </c>
      <c r="F12" s="449" t="n">
        <f aca="false">SQRT(acc_x^2+acc_z^2)</f>
        <v>82.2285386697379</v>
      </c>
      <c r="G12" s="450" t="n">
        <f aca="false">G11+acc_x*pas</f>
        <v>0.746700999287638</v>
      </c>
      <c r="H12" s="451" t="n">
        <f aca="false">H11+acc_z*pas</f>
        <v>4.23499681178511</v>
      </c>
      <c r="I12" s="449" t="n">
        <f aca="false">SQRT(vit_x^2+vit_z^2)</f>
        <v>4.3003209622268</v>
      </c>
      <c r="J12" s="450" t="n">
        <f aca="false">J11+0.5*(vit_x+G11)*pas*(K11&gt;=0)</f>
        <v>0.0207132703400663</v>
      </c>
      <c r="K12" s="451" t="n">
        <f aca="false">K11+0.5*(vit_z+H11)*pas</f>
        <v>0.117477831691603</v>
      </c>
      <c r="L12" s="449" t="n">
        <f aca="false">SQRT(pos_x^2+pos_z^2)</f>
        <v>0.119289901111289</v>
      </c>
      <c r="M12" s="450" t="n">
        <f aca="false">IF(AND(L11&gt;L_rampe,G12&gt;0),ATAN2(G12,H12),$M$4)</f>
        <v>1.39626340159546</v>
      </c>
      <c r="N12" s="449" t="n">
        <f aca="false">DEGREES(Beta)</f>
        <v>80</v>
      </c>
      <c r="O12" s="438"/>
      <c r="P12" s="452" t="n">
        <f aca="false">MATCH(t-pas/2-T_ini,CdP_t)</f>
        <v>2</v>
      </c>
      <c r="Q12" s="449" t="n">
        <f aca="false">(INDEX(CdP,2,i_P+1)-INDEX(CdP,2,i_P+0))/(INDEX(CdP,1,i_P+1)-INDEX(CdP,1,i_P+0))*(t-pas/2-T_ini-INDEX(CdP,1,i_P+0))+INDEX(CdP,2,i_P+0)</f>
        <v>887.722222222222</v>
      </c>
      <c r="R12" s="450" t="n">
        <f aca="false">Poussee/(g*ISP)</f>
        <v>0.445506422827556</v>
      </c>
      <c r="S12" s="451" t="n">
        <f aca="false">S11-Débit*pas</f>
        <v>9.66039914592614</v>
      </c>
      <c r="T12" s="449" t="n">
        <f aca="false">m*g</f>
        <v>94.7685156215355</v>
      </c>
      <c r="U12" s="453" t="n">
        <f aca="false">IF(pos_xz&lt;L_rampe,Poids*COS(Beta),0)</f>
        <v>16.4563800378797</v>
      </c>
      <c r="V12" s="450" t="n">
        <f aca="false">Rho_moyen*(20000-Alt_rampe-pos_z)/(20000+Alt_rampe+pos_z)</f>
        <v>1.22498560905015</v>
      </c>
      <c r="W12" s="449" t="n">
        <f aca="false">1/2*Rho*Sref*Cx*vit_xz^2</f>
        <v>0.0503696538090067</v>
      </c>
      <c r="X12" s="438"/>
      <c r="Y12" s="454" t="str">
        <f aca="false">IF(AND(pos_z&lt;=0,K11&gt;0),"Impact balistique","") &amp; IF(AND(H13&lt;0,vit_z&gt;=0),"Apogée","") &amp; IF(AND(Poussee=0,Q11&gt;0),"Fin de propulsion","") &amp; IF(AND(L13&gt;L_rampe,pos_xz&lt;=L_rampe),"Sortie de rampe","")</f>
        <v/>
      </c>
      <c r="Z12" s="455" t="str">
        <f aca="false">IF(ABS(t-T_para)&lt;pas/2,"Para","")</f>
        <v/>
      </c>
      <c r="AA12" s="456" t="str">
        <f aca="false">IF(ABS(t-T_satellite)&lt;pas/2,"Satellite","")</f>
        <v/>
      </c>
      <c r="AB12" s="444"/>
      <c r="AC12" s="452" t="e">
        <f aca="false">IF(ABS(t-ROUND(t,0))&lt;0.001,t,NA())</f>
        <v>#N/A</v>
      </c>
      <c r="AD12" s="457" t="e">
        <f aca="false">IF(ABS(t-ROUND(t,0))&lt;0.001,pos_x,NA())</f>
        <v>#N/A</v>
      </c>
      <c r="AE12" s="458" t="n">
        <f aca="false">IF(t&lt;T_para, pos_z, NA())</f>
        <v>0.117477831691603</v>
      </c>
      <c r="AF12" s="444"/>
      <c r="AG12" s="450" t="n">
        <f aca="false">IF(AND(L11&lt;L_rampe,Poussee&lt;Poids*SIN(M11)),0,(-W11+Poussee)/m-Poids*SIN(M11)/m)</f>
        <v>82.2285386659852</v>
      </c>
      <c r="AH12" s="449" t="n">
        <f aca="false">IF(AND(L11&lt;L_rampe,Poussee&lt;Poids*SIN(M11)), g*SIN(M11), (-W11+Poussee)/m)</f>
        <v>91.8895027230349</v>
      </c>
    </row>
    <row r="13" customFormat="false" ht="12" hidden="false" customHeight="false" outlineLevel="0" collapsed="false">
      <c r="A13" s="448" t="n">
        <f aca="false">IF(B12+0.01&lt;=T_ini+ROUNDUP(Temps_fin_propu,0), 0.01, IF(K12&gt;0, 0.1, 0.0001))</f>
        <v>0.01</v>
      </c>
      <c r="B13" s="449" t="n">
        <f aca="false">B12+pas</f>
        <v>0.09</v>
      </c>
      <c r="C13" s="432"/>
      <c r="D13" s="450" t="n">
        <f aca="false">IF(AND(L12&lt;L_rampe,Poussee&lt;Poids*SIN(M12)),0,(-W12+Poussee)/m*COS(M12)-U12/m*SIN(M12))</f>
        <v>14.2471296656063</v>
      </c>
      <c r="E13" s="451" t="n">
        <f aca="false">IF(AND(L12&lt;L_rampe,Poussee&lt;Poids*SIN(M12)),0,(-W12+Poussee)/m*SIN(M12)+U12/m*COS(M12)-Poids/m)</f>
        <v>80.8040028282425</v>
      </c>
      <c r="F13" s="449" t="n">
        <f aca="false">SQRT(acc_x^2+acc_z^2)</f>
        <v>82.050396566837</v>
      </c>
      <c r="G13" s="450" t="n">
        <f aca="false">G12+acc_x*pas</f>
        <v>0.889172295943701</v>
      </c>
      <c r="H13" s="451" t="n">
        <f aca="false">H12+acc_z*pas</f>
        <v>5.04303684006754</v>
      </c>
      <c r="I13" s="449" t="n">
        <f aca="false">SQRT(vit_x^2+vit_z^2)</f>
        <v>5.12082492789513</v>
      </c>
      <c r="J13" s="450" t="n">
        <f aca="false">J12+0.5*(vit_x+G12)*pas*(K12&gt;=0)</f>
        <v>0.028892636816223</v>
      </c>
      <c r="K13" s="451" t="n">
        <f aca="false">K12+0.5*(vit_z+H12)*pas</f>
        <v>0.163867999950866</v>
      </c>
      <c r="L13" s="449" t="n">
        <f aca="false">SQRT(pos_x^2+pos_z^2)</f>
        <v>0.166395630561896</v>
      </c>
      <c r="M13" s="450" t="n">
        <f aca="false">IF(AND(L12&gt;L_rampe,G13&gt;0),ATAN2(G13,H13),$M$4)</f>
        <v>1.39626340159546</v>
      </c>
      <c r="N13" s="449" t="n">
        <f aca="false">DEGREES(Beta)</f>
        <v>80</v>
      </c>
      <c r="O13" s="438"/>
      <c r="P13" s="452" t="n">
        <f aca="false">MATCH(t-pas/2-T_ini,CdP_t)</f>
        <v>2</v>
      </c>
      <c r="Q13" s="449" t="n">
        <f aca="false">(INDEX(CdP,2,i_P+1)-INDEX(CdP,2,i_P+0))/(INDEX(CdP,1,i_P+1)-INDEX(CdP,1,i_P+0))*(t-pas/2-T_ini-INDEX(CdP,1,i_P+0))+INDEX(CdP,2,i_P+0)</f>
        <v>885.611111111111</v>
      </c>
      <c r="R13" s="450" t="n">
        <f aca="false">Poussee/(g*ISP)</f>
        <v>0.444446954521188</v>
      </c>
      <c r="S13" s="451" t="n">
        <f aca="false">S12-Débit*pas</f>
        <v>9.65595467638093</v>
      </c>
      <c r="T13" s="449" t="n">
        <f aca="false">m*g</f>
        <v>94.724915375297</v>
      </c>
      <c r="U13" s="453" t="n">
        <f aca="false">IF(pos_xz&lt;L_rampe,Poids*COS(Beta),0)</f>
        <v>16.4488089345745</v>
      </c>
      <c r="V13" s="450" t="n">
        <f aca="false">Rho_moyen*(20000-Alt_rampe-pos_z)/(20000+Alt_rampe+pos_z)</f>
        <v>1.22497992633448</v>
      </c>
      <c r="W13" s="449" t="n">
        <f aca="false">1/2*Rho*Sref*Cx*vit_xz^2</f>
        <v>0.0714241475235171</v>
      </c>
      <c r="X13" s="438"/>
      <c r="Y13" s="454" t="str">
        <f aca="false">IF(AND(pos_z&lt;=0,K12&gt;0),"Impact balistique","") &amp; IF(AND(H14&lt;0,vit_z&gt;=0),"Apogée","") &amp; IF(AND(Poussee=0,Q12&gt;0),"Fin de propulsion","") &amp; IF(AND(L14&gt;L_rampe,pos_xz&lt;=L_rampe),"Sortie de rampe","")</f>
        <v/>
      </c>
      <c r="Z13" s="455" t="str">
        <f aca="false">IF(ABS(t-T_para)&lt;pas/2,"Para","")</f>
        <v/>
      </c>
      <c r="AA13" s="456" t="str">
        <f aca="false">IF(ABS(t-T_satellite)&lt;pas/2,"Satellite","")</f>
        <v/>
      </c>
      <c r="AB13" s="444"/>
      <c r="AC13" s="452" t="e">
        <f aca="false">IF(ABS(t-ROUND(t,0))&lt;0.001,t,NA())</f>
        <v>#N/A</v>
      </c>
      <c r="AD13" s="457" t="e">
        <f aca="false">IF(ABS(t-ROUND(t,0))&lt;0.001,pos_x,NA())</f>
        <v>#N/A</v>
      </c>
      <c r="AE13" s="458" t="n">
        <f aca="false">IF(t&lt;T_para, pos_z, NA())</f>
        <v>0.163867999950866</v>
      </c>
      <c r="AF13" s="444"/>
      <c r="AG13" s="450" t="n">
        <f aca="false">IF(AND(L12&lt;L_rampe,Poussee&lt;Poids*SIN(M12)),0,(-W12+Poussee)/m-Poids*SIN(M12)/m)</f>
        <v>82.0503965630906</v>
      </c>
      <c r="AH13" s="449" t="n">
        <f aca="false">IF(AND(L12&lt;L_rampe,Poussee&lt;Poids*SIN(M12)), g*SIN(M12), (-W12+Poussee)/m)</f>
        <v>91.7113606201403</v>
      </c>
    </row>
    <row r="14" customFormat="false" ht="12" hidden="false" customHeight="false" outlineLevel="0" collapsed="false">
      <c r="A14" s="448" t="n">
        <f aca="false">IF(B13+0.01&lt;=T_ini+ROUNDUP(Temps_fin_propu,0), 0.01, IF(K13&gt;0, 0.1, 0.0001))</f>
        <v>0.01</v>
      </c>
      <c r="B14" s="449" t="n">
        <f aca="false">B13+pas</f>
        <v>0.1</v>
      </c>
      <c r="C14" s="432"/>
      <c r="D14" s="450" t="n">
        <f aca="false">IF(AND(L13&lt;L_rampe,Poussee&lt;Poids*SIN(M13)),0,(-W13+Poussee)/m*COS(M13)-U13/m*SIN(M13))</f>
        <v>14.2160857911115</v>
      </c>
      <c r="E14" s="451" t="n">
        <f aca="false">IF(AND(L13&lt;L_rampe,Poussee&lt;Poids*SIN(M13)),0,(-W13+Poussee)/m*SIN(M13)+U13/m*COS(M13)-Poids/m)</f>
        <v>80.6279355729075</v>
      </c>
      <c r="F14" s="449" t="n">
        <f aca="false">SQRT(acc_x^2+acc_z^2)</f>
        <v>81.8716134564916</v>
      </c>
      <c r="G14" s="450" t="n">
        <f aca="false">G13+acc_x*pas</f>
        <v>1.03133315385482</v>
      </c>
      <c r="H14" s="451" t="n">
        <f aca="false">H13+acc_z*pas</f>
        <v>5.84931619579661</v>
      </c>
      <c r="I14" s="449" t="n">
        <f aca="false">SQRT(vit_x^2+vit_z^2)</f>
        <v>5.93954106246002</v>
      </c>
      <c r="J14" s="450" t="n">
        <f aca="false">J13+0.5*(vit_x+G13)*pas*(K13&gt;=0)</f>
        <v>0.0384951640652156</v>
      </c>
      <c r="K14" s="451" t="n">
        <f aca="false">K13+0.5*(vit_z+H13)*pas</f>
        <v>0.218329765130187</v>
      </c>
      <c r="L14" s="449" t="n">
        <f aca="false">SQRT(pos_x^2+pos_z^2)</f>
        <v>0.22169746051367</v>
      </c>
      <c r="M14" s="450" t="n">
        <f aca="false">IF(AND(L13&gt;L_rampe,G14&gt;0),ATAN2(G14,H14),$M$4)</f>
        <v>1.39626340159546</v>
      </c>
      <c r="N14" s="449" t="n">
        <f aca="false">DEGREES(Beta)</f>
        <v>80</v>
      </c>
      <c r="O14" s="438"/>
      <c r="P14" s="452" t="n">
        <f aca="false">MATCH(t-pas/2-T_ini,CdP_t)</f>
        <v>2</v>
      </c>
      <c r="Q14" s="449" t="n">
        <f aca="false">(INDEX(CdP,2,i_P+1)-INDEX(CdP,2,i_P+0))/(INDEX(CdP,1,i_P+1)-INDEX(CdP,1,i_P+0))*(t-pas/2-T_ini-INDEX(CdP,1,i_P+0))+INDEX(CdP,2,i_P+0)</f>
        <v>883.5</v>
      </c>
      <c r="R14" s="450" t="n">
        <f aca="false">Poussee/(g*ISP)</f>
        <v>0.44338748621482</v>
      </c>
      <c r="S14" s="451" t="n">
        <f aca="false">S13-Débit*pas</f>
        <v>9.65152080151879</v>
      </c>
      <c r="T14" s="449" t="n">
        <f aca="false">m*g</f>
        <v>94.6814190628993</v>
      </c>
      <c r="U14" s="453" t="n">
        <f aca="false">IF(pos_xz&lt;L_rampe,Poids*COS(Beta),0)</f>
        <v>16.4412558791914</v>
      </c>
      <c r="V14" s="450" t="n">
        <f aca="false">Rho_moyen*(20000-Alt_rampe-pos_z)/(20000+Alt_rampe+pos_z)</f>
        <v>1.22497325489573</v>
      </c>
      <c r="W14" s="449" t="n">
        <f aca="false">1/2*Rho*Sref*Cx*vit_xz^2</f>
        <v>0.0960878823017926</v>
      </c>
      <c r="X14" s="438"/>
      <c r="Y14" s="454" t="str">
        <f aca="false">IF(AND(pos_z&lt;=0,K13&gt;0),"Impact balistique","") &amp; IF(AND(H15&lt;0,vit_z&gt;=0),"Apogée","") &amp; IF(AND(Poussee=0,Q13&gt;0),"Fin de propulsion","") &amp; IF(AND(L15&gt;L_rampe,pos_xz&lt;=L_rampe),"Sortie de rampe","")</f>
        <v/>
      </c>
      <c r="Z14" s="455" t="str">
        <f aca="false">IF(ABS(t-T_para)&lt;pas/2,"Para","")</f>
        <v/>
      </c>
      <c r="AA14" s="456" t="str">
        <f aca="false">IF(ABS(t-T_satellite)&lt;pas/2,"Satellite","")</f>
        <v/>
      </c>
      <c r="AB14" s="444"/>
      <c r="AC14" s="452" t="e">
        <f aca="false">IF(ABS(t-ROUND(t,0))&lt;0.001,t,NA())</f>
        <v>#N/A</v>
      </c>
      <c r="AD14" s="457" t="e">
        <f aca="false">IF(ABS(t-ROUND(t,0))&lt;0.001,pos_x,NA())</f>
        <v>#N/A</v>
      </c>
      <c r="AE14" s="458" t="n">
        <f aca="false">IF(t&lt;T_para, pos_z, NA())</f>
        <v>0.218329765130187</v>
      </c>
      <c r="AF14" s="444"/>
      <c r="AG14" s="450" t="n">
        <f aca="false">IF(AND(L13&lt;L_rampe,Poussee&lt;Poids*SIN(M13)),0,(-W13+Poussee)/m-Poids*SIN(M13)/m)</f>
        <v>81.8716134527514</v>
      </c>
      <c r="AH14" s="449" t="n">
        <f aca="false">IF(AND(L13&lt;L_rampe,Poussee&lt;Poids*SIN(M13)), g*SIN(M13), (-W13+Poussee)/m)</f>
        <v>91.5325775098012</v>
      </c>
    </row>
    <row r="15" customFormat="false" ht="12" hidden="false" customHeight="false" outlineLevel="0" collapsed="false">
      <c r="A15" s="448" t="n">
        <f aca="false">IF(B14+0.01&lt;=T_ini+ROUNDUP(Temps_fin_propu,0), 0.01, IF(K14&gt;0, 0.1, 0.0001))</f>
        <v>0.01</v>
      </c>
      <c r="B15" s="449" t="n">
        <f aca="false">B14+pas</f>
        <v>0.11</v>
      </c>
      <c r="C15" s="432"/>
      <c r="D15" s="450" t="n">
        <f aca="false">IF(AND(L14&lt;L_rampe,Poussee&lt;Poids*SIN(M14)),0,(-W14+Poussee)/m*COS(M14)-U14/m*SIN(M14))</f>
        <v>14.1849309933885</v>
      </c>
      <c r="E15" s="451" t="n">
        <f aca="false">IF(AND(L14&lt;L_rampe,Poussee&lt;Poids*SIN(M14)),0,(-W14+Poussee)/m*SIN(M14)+U14/m*COS(M14)-Poids/m)</f>
        <v>80.4512392277534</v>
      </c>
      <c r="F15" s="449" t="n">
        <f aca="false">SQRT(acc_x^2+acc_z^2)</f>
        <v>81.6921915519984</v>
      </c>
      <c r="G15" s="450" t="n">
        <f aca="false">G14+acc_x*pas</f>
        <v>1.1731824637887</v>
      </c>
      <c r="H15" s="451" t="n">
        <f aca="false">H14+acc_z*pas</f>
        <v>6.65382858807415</v>
      </c>
      <c r="I15" s="449" t="n">
        <f aca="false">SQRT(vit_x^2+vit_z^2)</f>
        <v>6.75646297797998</v>
      </c>
      <c r="J15" s="450" t="n">
        <f aca="false">J14+0.5*(vit_x+G14)*pas*(K14&gt;=0)</f>
        <v>0.0495177421534332</v>
      </c>
      <c r="K15" s="451" t="n">
        <f aca="false">K14+0.5*(vit_z+H14)*pas</f>
        <v>0.28084548904954</v>
      </c>
      <c r="L15" s="449" t="n">
        <f aca="false">SQRT(pos_x^2+pos_z^2)</f>
        <v>0.285177480715868</v>
      </c>
      <c r="M15" s="450" t="n">
        <f aca="false">IF(AND(L14&gt;L_rampe,G15&gt;0),ATAN2(G15,H15),$M$4)</f>
        <v>1.39626340159546</v>
      </c>
      <c r="N15" s="449" t="n">
        <f aca="false">DEGREES(Beta)</f>
        <v>80</v>
      </c>
      <c r="O15" s="438"/>
      <c r="P15" s="452" t="n">
        <f aca="false">MATCH(t-pas/2-T_ini,CdP_t)</f>
        <v>2</v>
      </c>
      <c r="Q15" s="449" t="n">
        <f aca="false">(INDEX(CdP,2,i_P+1)-INDEX(CdP,2,i_P+0))/(INDEX(CdP,1,i_P+1)-INDEX(CdP,1,i_P+0))*(t-pas/2-T_ini-INDEX(CdP,1,i_P+0))+INDEX(CdP,2,i_P+0)</f>
        <v>881.388888888889</v>
      </c>
      <c r="R15" s="450" t="n">
        <f aca="false">Poussee/(g*ISP)</f>
        <v>0.442328017908453</v>
      </c>
      <c r="S15" s="451" t="n">
        <f aca="false">S14-Débit*pas</f>
        <v>9.6470975213397</v>
      </c>
      <c r="T15" s="449" t="n">
        <f aca="false">m*g</f>
        <v>94.6380266843425</v>
      </c>
      <c r="U15" s="453" t="n">
        <f aca="false">IF(pos_xz&lt;L_rampe,Poids*COS(Beta),0)</f>
        <v>16.4337208717304</v>
      </c>
      <c r="V15" s="450" t="n">
        <f aca="false">Rho_moyen*(20000-Alt_rampe-pos_z)/(20000+Alt_rampe+pos_z)</f>
        <v>1.22496559691069</v>
      </c>
      <c r="W15" s="449" t="n">
        <f aca="false">1/2*Rho*Sref*Cx*vit_xz^2</f>
        <v>0.124336584005636</v>
      </c>
      <c r="X15" s="438"/>
      <c r="Y15" s="454" t="str">
        <f aca="false">IF(AND(pos_z&lt;=0,K14&gt;0),"Impact balistique","") &amp; IF(AND(H16&lt;0,vit_z&gt;=0),"Apogée","") &amp; IF(AND(Poussee=0,Q14&gt;0),"Fin de propulsion","") &amp; IF(AND(L16&gt;L_rampe,pos_xz&lt;=L_rampe),"Sortie de rampe","")</f>
        <v/>
      </c>
      <c r="Z15" s="455" t="str">
        <f aca="false">IF(ABS(t-T_para)&lt;pas/2,"Para","")</f>
        <v/>
      </c>
      <c r="AA15" s="456" t="str">
        <f aca="false">IF(ABS(t-T_satellite)&lt;pas/2,"Satellite","")</f>
        <v/>
      </c>
      <c r="AB15" s="444"/>
      <c r="AC15" s="452" t="e">
        <f aca="false">IF(ABS(t-ROUND(t,0))&lt;0.001,t,NA())</f>
        <v>#N/A</v>
      </c>
      <c r="AD15" s="457" t="e">
        <f aca="false">IF(ABS(t-ROUND(t,0))&lt;0.001,pos_x,NA())</f>
        <v>#N/A</v>
      </c>
      <c r="AE15" s="458" t="n">
        <f aca="false">IF(t&lt;T_para, pos_z, NA())</f>
        <v>0.28084548904954</v>
      </c>
      <c r="AF15" s="444"/>
      <c r="AG15" s="450" t="n">
        <f aca="false">IF(AND(L14&lt;L_rampe,Poussee&lt;Poids*SIN(M14)),0,(-W14+Poussee)/m-Poids*SIN(M14)/m)</f>
        <v>81.6921915482645</v>
      </c>
      <c r="AH15" s="449" t="n">
        <f aca="false">IF(AND(L14&lt;L_rampe,Poussee&lt;Poids*SIN(M14)), g*SIN(M14), (-W14+Poussee)/m)</f>
        <v>91.3531556053142</v>
      </c>
    </row>
    <row r="16" customFormat="false" ht="12" hidden="false" customHeight="false" outlineLevel="0" collapsed="false">
      <c r="A16" s="448" t="n">
        <f aca="false">IF(B15+0.01&lt;=T_ini+ROUNDUP(Temps_fin_propu,0), 0.01, IF(K15&gt;0, 0.1, 0.0001))</f>
        <v>0.01</v>
      </c>
      <c r="B16" s="449" t="n">
        <f aca="false">B15+pas</f>
        <v>0.12</v>
      </c>
      <c r="C16" s="432"/>
      <c r="D16" s="450" t="n">
        <f aca="false">IF(AND(L15&lt;L_rampe,Poussee&lt;Poids*SIN(M15)),0,(-W15+Poussee)/m*COS(M15)-U15/m*SIN(M15))</f>
        <v>14.1536656596171</v>
      </c>
      <c r="E16" s="451" t="n">
        <f aca="false">IF(AND(L15&lt;L_rampe,Poussee&lt;Poids*SIN(M15)),0,(-W15+Poussee)/m*SIN(M15)+U15/m*COS(M15)-Poids/m)</f>
        <v>80.2739159885961</v>
      </c>
      <c r="F16" s="449" t="n">
        <f aca="false">SQRT(acc_x^2+acc_z^2)</f>
        <v>81.5121330830473</v>
      </c>
      <c r="G16" s="450" t="n">
        <f aca="false">G15+acc_x*pas</f>
        <v>1.31471912038487</v>
      </c>
      <c r="H16" s="451" t="n">
        <f aca="false">H15+acc_z*pas</f>
        <v>7.45656774796011</v>
      </c>
      <c r="I16" s="449" t="n">
        <f aca="false">SQRT(vit_x^2+vit_z^2)</f>
        <v>7.57158430881044</v>
      </c>
      <c r="J16" s="450" t="n">
        <f aca="false">J15+0.5*(vit_x+G15)*pas*(K15&gt;=0)</f>
        <v>0.061957250074301</v>
      </c>
      <c r="K16" s="451" t="n">
        <f aca="false">K15+0.5*(vit_z+H15)*pas</f>
        <v>0.351397470729712</v>
      </c>
      <c r="L16" s="449" t="n">
        <f aca="false">SQRT(pos_x^2+pos_z^2)</f>
        <v>0.356817717149819</v>
      </c>
      <c r="M16" s="450" t="n">
        <f aca="false">IF(AND(L15&gt;L_rampe,G16&gt;0),ATAN2(G16,H16),$M$4)</f>
        <v>1.39626340159546</v>
      </c>
      <c r="N16" s="449" t="n">
        <f aca="false">DEGREES(Beta)</f>
        <v>80</v>
      </c>
      <c r="O16" s="438"/>
      <c r="P16" s="452" t="n">
        <f aca="false">MATCH(t-pas/2-T_ini,CdP_t)</f>
        <v>2</v>
      </c>
      <c r="Q16" s="449" t="n">
        <f aca="false">(INDEX(CdP,2,i_P+1)-INDEX(CdP,2,i_P+0))/(INDEX(CdP,1,i_P+1)-INDEX(CdP,1,i_P+0))*(t-pas/2-T_ini-INDEX(CdP,1,i_P+0))+INDEX(CdP,2,i_P+0)</f>
        <v>879.277777777778</v>
      </c>
      <c r="R16" s="450" t="n">
        <f aca="false">Poussee/(g*ISP)</f>
        <v>0.441268549602085</v>
      </c>
      <c r="S16" s="451" t="n">
        <f aca="false">S15-Débit*pas</f>
        <v>9.64268483584368</v>
      </c>
      <c r="T16" s="449" t="n">
        <f aca="false">m*g</f>
        <v>94.5947382396265</v>
      </c>
      <c r="U16" s="453" t="n">
        <f aca="false">IF(pos_xz&lt;L_rampe,Poids*COS(Beta),0)</f>
        <v>16.4262039121914</v>
      </c>
      <c r="V16" s="450" t="n">
        <f aca="false">Rho_moyen*(20000-Alt_rampe-pos_z)/(20000+Alt_rampe+pos_z)</f>
        <v>1.22495695456614</v>
      </c>
      <c r="W16" s="449" t="n">
        <f aca="false">1/2*Rho*Sref*Cx*vit_xz^2</f>
        <v>0.156145901622739</v>
      </c>
      <c r="X16" s="438"/>
      <c r="Y16" s="454" t="str">
        <f aca="false">IF(AND(pos_z&lt;=0,K15&gt;0),"Impact balistique","") &amp; IF(AND(H17&lt;0,vit_z&gt;=0),"Apogée","") &amp; IF(AND(Poussee=0,Q15&gt;0),"Fin de propulsion","") &amp; IF(AND(L17&gt;L_rampe,pos_xz&lt;=L_rampe),"Sortie de rampe","")</f>
        <v/>
      </c>
      <c r="Z16" s="455" t="str">
        <f aca="false">IF(ABS(t-T_para)&lt;pas/2,"Para","")</f>
        <v/>
      </c>
      <c r="AA16" s="456" t="str">
        <f aca="false">IF(ABS(t-T_satellite)&lt;pas/2,"Satellite","")</f>
        <v/>
      </c>
      <c r="AB16" s="444"/>
      <c r="AC16" s="452" t="e">
        <f aca="false">IF(ABS(t-ROUND(t,0))&lt;0.001,t,NA())</f>
        <v>#N/A</v>
      </c>
      <c r="AD16" s="457" t="e">
        <f aca="false">IF(ABS(t-ROUND(t,0))&lt;0.001,pos_x,NA())</f>
        <v>#N/A</v>
      </c>
      <c r="AE16" s="458" t="n">
        <f aca="false">IF(t&lt;T_para, pos_z, NA())</f>
        <v>0.351397470729712</v>
      </c>
      <c r="AF16" s="444"/>
      <c r="AG16" s="450" t="n">
        <f aca="false">IF(AND(L15&lt;L_rampe,Poussee&lt;Poids*SIN(M15)),0,(-W15+Poussee)/m-Poids*SIN(M15)/m)</f>
        <v>81.5121330793197</v>
      </c>
      <c r="AH16" s="449" t="n">
        <f aca="false">IF(AND(L15&lt;L_rampe,Poussee&lt;Poids*SIN(M15)), g*SIN(M15), (-W15+Poussee)/m)</f>
        <v>91.1730971363694</v>
      </c>
    </row>
    <row r="17" customFormat="false" ht="12" hidden="false" customHeight="false" outlineLevel="0" collapsed="false">
      <c r="A17" s="448" t="n">
        <f aca="false">IF(B16+0.01&lt;=T_ini+ROUNDUP(Temps_fin_propu,0), 0.01, IF(K16&gt;0, 0.1, 0.0001))</f>
        <v>0.01</v>
      </c>
      <c r="B17" s="449" t="n">
        <f aca="false">B16+pas</f>
        <v>0.13</v>
      </c>
      <c r="C17" s="432"/>
      <c r="D17" s="450" t="n">
        <f aca="false">IF(AND(L16&lt;L_rampe,Poussee&lt;Poids*SIN(M16)),0,(-W16+Poussee)/m*COS(M16)-U16/m*SIN(M16))</f>
        <v>14.1222901798007</v>
      </c>
      <c r="E17" s="451" t="n">
        <f aca="false">IF(AND(L16&lt;L_rampe,Poussee&lt;Poids*SIN(M16)),0,(-W16+Poussee)/m*SIN(M16)+U16/m*COS(M16)-Poids/m)</f>
        <v>80.0959680672674</v>
      </c>
      <c r="F17" s="449" t="n">
        <f aca="false">SQRT(acc_x^2+acc_z^2)</f>
        <v>81.3314402955906</v>
      </c>
      <c r="G17" s="450" t="n">
        <f aca="false">G16+acc_x*pas</f>
        <v>1.45594202218288</v>
      </c>
      <c r="H17" s="451" t="n">
        <f aca="false">H16+acc_z*pas</f>
        <v>8.25752742863278</v>
      </c>
      <c r="I17" s="449" t="n">
        <f aca="false">SQRT(vit_x^2+vit_z^2)</f>
        <v>8.38489871176633</v>
      </c>
      <c r="J17" s="450" t="n">
        <f aca="false">J16+0.5*(vit_x+G16)*pas*(K16&gt;=0)</f>
        <v>0.0758105557871398</v>
      </c>
      <c r="K17" s="451" t="n">
        <f aca="false">K16+0.5*(vit_z+H16)*pas</f>
        <v>0.429967946612676</v>
      </c>
      <c r="L17" s="449" t="n">
        <f aca="false">SQRT(pos_x^2+pos_z^2)</f>
        <v>0.436600132252701</v>
      </c>
      <c r="M17" s="450" t="n">
        <f aca="false">IF(AND(L16&gt;L_rampe,G17&gt;0),ATAN2(G17,H17),$M$4)</f>
        <v>1.39626340159546</v>
      </c>
      <c r="N17" s="449" t="n">
        <f aca="false">DEGREES(Beta)</f>
        <v>80</v>
      </c>
      <c r="O17" s="438"/>
      <c r="P17" s="452" t="n">
        <f aca="false">MATCH(t-pas/2-T_ini,CdP_t)</f>
        <v>2</v>
      </c>
      <c r="Q17" s="449" t="n">
        <f aca="false">(INDEX(CdP,2,i_P+1)-INDEX(CdP,2,i_P+0))/(INDEX(CdP,1,i_P+1)-INDEX(CdP,1,i_P+0))*(t-pas/2-T_ini-INDEX(CdP,1,i_P+0))+INDEX(CdP,2,i_P+0)</f>
        <v>877.166666666667</v>
      </c>
      <c r="R17" s="450" t="n">
        <f aca="false">Poussee/(g*ISP)</f>
        <v>0.440209081295718</v>
      </c>
      <c r="S17" s="451" t="n">
        <f aca="false">S16-Débit*pas</f>
        <v>9.63828274503072</v>
      </c>
      <c r="T17" s="449" t="n">
        <f aca="false">m*g</f>
        <v>94.5515537287514</v>
      </c>
      <c r="U17" s="453" t="n">
        <f aca="false">IF(pos_xz&lt;L_rampe,Poids*COS(Beta),0)</f>
        <v>16.4187050005745</v>
      </c>
      <c r="V17" s="450" t="n">
        <f aca="false">Rho_moyen*(20000-Alt_rampe-pos_z)/(20000+Alt_rampe+pos_z)</f>
        <v>1.22494733005886</v>
      </c>
      <c r="W17" s="449" t="n">
        <f aca="false">1/2*Rho*Sref*Cx*vit_xz^2</f>
        <v>0.191491408655117</v>
      </c>
      <c r="X17" s="438"/>
      <c r="Y17" s="454" t="str">
        <f aca="false">IF(AND(pos_z&lt;=0,K16&gt;0),"Impact balistique","") &amp; IF(AND(H18&lt;0,vit_z&gt;=0),"Apogée","") &amp; IF(AND(Poussee=0,Q16&gt;0),"Fin de propulsion","") &amp; IF(AND(L18&gt;L_rampe,pos_xz&lt;=L_rampe),"Sortie de rampe","")</f>
        <v/>
      </c>
      <c r="Z17" s="455" t="str">
        <f aca="false">IF(ABS(t-T_para)&lt;pas/2,"Para","")</f>
        <v/>
      </c>
      <c r="AA17" s="456" t="str">
        <f aca="false">IF(ABS(t-T_satellite)&lt;pas/2,"Satellite","")</f>
        <v/>
      </c>
      <c r="AB17" s="444"/>
      <c r="AC17" s="452" t="e">
        <f aca="false">IF(ABS(t-ROUND(t,0))&lt;0.001,t,NA())</f>
        <v>#N/A</v>
      </c>
      <c r="AD17" s="457" t="e">
        <f aca="false">IF(ABS(t-ROUND(t,0))&lt;0.001,pos_x,NA())</f>
        <v>#N/A</v>
      </c>
      <c r="AE17" s="458" t="n">
        <f aca="false">IF(t&lt;T_para, pos_z, NA())</f>
        <v>0.429967946612676</v>
      </c>
      <c r="AF17" s="444"/>
      <c r="AG17" s="450" t="n">
        <f aca="false">IF(AND(L16&lt;L_rampe,Poussee&lt;Poids*SIN(M16)),0,(-W16+Poussee)/m-Poids*SIN(M16)/m)</f>
        <v>81.3314402918692</v>
      </c>
      <c r="AH17" s="449" t="n">
        <f aca="false">IF(AND(L16&lt;L_rampe,Poussee&lt;Poids*SIN(M16)), g*SIN(M16), (-W16+Poussee)/m)</f>
        <v>90.992404348919</v>
      </c>
    </row>
    <row r="18" customFormat="false" ht="12" hidden="false" customHeight="false" outlineLevel="0" collapsed="false">
      <c r="A18" s="448" t="n">
        <f aca="false">IF(B17+0.01&lt;=T_ini+ROUNDUP(Temps_fin_propu,0), 0.01, IF(K17&gt;0, 0.1, 0.0001))</f>
        <v>0.01</v>
      </c>
      <c r="B18" s="449" t="n">
        <f aca="false">B17+pas</f>
        <v>0.14</v>
      </c>
      <c r="C18" s="432"/>
      <c r="D18" s="450" t="n">
        <f aca="false">IF(AND(L17&lt;L_rampe,Poussee&lt;Poids*SIN(M17)),0,(-W17+Poussee)/m*COS(M17)-U17/m*SIN(M17))</f>
        <v>14.0908049467442</v>
      </c>
      <c r="E18" s="451" t="n">
        <f aca="false">IF(AND(L17&lt;L_rampe,Poussee&lt;Poids*SIN(M17)),0,(-W17+Poussee)/m*SIN(M17)+U17/m*COS(M17)-Poids/m)</f>
        <v>79.9173976914846</v>
      </c>
      <c r="F18" s="449" t="n">
        <f aca="false">SQRT(acc_x^2+acc_z^2)</f>
        <v>81.1501154517115</v>
      </c>
      <c r="G18" s="450" t="n">
        <f aca="false">G17+acc_x*pas</f>
        <v>1.59685007165032</v>
      </c>
      <c r="H18" s="451" t="n">
        <f aca="false">H17+acc_z*pas</f>
        <v>9.05670140554763</v>
      </c>
      <c r="I18" s="449" t="n">
        <f aca="false">SQRT(vit_x^2+vit_z^2)</f>
        <v>9.19639986628344</v>
      </c>
      <c r="J18" s="450" t="n">
        <f aca="false">J17+0.5*(vit_x+G17)*pas*(K17&gt;=0)</f>
        <v>0.0910745162563058</v>
      </c>
      <c r="K18" s="451" t="n">
        <f aca="false">K17+0.5*(vit_z+H17)*pas</f>
        <v>0.516539090783578</v>
      </c>
      <c r="L18" s="449" t="n">
        <f aca="false">SQRT(pos_x^2+pos_z^2)</f>
        <v>0.524506625142949</v>
      </c>
      <c r="M18" s="450" t="n">
        <f aca="false">IF(AND(L17&gt;L_rampe,G18&gt;0),ATAN2(G18,H18),$M$4)</f>
        <v>1.39626340159546</v>
      </c>
      <c r="N18" s="449" t="n">
        <f aca="false">DEGREES(Beta)</f>
        <v>80</v>
      </c>
      <c r="O18" s="438"/>
      <c r="P18" s="452" t="n">
        <f aca="false">MATCH(t-pas/2-T_ini,CdP_t)</f>
        <v>2</v>
      </c>
      <c r="Q18" s="449" t="n">
        <f aca="false">(INDEX(CdP,2,i_P+1)-INDEX(CdP,2,i_P+0))/(INDEX(CdP,1,i_P+1)-INDEX(CdP,1,i_P+0))*(t-pas/2-T_ini-INDEX(CdP,1,i_P+0))+INDEX(CdP,2,i_P+0)</f>
        <v>875.055555555556</v>
      </c>
      <c r="R18" s="450" t="n">
        <f aca="false">Poussee/(g*ISP)</f>
        <v>0.43914961298935</v>
      </c>
      <c r="S18" s="451" t="n">
        <f aca="false">S17-Débit*pas</f>
        <v>9.63389124890083</v>
      </c>
      <c r="T18" s="449" t="n">
        <f aca="false">m*g</f>
        <v>94.5084731517171</v>
      </c>
      <c r="U18" s="453" t="n">
        <f aca="false">IF(pos_xz&lt;L_rampe,Poids*COS(Beta),0)</f>
        <v>16.4112241368797</v>
      </c>
      <c r="V18" s="450" t="n">
        <f aca="false">Rho_moyen*(20000-Alt_rampe-pos_z)/(20000+Alt_rampe+pos_z)</f>
        <v>1.22493672559556</v>
      </c>
      <c r="W18" s="449" t="n">
        <f aca="false">1/2*Rho*Sref*Cx*vit_xz^2</f>
        <v>0.230348604510929</v>
      </c>
      <c r="X18" s="438"/>
      <c r="Y18" s="454" t="str">
        <f aca="false">IF(AND(pos_z&lt;=0,K17&gt;0),"Impact balistique","") &amp; IF(AND(H19&lt;0,vit_z&gt;=0),"Apogée","") &amp; IF(AND(Poussee=0,Q17&gt;0),"Fin de propulsion","") &amp; IF(AND(L19&gt;L_rampe,pos_xz&lt;=L_rampe),"Sortie de rampe","")</f>
        <v/>
      </c>
      <c r="Z18" s="455" t="str">
        <f aca="false">IF(ABS(t-T_para)&lt;pas/2,"Para","")</f>
        <v/>
      </c>
      <c r="AA18" s="456" t="str">
        <f aca="false">IF(ABS(t-T_satellite)&lt;pas/2,"Satellite","")</f>
        <v/>
      </c>
      <c r="AB18" s="444"/>
      <c r="AC18" s="452" t="e">
        <f aca="false">IF(ABS(t-ROUND(t,0))&lt;0.001,t,NA())</f>
        <v>#N/A</v>
      </c>
      <c r="AD18" s="457" t="e">
        <f aca="false">IF(ABS(t-ROUND(t,0))&lt;0.001,pos_x,NA())</f>
        <v>#N/A</v>
      </c>
      <c r="AE18" s="458" t="n">
        <f aca="false">IF(t&lt;T_para, pos_z, NA())</f>
        <v>0.516539090783578</v>
      </c>
      <c r="AF18" s="444"/>
      <c r="AG18" s="450" t="n">
        <f aca="false">IF(AND(L17&lt;L_rampe,Poussee&lt;Poids*SIN(M17)),0,(-W17+Poussee)/m-Poids*SIN(M17)/m)</f>
        <v>81.1501154479963</v>
      </c>
      <c r="AH18" s="449" t="n">
        <f aca="false">IF(AND(L17&lt;L_rampe,Poussee&lt;Poids*SIN(M17)), g*SIN(M17), (-W17+Poussee)/m)</f>
        <v>90.811079505046</v>
      </c>
    </row>
    <row r="19" customFormat="false" ht="12" hidden="false" customHeight="false" outlineLevel="0" collapsed="false">
      <c r="A19" s="448" t="n">
        <f aca="false">IF(B18+0.01&lt;=T_ini+ROUNDUP(Temps_fin_propu,0), 0.01, IF(K18&gt;0, 0.1, 0.0001))</f>
        <v>0.01</v>
      </c>
      <c r="B19" s="449" t="n">
        <f aca="false">B18+pas</f>
        <v>0.15</v>
      </c>
      <c r="C19" s="432"/>
      <c r="D19" s="450" t="n">
        <f aca="false">IF(AND(L18&lt;L_rampe,Poussee&lt;Poids*SIN(M18)),0,(-W18+Poussee)/m*COS(M18)-U18/m*SIN(M18))</f>
        <v>14.0592103560304</v>
      </c>
      <c r="E19" s="451" t="n">
        <f aca="false">IF(AND(L18&lt;L_rampe,Poussee&lt;Poids*SIN(M18)),0,(-W18+Poussee)/m*SIN(M18)+U18/m*COS(M18)-Poids/m)</f>
        <v>79.7382071047204</v>
      </c>
      <c r="F19" s="449" t="n">
        <f aca="false">SQRT(acc_x^2+acc_z^2)</f>
        <v>80.9681608294914</v>
      </c>
      <c r="G19" s="450" t="n">
        <f aca="false">G18+acc_x*pas</f>
        <v>1.73744217521063</v>
      </c>
      <c r="H19" s="451" t="n">
        <f aca="false">H18+acc_z*pas</f>
        <v>9.85408347659483</v>
      </c>
      <c r="I19" s="449" t="n">
        <f aca="false">SQRT(vit_x^2+vit_z^2)</f>
        <v>10.0060814745783</v>
      </c>
      <c r="J19" s="450" t="n">
        <f aca="false">J18+0.5*(vit_x+G18)*pas*(K18&gt;=0)</f>
        <v>0.107745977490611</v>
      </c>
      <c r="K19" s="451" t="n">
        <f aca="false">K18+0.5*(vit_z+H18)*pas</f>
        <v>0.61109301519429</v>
      </c>
      <c r="L19" s="449" t="n">
        <f aca="false">SQRT(pos_x^2+pos_z^2)</f>
        <v>0.620519031847256</v>
      </c>
      <c r="M19" s="450" t="n">
        <f aca="false">IF(AND(L18&gt;L_rampe,G19&gt;0),ATAN2(G19,H19),$M$4)</f>
        <v>1.39626340159546</v>
      </c>
      <c r="N19" s="449" t="n">
        <f aca="false">DEGREES(Beta)</f>
        <v>80</v>
      </c>
      <c r="O19" s="438"/>
      <c r="P19" s="452" t="n">
        <f aca="false">MATCH(t-pas/2-T_ini,CdP_t)</f>
        <v>2</v>
      </c>
      <c r="Q19" s="449" t="n">
        <f aca="false">(INDEX(CdP,2,i_P+1)-INDEX(CdP,2,i_P+0))/(INDEX(CdP,1,i_P+1)-INDEX(CdP,1,i_P+0))*(t-pas/2-T_ini-INDEX(CdP,1,i_P+0))+INDEX(CdP,2,i_P+0)</f>
        <v>872.944444444445</v>
      </c>
      <c r="R19" s="450" t="n">
        <f aca="false">Poussee/(g*ISP)</f>
        <v>0.438090144682983</v>
      </c>
      <c r="S19" s="451" t="n">
        <f aca="false">S18-Débit*pas</f>
        <v>9.629510347454</v>
      </c>
      <c r="T19" s="449" t="n">
        <f aca="false">m*g</f>
        <v>94.4654965085237</v>
      </c>
      <c r="U19" s="453" t="n">
        <f aca="false">IF(pos_xz&lt;L_rampe,Poids*COS(Beta),0)</f>
        <v>16.4037613211069</v>
      </c>
      <c r="V19" s="450" t="n">
        <f aca="false">Rho_moyen*(20000-Alt_rampe-pos_z)/(20000+Alt_rampe+pos_z)</f>
        <v>1.22492514339286</v>
      </c>
      <c r="W19" s="449" t="n">
        <f aca="false">1/2*Rho*Sref*Cx*vit_xz^2</f>
        <v>0.272692915899569</v>
      </c>
      <c r="X19" s="438"/>
      <c r="Y19" s="454" t="str">
        <f aca="false">IF(AND(pos_z&lt;=0,K18&gt;0),"Impact balistique","") &amp; IF(AND(H20&lt;0,vit_z&gt;=0),"Apogée","") &amp; IF(AND(Poussee=0,Q18&gt;0),"Fin de propulsion","") &amp; IF(AND(L20&gt;L_rampe,pos_xz&lt;=L_rampe),"Sortie de rampe","")</f>
        <v/>
      </c>
      <c r="Z19" s="455" t="str">
        <f aca="false">IF(ABS(t-T_para)&lt;pas/2,"Para","")</f>
        <v/>
      </c>
      <c r="AA19" s="456" t="str">
        <f aca="false">IF(ABS(t-T_satellite)&lt;pas/2,"Satellite","")</f>
        <v/>
      </c>
      <c r="AB19" s="444"/>
      <c r="AC19" s="452" t="e">
        <f aca="false">IF(ABS(t-ROUND(t,0))&lt;0.001,t,NA())</f>
        <v>#N/A</v>
      </c>
      <c r="AD19" s="457" t="e">
        <f aca="false">IF(ABS(t-ROUND(t,0))&lt;0.001,pos_x,NA())</f>
        <v>#N/A</v>
      </c>
      <c r="AE19" s="458" t="n">
        <f aca="false">IF(t&lt;T_para, pos_z, NA())</f>
        <v>0.61109301519429</v>
      </c>
      <c r="AF19" s="444"/>
      <c r="AG19" s="450" t="n">
        <f aca="false">IF(AND(L18&lt;L_rampe,Poussee&lt;Poids*SIN(M18)),0,(-W18+Poussee)/m-Poids*SIN(M18)/m)</f>
        <v>80.9681608257825</v>
      </c>
      <c r="AH19" s="449" t="n">
        <f aca="false">IF(AND(L18&lt;L_rampe,Poussee&lt;Poids*SIN(M18)), g*SIN(M18), (-W18+Poussee)/m)</f>
        <v>90.6291248828322</v>
      </c>
    </row>
    <row r="20" customFormat="false" ht="12" hidden="false" customHeight="false" outlineLevel="0" collapsed="false">
      <c r="A20" s="448" t="n">
        <f aca="false">IF(B19+0.01&lt;=T_ini+ROUNDUP(Temps_fin_propu,0), 0.01, IF(K19&gt;0, 0.1, 0.0001))</f>
        <v>0.01</v>
      </c>
      <c r="B20" s="449" t="n">
        <f aca="false">B19+pas</f>
        <v>0.16</v>
      </c>
      <c r="C20" s="432"/>
      <c r="D20" s="450" t="n">
        <f aca="false">IF(AND(L19&lt;L_rampe,Poussee&lt;Poids*SIN(M19)),0,(-W19+Poussee)/m*COS(M19)-U19/m*SIN(M19))</f>
        <v>14.0275068059969</v>
      </c>
      <c r="E20" s="451" t="n">
        <f aca="false">IF(AND(L19&lt;L_rampe,Poussee&lt;Poids*SIN(M19)),0,(-W19+Poussee)/m*SIN(M19)+U19/m*COS(M19)-Poids/m)</f>
        <v>79.5583985660712</v>
      </c>
      <c r="F20" s="449" t="n">
        <f aca="false">SQRT(acc_x^2+acc_z^2)</f>
        <v>80.7855787228768</v>
      </c>
      <c r="G20" s="450" t="n">
        <f aca="false">G19+acc_x*pas</f>
        <v>1.87771724327059</v>
      </c>
      <c r="H20" s="451" t="n">
        <f aca="false">H19+acc_z*pas</f>
        <v>10.6496674622555</v>
      </c>
      <c r="I20" s="449" t="n">
        <f aca="false">SQRT(vit_x^2+vit_z^2)</f>
        <v>10.8139372618071</v>
      </c>
      <c r="J20" s="450" t="n">
        <f aca="false">J19+0.5*(vit_x+G19)*pas*(K19&gt;=0)</f>
        <v>0.125821774583017</v>
      </c>
      <c r="K20" s="451" t="n">
        <f aca="false">K19+0.5*(vit_z+H19)*pas</f>
        <v>0.713611769888542</v>
      </c>
      <c r="L20" s="449" t="n">
        <f aca="false">SQRT(pos_x^2+pos_z^2)</f>
        <v>0.724619125529183</v>
      </c>
      <c r="M20" s="450" t="n">
        <f aca="false">IF(AND(L19&gt;L_rampe,G20&gt;0),ATAN2(G20,H20),$M$4)</f>
        <v>1.39626340159546</v>
      </c>
      <c r="N20" s="449" t="n">
        <f aca="false">DEGREES(Beta)</f>
        <v>80</v>
      </c>
      <c r="O20" s="438"/>
      <c r="P20" s="452" t="n">
        <f aca="false">MATCH(t-pas/2-T_ini,CdP_t)</f>
        <v>2</v>
      </c>
      <c r="Q20" s="449" t="n">
        <f aca="false">(INDEX(CdP,2,i_P+1)-INDEX(CdP,2,i_P+0))/(INDEX(CdP,1,i_P+1)-INDEX(CdP,1,i_P+0))*(t-pas/2-T_ini-INDEX(CdP,1,i_P+0))+INDEX(CdP,2,i_P+0)</f>
        <v>870.833333333333</v>
      </c>
      <c r="R20" s="450" t="n">
        <f aca="false">Poussee/(g*ISP)</f>
        <v>0.437030676376615</v>
      </c>
      <c r="S20" s="451" t="n">
        <f aca="false">S19-Débit*pas</f>
        <v>9.62514004069023</v>
      </c>
      <c r="T20" s="449" t="n">
        <f aca="false">m*g</f>
        <v>94.4226237991712</v>
      </c>
      <c r="U20" s="453" t="n">
        <f aca="false">IF(pos_xz&lt;L_rampe,Poids*COS(Beta),0)</f>
        <v>16.3963165532562</v>
      </c>
      <c r="V20" s="450" t="n">
        <f aca="false">Rho_moyen*(20000-Alt_rampe-pos_z)/(20000+Alt_rampe+pos_z)</f>
        <v>1.22491258567718</v>
      </c>
      <c r="W20" s="449" t="n">
        <f aca="false">1/2*Rho*Sref*Cx*vit_xz^2</f>
        <v>0.318499698229879</v>
      </c>
      <c r="X20" s="438"/>
      <c r="Y20" s="454" t="str">
        <f aca="false">IF(AND(pos_z&lt;=0,K19&gt;0),"Impact balistique","") &amp; IF(AND(H21&lt;0,vit_z&gt;=0),"Apogée","") &amp; IF(AND(Poussee=0,Q19&gt;0),"Fin de propulsion","") &amp; IF(AND(L21&gt;L_rampe,pos_xz&lt;=L_rampe),"Sortie de rampe","")</f>
        <v/>
      </c>
      <c r="Z20" s="455" t="str">
        <f aca="false">IF(ABS(t-T_para)&lt;pas/2,"Para","")</f>
        <v/>
      </c>
      <c r="AA20" s="456" t="str">
        <f aca="false">IF(ABS(t-T_satellite)&lt;pas/2,"Satellite","")</f>
        <v/>
      </c>
      <c r="AB20" s="444"/>
      <c r="AC20" s="452" t="e">
        <f aca="false">IF(ABS(t-ROUND(t,0))&lt;0.001,t,NA())</f>
        <v>#N/A</v>
      </c>
      <c r="AD20" s="457" t="e">
        <f aca="false">IF(ABS(t-ROUND(t,0))&lt;0.001,pos_x,NA())</f>
        <v>#N/A</v>
      </c>
      <c r="AE20" s="458" t="n">
        <f aca="false">IF(t&lt;T_para, pos_z, NA())</f>
        <v>0.713611769888542</v>
      </c>
      <c r="AF20" s="444"/>
      <c r="AG20" s="450" t="n">
        <f aca="false">IF(AND(L19&lt;L_rampe,Poussee&lt;Poids*SIN(M19)),0,(-W19+Poussee)/m-Poids*SIN(M19)/m)</f>
        <v>80.785578719174</v>
      </c>
      <c r="AH20" s="449" t="n">
        <f aca="false">IF(AND(L19&lt;L_rampe,Poussee&lt;Poids*SIN(M19)), g*SIN(M19), (-W19+Poussee)/m)</f>
        <v>90.4465427762238</v>
      </c>
    </row>
    <row r="21" customFormat="false" ht="12" hidden="false" customHeight="false" outlineLevel="0" collapsed="false">
      <c r="A21" s="448" t="n">
        <f aca="false">IF(B20+0.01&lt;=T_ini+ROUNDUP(Temps_fin_propu,0), 0.01, IF(K20&gt;0, 0.1, 0.0001))</f>
        <v>0.01</v>
      </c>
      <c r="B21" s="449" t="n">
        <f aca="false">B20+pas</f>
        <v>0.17</v>
      </c>
      <c r="C21" s="432"/>
      <c r="D21" s="450" t="n">
        <f aca="false">IF(AND(L20&lt;L_rampe,Poussee&lt;Poids*SIN(M20)),0,(-W20+Poussee)/m*COS(M20)-U20/m*SIN(M20))</f>
        <v>13.9956946977129</v>
      </c>
      <c r="E21" s="451" t="n">
        <f aca="false">IF(AND(L20&lt;L_rampe,Poussee&lt;Poids*SIN(M20)),0,(-W20+Poussee)/m*SIN(M20)+U20/m*COS(M20)-Poids/m)</f>
        <v>79.3779743501249</v>
      </c>
      <c r="F21" s="449" t="n">
        <f aca="false">SQRT(acc_x^2+acc_z^2)</f>
        <v>80.6023714415443</v>
      </c>
      <c r="G21" s="450" t="n">
        <f aca="false">G20+acc_x*pas</f>
        <v>2.01767419024772</v>
      </c>
      <c r="H21" s="451" t="n">
        <f aca="false">H20+acc_z*pas</f>
        <v>11.4434472057568</v>
      </c>
      <c r="I21" s="449" t="n">
        <f aca="false">SQRT(vit_x^2+vit_z^2)</f>
        <v>11.6199609762225</v>
      </c>
      <c r="J21" s="450" t="n">
        <f aca="false">J20+0.5*(vit_x+G20)*pas*(K20&gt;=0)</f>
        <v>0.145298731750608</v>
      </c>
      <c r="K21" s="451" t="n">
        <f aca="false">K20+0.5*(vit_z+H20)*pas</f>
        <v>0.824077343228604</v>
      </c>
      <c r="L21" s="449" t="n">
        <f aca="false">SQRT(pos_x^2+pos_z^2)</f>
        <v>0.83678861671933</v>
      </c>
      <c r="M21" s="450" t="n">
        <f aca="false">IF(AND(L20&gt;L_rampe,G21&gt;0),ATAN2(G21,H21),$M$4)</f>
        <v>1.39626340159546</v>
      </c>
      <c r="N21" s="449" t="n">
        <f aca="false">DEGREES(Beta)</f>
        <v>80</v>
      </c>
      <c r="O21" s="438"/>
      <c r="P21" s="452" t="n">
        <f aca="false">MATCH(t-pas/2-T_ini,CdP_t)</f>
        <v>2</v>
      </c>
      <c r="Q21" s="449" t="n">
        <f aca="false">(INDEX(CdP,2,i_P+1)-INDEX(CdP,2,i_P+0))/(INDEX(CdP,1,i_P+1)-INDEX(CdP,1,i_P+0))*(t-pas/2-T_ini-INDEX(CdP,1,i_P+0))+INDEX(CdP,2,i_P+0)</f>
        <v>868.722222222222</v>
      </c>
      <c r="R21" s="450" t="n">
        <f aca="false">Poussee/(g*ISP)</f>
        <v>0.435971208070248</v>
      </c>
      <c r="S21" s="451" t="n">
        <f aca="false">S20-Débit*pas</f>
        <v>9.62078032860953</v>
      </c>
      <c r="T21" s="449" t="n">
        <f aca="false">m*g</f>
        <v>94.3798550236595</v>
      </c>
      <c r="U21" s="453" t="n">
        <f aca="false">IF(pos_xz&lt;L_rampe,Poids*COS(Beta),0)</f>
        <v>16.3888898333276</v>
      </c>
      <c r="V21" s="450" t="n">
        <f aca="false">Rho_moyen*(20000-Alt_rampe-pos_z)/(20000+Alt_rampe+pos_z)</f>
        <v>1.22489905468479</v>
      </c>
      <c r="W21" s="449" t="n">
        <f aca="false">1/2*Rho*Sref*Cx*vit_xz^2</f>
        <v>0.367744237011354</v>
      </c>
      <c r="X21" s="438"/>
      <c r="Y21" s="454" t="str">
        <f aca="false">IF(AND(pos_z&lt;=0,K20&gt;0),"Impact balistique","") &amp; IF(AND(H22&lt;0,vit_z&gt;=0),"Apogée","") &amp; IF(AND(Poussee=0,Q20&gt;0),"Fin de propulsion","") &amp; IF(AND(L22&gt;L_rampe,pos_xz&lt;=L_rampe),"Sortie de rampe","")</f>
        <v/>
      </c>
      <c r="Z21" s="455" t="str">
        <f aca="false">IF(ABS(t-T_para)&lt;pas/2,"Para","")</f>
        <v/>
      </c>
      <c r="AA21" s="456" t="str">
        <f aca="false">IF(ABS(t-T_satellite)&lt;pas/2,"Satellite","")</f>
        <v/>
      </c>
      <c r="AB21" s="444"/>
      <c r="AC21" s="452" t="e">
        <f aca="false">IF(ABS(t-ROUND(t,0))&lt;0.001,t,NA())</f>
        <v>#N/A</v>
      </c>
      <c r="AD21" s="457" t="e">
        <f aca="false">IF(ABS(t-ROUND(t,0))&lt;0.001,pos_x,NA())</f>
        <v>#N/A</v>
      </c>
      <c r="AE21" s="458" t="n">
        <f aca="false">IF(t&lt;T_para, pos_z, NA())</f>
        <v>0.824077343228604</v>
      </c>
      <c r="AF21" s="444"/>
      <c r="AG21" s="450" t="n">
        <f aca="false">IF(AND(L20&lt;L_rampe,Poussee&lt;Poids*SIN(M20)),0,(-W20+Poussee)/m-Poids*SIN(M20)/m)</f>
        <v>80.6023714378478</v>
      </c>
      <c r="AH21" s="449" t="n">
        <f aca="false">IF(AND(L20&lt;L_rampe,Poussee&lt;Poids*SIN(M20)), g*SIN(M20), (-W20+Poussee)/m)</f>
        <v>90.2633354948975</v>
      </c>
    </row>
    <row r="22" customFormat="false" ht="12" hidden="false" customHeight="false" outlineLevel="0" collapsed="false">
      <c r="A22" s="448" t="n">
        <f aca="false">IF(B21+0.01&lt;=T_ini+ROUNDUP(Temps_fin_propu,0), 0.01, IF(K21&gt;0, 0.1, 0.0001))</f>
        <v>0.01</v>
      </c>
      <c r="B22" s="449" t="n">
        <f aca="false">B21+pas</f>
        <v>0.18</v>
      </c>
      <c r="C22" s="432"/>
      <c r="D22" s="450" t="n">
        <f aca="false">IF(AND(L21&lt;L_rampe,Poussee&lt;Poids*SIN(M21)),0,(-W21+Poussee)/m*COS(M21)-U21/m*SIN(M21))</f>
        <v>13.9637744349556</v>
      </c>
      <c r="E22" s="451" t="n">
        <f aca="false">IF(AND(L21&lt;L_rampe,Poussee&lt;Poids*SIN(M21)),0,(-W21+Poussee)/m*SIN(M21)+U21/m*COS(M21)-Poids/m)</f>
        <v>79.1969367468274</v>
      </c>
      <c r="F22" s="449" t="n">
        <f aca="false">SQRT(acc_x^2+acc_z^2)</f>
        <v>80.4185413107655</v>
      </c>
      <c r="G22" s="450" t="n">
        <f aca="false">G21+acc_x*pas</f>
        <v>2.15731193459728</v>
      </c>
      <c r="H22" s="451" t="n">
        <f aca="false">H21+acc_z*pas</f>
        <v>12.2354165732251</v>
      </c>
      <c r="I22" s="449" t="n">
        <f aca="false">SQRT(vit_x^2+vit_z^2)</f>
        <v>12.4241463893302</v>
      </c>
      <c r="J22" s="450" t="n">
        <f aca="false">J21+0.5*(vit_x+G21)*pas*(K21&gt;=0)</f>
        <v>0.166173662374833</v>
      </c>
      <c r="K22" s="451" t="n">
        <f aca="false">K21+0.5*(vit_z+H21)*pas</f>
        <v>0.942471662123513</v>
      </c>
      <c r="L22" s="449" t="n">
        <f aca="false">SQRT(pos_x^2+pos_z^2)</f>
        <v>0.957009153547093</v>
      </c>
      <c r="M22" s="450" t="n">
        <f aca="false">IF(AND(L21&gt;L_rampe,G22&gt;0),ATAN2(G22,H22),$M$4)</f>
        <v>1.39626340159546</v>
      </c>
      <c r="N22" s="449" t="n">
        <f aca="false">DEGREES(Beta)</f>
        <v>80</v>
      </c>
      <c r="O22" s="438"/>
      <c r="P22" s="452" t="n">
        <f aca="false">MATCH(t-pas/2-T_ini,CdP_t)</f>
        <v>2</v>
      </c>
      <c r="Q22" s="449" t="n">
        <f aca="false">(INDEX(CdP,2,i_P+1)-INDEX(CdP,2,i_P+0))/(INDEX(CdP,1,i_P+1)-INDEX(CdP,1,i_P+0))*(t-pas/2-T_ini-INDEX(CdP,1,i_P+0))+INDEX(CdP,2,i_P+0)</f>
        <v>866.611111111111</v>
      </c>
      <c r="R22" s="450" t="n">
        <f aca="false">Poussee/(g*ISP)</f>
        <v>0.43491173976388</v>
      </c>
      <c r="S22" s="451" t="n">
        <f aca="false">S21-Débit*pas</f>
        <v>9.61643121121189</v>
      </c>
      <c r="T22" s="449" t="n">
        <f aca="false">m*g</f>
        <v>94.3371901819887</v>
      </c>
      <c r="U22" s="453" t="n">
        <f aca="false">IF(pos_xz&lt;L_rampe,Poids*COS(Beta),0)</f>
        <v>16.381481161321</v>
      </c>
      <c r="V22" s="450" t="n">
        <f aca="false">Rho_moyen*(20000-Alt_rampe-pos_z)/(20000+Alt_rampe+pos_z)</f>
        <v>1.22488455266168</v>
      </c>
      <c r="W22" s="449" t="n">
        <f aca="false">1/2*Rho*Sref*Cx*vit_xz^2</f>
        <v>0.420401749258207</v>
      </c>
      <c r="X22" s="438"/>
      <c r="Y22" s="454" t="str">
        <f aca="false">IF(AND(pos_z&lt;=0,K21&gt;0),"Impact balistique","") &amp; IF(AND(H23&lt;0,vit_z&gt;=0),"Apogée","") &amp; IF(AND(Poussee=0,Q21&gt;0),"Fin de propulsion","") &amp; IF(AND(L23&gt;L_rampe,pos_xz&lt;=L_rampe),"Sortie de rampe","")</f>
        <v/>
      </c>
      <c r="Z22" s="455" t="str">
        <f aca="false">IF(ABS(t-T_para)&lt;pas/2,"Para","")</f>
        <v/>
      </c>
      <c r="AA22" s="456" t="str">
        <f aca="false">IF(ABS(t-T_satellite)&lt;pas/2,"Satellite","")</f>
        <v/>
      </c>
      <c r="AB22" s="444"/>
      <c r="AC22" s="452" t="e">
        <f aca="false">IF(ABS(t-ROUND(t,0))&lt;0.001,t,NA())</f>
        <v>#N/A</v>
      </c>
      <c r="AD22" s="457" t="e">
        <f aca="false">IF(ABS(t-ROUND(t,0))&lt;0.001,pos_x,NA())</f>
        <v>#N/A</v>
      </c>
      <c r="AE22" s="458" t="n">
        <f aca="false">IF(t&lt;T_para, pos_z, NA())</f>
        <v>0.942471662123513</v>
      </c>
      <c r="AF22" s="444"/>
      <c r="AG22" s="450" t="n">
        <f aca="false">IF(AND(L21&lt;L_rampe,Poussee&lt;Poids*SIN(M21)),0,(-W21+Poussee)/m-Poids*SIN(M21)/m)</f>
        <v>80.4185413070752</v>
      </c>
      <c r="AH22" s="449" t="n">
        <f aca="false">IF(AND(L21&lt;L_rampe,Poussee&lt;Poids*SIN(M21)), g*SIN(M21), (-W21+Poussee)/m)</f>
        <v>90.0795053641249</v>
      </c>
    </row>
    <row r="23" customFormat="false" ht="12" hidden="false" customHeight="false" outlineLevel="0" collapsed="false">
      <c r="A23" s="448" t="n">
        <f aca="false">IF(B22+0.01&lt;=T_ini+ROUNDUP(Temps_fin_propu,0), 0.01, IF(K22&gt;0, 0.1, 0.0001))</f>
        <v>0.01</v>
      </c>
      <c r="B23" s="449" t="n">
        <f aca="false">B22+pas</f>
        <v>0.19</v>
      </c>
      <c r="C23" s="432"/>
      <c r="D23" s="450" t="n">
        <f aca="false">IF(AND(L22&lt;L_rampe,Poussee&lt;Poids*SIN(M22)),0,(-W22+Poussee)/m*COS(M22)-U22/m*SIN(M22))</f>
        <v>13.9317464241866</v>
      </c>
      <c r="E23" s="451" t="n">
        <f aca="false">IF(AND(L22&lt;L_rampe,Poussee&lt;Poids*SIN(M22)),0,(-W22+Poussee)/m*SIN(M22)+U22/m*COS(M22)-Poids/m)</f>
        <v>79.0152880613482</v>
      </c>
      <c r="F23" s="449" t="n">
        <f aca="false">SQRT(acc_x^2+acc_z^2)</f>
        <v>80.2340906712706</v>
      </c>
      <c r="G23" s="450" t="n">
        <f aca="false">G22+acc_x*pas</f>
        <v>2.29662939883915</v>
      </c>
      <c r="H23" s="451" t="n">
        <f aca="false">H22+acc_z*pas</f>
        <v>13.0255694538385</v>
      </c>
      <c r="I23" s="449" t="n">
        <f aca="false">SQRT(vit_x^2+vit_z^2)</f>
        <v>13.2264872960429</v>
      </c>
      <c r="J23" s="450" t="n">
        <f aca="false">J22+0.5*(vit_x+G22)*pas*(K22&gt;=0)</f>
        <v>0.188443369042015</v>
      </c>
      <c r="K23" s="451" t="n">
        <f aca="false">K22+0.5*(vit_z+H22)*pas</f>
        <v>1.06877659225883</v>
      </c>
      <c r="L23" s="449" t="n">
        <f aca="false">SQRT(pos_x^2+pos_z^2)</f>
        <v>1.08526232197396</v>
      </c>
      <c r="M23" s="450" t="n">
        <f aca="false">IF(AND(L22&gt;L_rampe,G23&gt;0),ATAN2(G23,H23),$M$4)</f>
        <v>1.39626340159546</v>
      </c>
      <c r="N23" s="449" t="n">
        <f aca="false">DEGREES(Beta)</f>
        <v>80</v>
      </c>
      <c r="O23" s="438"/>
      <c r="P23" s="452" t="n">
        <f aca="false">MATCH(t-pas/2-T_ini,CdP_t)</f>
        <v>2</v>
      </c>
      <c r="Q23" s="449" t="n">
        <f aca="false">(INDEX(CdP,2,i_P+1)-INDEX(CdP,2,i_P+0))/(INDEX(CdP,1,i_P+1)-INDEX(CdP,1,i_P+0))*(t-pas/2-T_ini-INDEX(CdP,1,i_P+0))+INDEX(CdP,2,i_P+0)</f>
        <v>864.5</v>
      </c>
      <c r="R23" s="450" t="n">
        <f aca="false">Poussee/(g*ISP)</f>
        <v>0.433852271457513</v>
      </c>
      <c r="S23" s="451" t="n">
        <f aca="false">S22-Débit*pas</f>
        <v>9.61209268849732</v>
      </c>
      <c r="T23" s="449" t="n">
        <f aca="false">m*g</f>
        <v>94.2946292741587</v>
      </c>
      <c r="U23" s="453" t="n">
        <f aca="false">IF(pos_xz&lt;L_rampe,Poids*COS(Beta),0)</f>
        <v>16.3740905372364</v>
      </c>
      <c r="V23" s="450" t="n">
        <f aca="false">Rho_moyen*(20000-Alt_rampe-pos_z)/(20000+Alt_rampe+pos_z)</f>
        <v>1.22486908186356</v>
      </c>
      <c r="W23" s="449" t="n">
        <f aca="false">1/2*Rho*Sref*Cx*vit_xz^2</f>
        <v>0.476447384896147</v>
      </c>
      <c r="X23" s="438"/>
      <c r="Y23" s="454" t="str">
        <f aca="false">IF(AND(pos_z&lt;=0,K22&gt;0),"Impact balistique","") &amp; IF(AND(H24&lt;0,vit_z&gt;=0),"Apogée","") &amp; IF(AND(Poussee=0,Q22&gt;0),"Fin de propulsion","") &amp; IF(AND(L24&gt;L_rampe,pos_xz&lt;=L_rampe),"Sortie de rampe","")</f>
        <v/>
      </c>
      <c r="Z23" s="455" t="str">
        <f aca="false">IF(ABS(t-T_para)&lt;pas/2,"Para","")</f>
        <v/>
      </c>
      <c r="AA23" s="456" t="str">
        <f aca="false">IF(ABS(t-T_satellite)&lt;pas/2,"Satellite","")</f>
        <v/>
      </c>
      <c r="AB23" s="444"/>
      <c r="AC23" s="452" t="e">
        <f aca="false">IF(ABS(t-ROUND(t,0))&lt;0.001,t,NA())</f>
        <v>#N/A</v>
      </c>
      <c r="AD23" s="457" t="e">
        <f aca="false">IF(ABS(t-ROUND(t,0))&lt;0.001,pos_x,NA())</f>
        <v>#N/A</v>
      </c>
      <c r="AE23" s="458" t="n">
        <f aca="false">IF(t&lt;T_para, pos_z, NA())</f>
        <v>1.06877659225883</v>
      </c>
      <c r="AF23" s="444"/>
      <c r="AG23" s="450" t="n">
        <f aca="false">IF(AND(L22&lt;L_rampe,Poussee&lt;Poids*SIN(M22)),0,(-W22+Poussee)/m-Poids*SIN(M22)/m)</f>
        <v>80.2340906675865</v>
      </c>
      <c r="AH23" s="449" t="n">
        <f aca="false">IF(AND(L22&lt;L_rampe,Poussee&lt;Poids*SIN(M22)), g*SIN(M22), (-W22+Poussee)/m)</f>
        <v>89.8950547246362</v>
      </c>
    </row>
    <row r="24" customFormat="false" ht="12" hidden="false" customHeight="false" outlineLevel="0" collapsed="false">
      <c r="A24" s="448" t="n">
        <f aca="false">IF(B23+0.01&lt;=T_ini+ROUNDUP(Temps_fin_propu,0), 0.01, IF(K23&gt;0, 0.1, 0.0001))</f>
        <v>0.01</v>
      </c>
      <c r="B24" s="449" t="n">
        <f aca="false">B23+pas</f>
        <v>0.2</v>
      </c>
      <c r="C24" s="432"/>
      <c r="D24" s="450" t="n">
        <f aca="false">IF(AND(L23&lt;L_rampe,Poussee&lt;Poids*SIN(M23)),0,(-W23+Poussee)/m*COS(M23)-U23/m*SIN(M23))</f>
        <v>13.8996110745278</v>
      </c>
      <c r="E24" s="451" t="n">
        <f aca="false">IF(AND(L23&lt;L_rampe,Poussee&lt;Poids*SIN(M23)),0,(-W23+Poussee)/m*SIN(M23)+U23/m*COS(M23)-Poids/m)</f>
        <v>78.8330306139456</v>
      </c>
      <c r="F24" s="449" t="n">
        <f aca="false">SQRT(acc_x^2+acc_z^2)</f>
        <v>80.0490218791112</v>
      </c>
      <c r="G24" s="450" t="n">
        <f aca="false">G23+acc_x*pas</f>
        <v>2.43562550958442</v>
      </c>
      <c r="H24" s="451" t="n">
        <f aca="false">H23+acc_z*pas</f>
        <v>13.813899759978</v>
      </c>
      <c r="I24" s="449" t="n">
        <f aca="false">SQRT(vit_x^2+vit_z^2)</f>
        <v>14.026977514834</v>
      </c>
      <c r="J24" s="450" t="n">
        <f aca="false">J23+0.5*(vit_x+G23)*pas*(K23&gt;=0)</f>
        <v>0.212104643584133</v>
      </c>
      <c r="K24" s="451" t="n">
        <f aca="false">K23+0.5*(vit_z+H23)*pas</f>
        <v>1.20297393832791</v>
      </c>
      <c r="L24" s="449" t="n">
        <f aca="false">SQRT(pos_x^2+pos_z^2)</f>
        <v>1.22152964602834</v>
      </c>
      <c r="M24" s="450" t="n">
        <f aca="false">IF(AND(L23&gt;L_rampe,G24&gt;0),ATAN2(G24,H24),$M$4)</f>
        <v>1.39626340159546</v>
      </c>
      <c r="N24" s="449" t="n">
        <f aca="false">DEGREES(Beta)</f>
        <v>80</v>
      </c>
      <c r="O24" s="438"/>
      <c r="P24" s="452" t="n">
        <f aca="false">MATCH(t-pas/2-T_ini,CdP_t)</f>
        <v>2</v>
      </c>
      <c r="Q24" s="449" t="n">
        <f aca="false">(INDEX(CdP,2,i_P+1)-INDEX(CdP,2,i_P+0))/(INDEX(CdP,1,i_P+1)-INDEX(CdP,1,i_P+0))*(t-pas/2-T_ini-INDEX(CdP,1,i_P+0))+INDEX(CdP,2,i_P+0)</f>
        <v>862.388888888889</v>
      </c>
      <c r="R24" s="450" t="n">
        <f aca="false">Poussee/(g*ISP)</f>
        <v>0.432792803151145</v>
      </c>
      <c r="S24" s="451" t="n">
        <f aca="false">S23-Débit*pas</f>
        <v>9.60776476046581</v>
      </c>
      <c r="T24" s="449" t="n">
        <f aca="false">m*g</f>
        <v>94.2521723001696</v>
      </c>
      <c r="U24" s="453" t="n">
        <f aca="false">IF(pos_xz&lt;L_rampe,Poids*COS(Beta),0)</f>
        <v>16.366717961074</v>
      </c>
      <c r="V24" s="450" t="n">
        <f aca="false">Rho_moyen*(20000-Alt_rampe-pos_z)/(20000+Alt_rampe+pos_z)</f>
        <v>1.22485264455579</v>
      </c>
      <c r="W24" s="449" t="n">
        <f aca="false">1/2*Rho*Sref*Cx*vit_xz^2</f>
        <v>0.535856228171759</v>
      </c>
      <c r="X24" s="438"/>
      <c r="Y24" s="454" t="str">
        <f aca="false">IF(AND(pos_z&lt;=0,K23&gt;0),"Impact balistique","") &amp; IF(AND(H25&lt;0,vit_z&gt;=0),"Apogée","") &amp; IF(AND(Poussee=0,Q23&gt;0),"Fin de propulsion","") &amp; IF(AND(L25&gt;L_rampe,pos_xz&lt;=L_rampe),"Sortie de rampe","")</f>
        <v/>
      </c>
      <c r="Z24" s="455" t="str">
        <f aca="false">IF(ABS(t-T_para)&lt;pas/2,"Para","")</f>
        <v/>
      </c>
      <c r="AA24" s="456" t="str">
        <f aca="false">IF(ABS(t-T_satellite)&lt;pas/2,"Satellite","")</f>
        <v/>
      </c>
      <c r="AB24" s="444"/>
      <c r="AC24" s="452" t="e">
        <f aca="false">IF(ABS(t-ROUND(t,0))&lt;0.001,t,NA())</f>
        <v>#N/A</v>
      </c>
      <c r="AD24" s="457" t="e">
        <f aca="false">IF(ABS(t-ROUND(t,0))&lt;0.001,pos_x,NA())</f>
        <v>#N/A</v>
      </c>
      <c r="AE24" s="458" t="n">
        <f aca="false">IF(t&lt;T_para, pos_z, NA())</f>
        <v>1.20297393832791</v>
      </c>
      <c r="AF24" s="444"/>
      <c r="AG24" s="450" t="n">
        <f aca="false">IF(AND(L23&lt;L_rampe,Poussee&lt;Poids*SIN(M23)),0,(-W23+Poussee)/m-Poids*SIN(M23)/m)</f>
        <v>80.0490218754332</v>
      </c>
      <c r="AH24" s="449" t="n">
        <f aca="false">IF(AND(L23&lt;L_rampe,Poussee&lt;Poids*SIN(M23)), g*SIN(M23), (-W23+Poussee)/m)</f>
        <v>89.709985932483</v>
      </c>
    </row>
    <row r="25" customFormat="false" ht="12" hidden="false" customHeight="false" outlineLevel="0" collapsed="false">
      <c r="A25" s="448" t="n">
        <f aca="false">IF(B24+0.01&lt;=T_ini+ROUNDUP(Temps_fin_propu,0), 0.01, IF(K24&gt;0, 0.1, 0.0001))</f>
        <v>0.01</v>
      </c>
      <c r="B25" s="449" t="n">
        <f aca="false">B24+pas</f>
        <v>0.21</v>
      </c>
      <c r="C25" s="432"/>
      <c r="D25" s="450" t="n">
        <f aca="false">IF(AND(L24&lt;L_rampe,Poussee&lt;Poids*SIN(M24)),0,(-W24+Poussee)/m*COS(M24)-U24/m*SIN(M24))</f>
        <v>13.867368797738</v>
      </c>
      <c r="E25" s="451" t="n">
        <f aca="false">IF(AND(L24&lt;L_rampe,Poussee&lt;Poids*SIN(M24)),0,(-W24+Poussee)/m*SIN(M24)+U24/m*COS(M24)-Poids/m)</f>
        <v>78.6501667398302</v>
      </c>
      <c r="F25" s="449" t="n">
        <f aca="false">SQRT(acc_x^2+acc_z^2)</f>
        <v>79.8633373055219</v>
      </c>
      <c r="G25" s="450" t="n">
        <f aca="false">G24+acc_x*pas</f>
        <v>2.5742991975618</v>
      </c>
      <c r="H25" s="451" t="n">
        <f aca="false">H24+acc_z*pas</f>
        <v>14.6004014273763</v>
      </c>
      <c r="I25" s="449" t="n">
        <f aca="false">SQRT(vit_x^2+vit_z^2)</f>
        <v>14.8256108878892</v>
      </c>
      <c r="J25" s="450" t="n">
        <f aca="false">J24+0.5*(vit_x+G24)*pas*(K24&gt;=0)</f>
        <v>0.237154267119864</v>
      </c>
      <c r="K25" s="451" t="n">
        <f aca="false">K24+0.5*(vit_z+H24)*pas</f>
        <v>1.34504544426469</v>
      </c>
      <c r="L25" s="449" t="n">
        <f aca="false">SQRT(pos_x^2+pos_z^2)</f>
        <v>1.36579258804196</v>
      </c>
      <c r="M25" s="450" t="n">
        <f aca="false">IF(AND(L24&gt;L_rampe,G25&gt;0),ATAN2(G25,H25),$M$4)</f>
        <v>1.39626340159546</v>
      </c>
      <c r="N25" s="449" t="n">
        <f aca="false">DEGREES(Beta)</f>
        <v>80</v>
      </c>
      <c r="O25" s="438"/>
      <c r="P25" s="452" t="n">
        <f aca="false">MATCH(t-pas/2-T_ini,CdP_t)</f>
        <v>2</v>
      </c>
      <c r="Q25" s="449" t="n">
        <f aca="false">(INDEX(CdP,2,i_P+1)-INDEX(CdP,2,i_P+0))/(INDEX(CdP,1,i_P+1)-INDEX(CdP,1,i_P+0))*(t-pas/2-T_ini-INDEX(CdP,1,i_P+0))+INDEX(CdP,2,i_P+0)</f>
        <v>860.277777777778</v>
      </c>
      <c r="R25" s="450" t="n">
        <f aca="false">Poussee/(g*ISP)</f>
        <v>0.431733334844777</v>
      </c>
      <c r="S25" s="451" t="n">
        <f aca="false">S24-Débit*pas</f>
        <v>9.60344742711736</v>
      </c>
      <c r="T25" s="449" t="n">
        <f aca="false">m*g</f>
        <v>94.2098192600213</v>
      </c>
      <c r="U25" s="453" t="n">
        <f aca="false">IF(pos_xz&lt;L_rampe,Poids*COS(Beta),0)</f>
        <v>16.3593634328336</v>
      </c>
      <c r="V25" s="450" t="n">
        <f aca="false">Rho_moyen*(20000-Alt_rampe-pos_z)/(20000+Alt_rampe+pos_z)</f>
        <v>1.22483524301336</v>
      </c>
      <c r="W25" s="449" t="n">
        <f aca="false">1/2*Rho*Sref*Cx*vit_xz^2</f>
        <v>0.598603299064322</v>
      </c>
      <c r="X25" s="438"/>
      <c r="Y25" s="454" t="str">
        <f aca="false">IF(AND(pos_z&lt;=0,K24&gt;0),"Impact balistique","") &amp; IF(AND(H26&lt;0,vit_z&gt;=0),"Apogée","") &amp; IF(AND(Poussee=0,Q24&gt;0),"Fin de propulsion","") &amp; IF(AND(L26&gt;L_rampe,pos_xz&lt;=L_rampe),"Sortie de rampe","")</f>
        <v/>
      </c>
      <c r="Z25" s="455" t="str">
        <f aca="false">IF(ABS(t-T_para)&lt;pas/2,"Para","")</f>
        <v/>
      </c>
      <c r="AA25" s="456" t="str">
        <f aca="false">IF(ABS(t-T_satellite)&lt;pas/2,"Satellite","")</f>
        <v/>
      </c>
      <c r="AB25" s="444"/>
      <c r="AC25" s="452" t="e">
        <f aca="false">IF(ABS(t-ROUND(t,0))&lt;0.001,t,NA())</f>
        <v>#N/A</v>
      </c>
      <c r="AD25" s="457" t="e">
        <f aca="false">IF(ABS(t-ROUND(t,0))&lt;0.001,pos_x,NA())</f>
        <v>#N/A</v>
      </c>
      <c r="AE25" s="458" t="n">
        <f aca="false">IF(t&lt;T_para, pos_z, NA())</f>
        <v>1.34504544426469</v>
      </c>
      <c r="AF25" s="444"/>
      <c r="AG25" s="450" t="n">
        <f aca="false">IF(AND(L24&lt;L_rampe,Poussee&lt;Poids*SIN(M24)),0,(-W24+Poussee)/m-Poids*SIN(M24)/m)</f>
        <v>79.8633373018501</v>
      </c>
      <c r="AH25" s="449" t="n">
        <f aca="false">IF(AND(L24&lt;L_rampe,Poussee&lt;Poids*SIN(M24)), g*SIN(M24), (-W24+Poussee)/m)</f>
        <v>89.5243013588999</v>
      </c>
    </row>
    <row r="26" customFormat="false" ht="12" hidden="false" customHeight="false" outlineLevel="0" collapsed="false">
      <c r="A26" s="448" t="n">
        <f aca="false">IF(B25+0.01&lt;=T_ini+ROUNDUP(Temps_fin_propu,0), 0.01, IF(K25&gt;0, 0.1, 0.0001))</f>
        <v>0.01</v>
      </c>
      <c r="B26" s="449" t="n">
        <f aca="false">B25+pas</f>
        <v>0.22</v>
      </c>
      <c r="C26" s="432"/>
      <c r="D26" s="450" t="n">
        <f aca="false">IF(AND(L25&lt;L_rampe,Poussee&lt;Poids*SIN(M25)),0,(-W25+Poussee)/m*COS(M25)-U25/m*SIN(M25))</f>
        <v>13.8350200081879</v>
      </c>
      <c r="E26" s="451" t="n">
        <f aca="false">IF(AND(L25&lt;L_rampe,Poussee&lt;Poids*SIN(M25)),0,(-W25+Poussee)/m*SIN(M25)+U25/m*COS(M25)-Poids/m)</f>
        <v>78.4666987890284</v>
      </c>
      <c r="F26" s="449" t="n">
        <f aca="false">SQRT(acc_x^2+acc_z^2)</f>
        <v>79.6770393367818</v>
      </c>
      <c r="G26" s="450" t="n">
        <f aca="false">G25+acc_x*pas</f>
        <v>2.71264939764368</v>
      </c>
      <c r="H26" s="451" t="n">
        <f aca="false">H25+acc_z*pas</f>
        <v>15.3850684152666</v>
      </c>
      <c r="I26" s="449" t="n">
        <f aca="false">SQRT(vit_x^2+vit_z^2)</f>
        <v>15.622381281257</v>
      </c>
      <c r="J26" s="450" t="n">
        <f aca="false">J25+0.5*(vit_x+G25)*pas*(K25&gt;=0)</f>
        <v>0.263589010095892</v>
      </c>
      <c r="K26" s="451" t="n">
        <f aca="false">K25+0.5*(vit_z+H25)*pas</f>
        <v>1.4949727934779</v>
      </c>
      <c r="L26" s="449" t="n">
        <f aca="false">SQRT(pos_x^2+pos_z^2)</f>
        <v>1.51803254888769</v>
      </c>
      <c r="M26" s="450" t="n">
        <f aca="false">IF(AND(L25&gt;L_rampe,G26&gt;0),ATAN2(G26,H26),$M$4)</f>
        <v>1.39626340159546</v>
      </c>
      <c r="N26" s="449" t="n">
        <f aca="false">DEGREES(Beta)</f>
        <v>80</v>
      </c>
      <c r="O26" s="438"/>
      <c r="P26" s="452" t="n">
        <f aca="false">MATCH(t-pas/2-T_ini,CdP_t)</f>
        <v>2</v>
      </c>
      <c r="Q26" s="449" t="n">
        <f aca="false">(INDEX(CdP,2,i_P+1)-INDEX(CdP,2,i_P+0))/(INDEX(CdP,1,i_P+1)-INDEX(CdP,1,i_P+0))*(t-pas/2-T_ini-INDEX(CdP,1,i_P+0))+INDEX(CdP,2,i_P+0)</f>
        <v>858.166666666667</v>
      </c>
      <c r="R26" s="450" t="n">
        <f aca="false">Poussee/(g*ISP)</f>
        <v>0.43067386653841</v>
      </c>
      <c r="S26" s="451" t="n">
        <f aca="false">S25-Débit*pas</f>
        <v>9.59914068845197</v>
      </c>
      <c r="T26" s="449" t="n">
        <f aca="false">m*g</f>
        <v>94.1675701537139</v>
      </c>
      <c r="U26" s="453" t="n">
        <f aca="false">IF(pos_xz&lt;L_rampe,Poids*COS(Beta),0)</f>
        <v>16.3520269525152</v>
      </c>
      <c r="V26" s="450" t="n">
        <f aca="false">Rho_moyen*(20000-Alt_rampe-pos_z)/(20000+Alt_rampe+pos_z)</f>
        <v>1.22481687952081</v>
      </c>
      <c r="W26" s="449" t="n">
        <f aca="false">1/2*Rho*Sref*Cx*vit_xz^2</f>
        <v>0.664663554699948</v>
      </c>
      <c r="X26" s="438"/>
      <c r="Y26" s="454" t="str">
        <f aca="false">IF(AND(pos_z&lt;=0,K25&gt;0),"Impact balistique","") &amp; IF(AND(H27&lt;0,vit_z&gt;=0),"Apogée","") &amp; IF(AND(Poussee=0,Q25&gt;0),"Fin de propulsion","") &amp; IF(AND(L27&gt;L_rampe,pos_xz&lt;=L_rampe),"Sortie de rampe","")</f>
        <v/>
      </c>
      <c r="Z26" s="455" t="str">
        <f aca="false">IF(ABS(t-T_para)&lt;pas/2,"Para","")</f>
        <v/>
      </c>
      <c r="AA26" s="456" t="str">
        <f aca="false">IF(ABS(t-T_satellite)&lt;pas/2,"Satellite","")</f>
        <v/>
      </c>
      <c r="AB26" s="444"/>
      <c r="AC26" s="452" t="e">
        <f aca="false">IF(ABS(t-ROUND(t,0))&lt;0.001,t,NA())</f>
        <v>#N/A</v>
      </c>
      <c r="AD26" s="457" t="e">
        <f aca="false">IF(ABS(t-ROUND(t,0))&lt;0.001,pos_x,NA())</f>
        <v>#N/A</v>
      </c>
      <c r="AE26" s="458" t="n">
        <f aca="false">IF(t&lt;T_para, pos_z, NA())</f>
        <v>1.4949727934779</v>
      </c>
      <c r="AF26" s="444"/>
      <c r="AG26" s="450" t="n">
        <f aca="false">IF(AND(L25&lt;L_rampe,Poussee&lt;Poids*SIN(M25)),0,(-W25+Poussee)/m-Poids*SIN(M25)/m)</f>
        <v>79.6770393331162</v>
      </c>
      <c r="AH26" s="449" t="n">
        <f aca="false">IF(AND(L25&lt;L_rampe,Poussee&lt;Poids*SIN(M25)), g*SIN(M25), (-W25+Poussee)/m)</f>
        <v>89.338003390166</v>
      </c>
    </row>
    <row r="27" customFormat="false" ht="12" hidden="false" customHeight="false" outlineLevel="0" collapsed="false">
      <c r="A27" s="448" t="n">
        <f aca="false">IF(B26+0.01&lt;=T_ini+ROUNDUP(Temps_fin_propu,0), 0.01, IF(K26&gt;0, 0.1, 0.0001))</f>
        <v>0.01</v>
      </c>
      <c r="B27" s="449" t="n">
        <f aca="false">B26+pas</f>
        <v>0.23</v>
      </c>
      <c r="C27" s="432"/>
      <c r="D27" s="450" t="n">
        <f aca="false">IF(AND(L26&lt;L_rampe,Poussee&lt;Poids*SIN(M26)),0,(-W26+Poussee)/m*COS(M26)-U26/m*SIN(M26))</f>
        <v>13.8025651228367</v>
      </c>
      <c r="E27" s="451" t="n">
        <f aca="false">IF(AND(L26&lt;L_rampe,Poussee&lt;Poids*SIN(M26)),0,(-W26+Poussee)/m*SIN(M26)+U26/m*COS(M26)-Poids/m)</f>
        <v>78.2826291262445</v>
      </c>
      <c r="F27" s="449" t="n">
        <f aca="false">SQRT(acc_x^2+acc_z^2)</f>
        <v>79.4901303740741</v>
      </c>
      <c r="G27" s="450" t="n">
        <f aca="false">G26+acc_x*pas</f>
        <v>2.85067504887205</v>
      </c>
      <c r="H27" s="451" t="n">
        <f aca="false">H26+acc_z*pas</f>
        <v>16.167894706529</v>
      </c>
      <c r="I27" s="449" t="n">
        <f aca="false">SQRT(vit_x^2+vit_z^2)</f>
        <v>16.4172825849978</v>
      </c>
      <c r="J27" s="450" t="n">
        <f aca="false">J26+0.5*(vit_x+G26)*pas*(K26&gt;=0)</f>
        <v>0.291405632328471</v>
      </c>
      <c r="K27" s="451" t="n">
        <f aca="false">K26+0.5*(vit_z+H26)*pas</f>
        <v>1.65273760908688</v>
      </c>
      <c r="L27" s="449" t="n">
        <f aca="false">SQRT(pos_x^2+pos_z^2)</f>
        <v>1.67823086821896</v>
      </c>
      <c r="M27" s="450" t="n">
        <f aca="false">IF(AND(L26&gt;L_rampe,G27&gt;0),ATAN2(G27,H27),$M$4)</f>
        <v>1.39626340159546</v>
      </c>
      <c r="N27" s="449" t="n">
        <f aca="false">DEGREES(Beta)</f>
        <v>80</v>
      </c>
      <c r="O27" s="438"/>
      <c r="P27" s="452" t="n">
        <f aca="false">MATCH(t-pas/2-T_ini,CdP_t)</f>
        <v>2</v>
      </c>
      <c r="Q27" s="449" t="n">
        <f aca="false">(INDEX(CdP,2,i_P+1)-INDEX(CdP,2,i_P+0))/(INDEX(CdP,1,i_P+1)-INDEX(CdP,1,i_P+0))*(t-pas/2-T_ini-INDEX(CdP,1,i_P+0))+INDEX(CdP,2,i_P+0)</f>
        <v>856.055555555556</v>
      </c>
      <c r="R27" s="450" t="n">
        <f aca="false">Poussee/(g*ISP)</f>
        <v>0.429614398232042</v>
      </c>
      <c r="S27" s="451" t="n">
        <f aca="false">S26-Débit*pas</f>
        <v>9.59484454446965</v>
      </c>
      <c r="T27" s="449" t="n">
        <f aca="false">m*g</f>
        <v>94.1254249812473</v>
      </c>
      <c r="U27" s="453" t="n">
        <f aca="false">IF(pos_xz&lt;L_rampe,Poids*COS(Beta),0)</f>
        <v>16.344708520119</v>
      </c>
      <c r="V27" s="450" t="n">
        <f aca="false">Rho_moyen*(20000-Alt_rampe-pos_z)/(20000+Alt_rampe+pos_z)</f>
        <v>1.2247975563722</v>
      </c>
      <c r="W27" s="449" t="n">
        <f aca="false">1/2*Rho*Sref*Cx*vit_xz^2</f>
        <v>0.734011890767909</v>
      </c>
      <c r="X27" s="438"/>
      <c r="Y27" s="454" t="str">
        <f aca="false">IF(AND(pos_z&lt;=0,K26&gt;0),"Impact balistique","") &amp; IF(AND(H28&lt;0,vit_z&gt;=0),"Apogée","") &amp; IF(AND(Poussee=0,Q26&gt;0),"Fin de propulsion","") &amp; IF(AND(L28&gt;L_rampe,pos_xz&lt;=L_rampe),"Sortie de rampe","")</f>
        <v/>
      </c>
      <c r="Z27" s="455" t="str">
        <f aca="false">IF(ABS(t-T_para)&lt;pas/2,"Para","")</f>
        <v/>
      </c>
      <c r="AA27" s="456" t="str">
        <f aca="false">IF(ABS(t-T_satellite)&lt;pas/2,"Satellite","")</f>
        <v/>
      </c>
      <c r="AB27" s="444"/>
      <c r="AC27" s="452" t="e">
        <f aca="false">IF(ABS(t-ROUND(t,0))&lt;0.001,t,NA())</f>
        <v>#N/A</v>
      </c>
      <c r="AD27" s="457" t="e">
        <f aca="false">IF(ABS(t-ROUND(t,0))&lt;0.001,pos_x,NA())</f>
        <v>#N/A</v>
      </c>
      <c r="AE27" s="458" t="n">
        <f aca="false">IF(t&lt;T_para, pos_z, NA())</f>
        <v>1.65273760908688</v>
      </c>
      <c r="AF27" s="444"/>
      <c r="AG27" s="450" t="n">
        <f aca="false">IF(AND(L26&lt;L_rampe,Poussee&lt;Poids*SIN(M26)),0,(-W26+Poussee)/m-Poids*SIN(M26)/m)</f>
        <v>79.4901303704147</v>
      </c>
      <c r="AH27" s="449" t="n">
        <f aca="false">IF(AND(L26&lt;L_rampe,Poussee&lt;Poids*SIN(M26)), g*SIN(M26), (-W26+Poussee)/m)</f>
        <v>89.1510944274644</v>
      </c>
    </row>
    <row r="28" customFormat="false" ht="12" hidden="false" customHeight="false" outlineLevel="0" collapsed="false">
      <c r="A28" s="448" t="n">
        <f aca="false">IF(B27+0.01&lt;=T_ini+ROUNDUP(Temps_fin_propu,0), 0.01, IF(K27&gt;0, 0.1, 0.0001))</f>
        <v>0.01</v>
      </c>
      <c r="B28" s="449" t="n">
        <f aca="false">B27+pas</f>
        <v>0.24</v>
      </c>
      <c r="C28" s="432"/>
      <c r="D28" s="450" t="n">
        <f aca="false">IF(AND(L27&lt;L_rampe,Poussee&lt;Poids*SIN(M27)),0,(-W27+Poussee)/m*COS(M27)-U27/m*SIN(M27))</f>
        <v>13.770004561207</v>
      </c>
      <c r="E28" s="451" t="n">
        <f aca="false">IF(AND(L27&lt;L_rampe,Poussee&lt;Poids*SIN(M27)),0,(-W27+Poussee)/m*SIN(M27)+U27/m*COS(M27)-Poids/m)</f>
        <v>78.097960130722</v>
      </c>
      <c r="F28" s="449" t="n">
        <f aca="false">SQRT(acc_x^2+acc_z^2)</f>
        <v>79.3026128333456</v>
      </c>
      <c r="G28" s="450" t="n">
        <f aca="false">G27+acc_x*pas</f>
        <v>2.98837509448412</v>
      </c>
      <c r="H28" s="451" t="n">
        <f aca="false">H27+acc_z*pas</f>
        <v>16.9488743078363</v>
      </c>
      <c r="I28" s="449" t="n">
        <f aca="false">SQRT(vit_x^2+vit_z^2)</f>
        <v>17.2103087133312</v>
      </c>
      <c r="J28" s="450" t="n">
        <f aca="false">J27+0.5*(vit_x+G27)*pas*(K27&gt;=0)</f>
        <v>0.320600883045251</v>
      </c>
      <c r="K28" s="451" t="n">
        <f aca="false">K27+0.5*(vit_z+H27)*pas</f>
        <v>1.81832145415871</v>
      </c>
      <c r="L28" s="449" t="n">
        <f aca="false">SQRT(pos_x^2+pos_z^2)</f>
        <v>1.84636882471061</v>
      </c>
      <c r="M28" s="450" t="n">
        <f aca="false">IF(AND(L27&gt;L_rampe,G28&gt;0),ATAN2(G28,H28),$M$4)</f>
        <v>1.39626340159546</v>
      </c>
      <c r="N28" s="449" t="n">
        <f aca="false">DEGREES(Beta)</f>
        <v>80</v>
      </c>
      <c r="O28" s="438"/>
      <c r="P28" s="452" t="n">
        <f aca="false">MATCH(t-pas/2-T_ini,CdP_t)</f>
        <v>2</v>
      </c>
      <c r="Q28" s="449" t="n">
        <f aca="false">(INDEX(CdP,2,i_P+1)-INDEX(CdP,2,i_P+0))/(INDEX(CdP,1,i_P+1)-INDEX(CdP,1,i_P+0))*(t-pas/2-T_ini-INDEX(CdP,1,i_P+0))+INDEX(CdP,2,i_P+0)</f>
        <v>853.944444444445</v>
      </c>
      <c r="R28" s="450" t="n">
        <f aca="false">Poussee/(g*ISP)</f>
        <v>0.428554929925675</v>
      </c>
      <c r="S28" s="451" t="n">
        <f aca="false">S27-Débit*pas</f>
        <v>9.5905589951704</v>
      </c>
      <c r="T28" s="449" t="n">
        <f aca="false">m*g</f>
        <v>94.0833837426216</v>
      </c>
      <c r="U28" s="453" t="n">
        <f aca="false">IF(pos_xz&lt;L_rampe,Poids*COS(Beta),0)</f>
        <v>16.3374081356447</v>
      </c>
      <c r="V28" s="450" t="n">
        <f aca="false">Rho_moyen*(20000-Alt_rampe-pos_z)/(20000+Alt_rampe+pos_z)</f>
        <v>1.22477727587107</v>
      </c>
      <c r="W28" s="449" t="n">
        <f aca="false">1/2*Rho*Sref*Cx*vit_xz^2</f>
        <v>0.806623142938999</v>
      </c>
      <c r="X28" s="438"/>
      <c r="Y28" s="454" t="str">
        <f aca="false">IF(AND(pos_z&lt;=0,K27&gt;0),"Impact balistique","") &amp; IF(AND(H29&lt;0,vit_z&gt;=0),"Apogée","") &amp; IF(AND(Poussee=0,Q27&gt;0),"Fin de propulsion","") &amp; IF(AND(L29&gt;L_rampe,pos_xz&lt;=L_rampe),"Sortie de rampe","")</f>
        <v/>
      </c>
      <c r="Z28" s="455" t="str">
        <f aca="false">IF(ABS(t-T_para)&lt;pas/2,"Para","")</f>
        <v/>
      </c>
      <c r="AA28" s="456" t="str">
        <f aca="false">IF(ABS(t-T_satellite)&lt;pas/2,"Satellite","")</f>
        <v/>
      </c>
      <c r="AB28" s="444"/>
      <c r="AC28" s="452" t="e">
        <f aca="false">IF(ABS(t-ROUND(t,0))&lt;0.001,t,NA())</f>
        <v>#N/A</v>
      </c>
      <c r="AD28" s="457" t="e">
        <f aca="false">IF(ABS(t-ROUND(t,0))&lt;0.001,pos_x,NA())</f>
        <v>#N/A</v>
      </c>
      <c r="AE28" s="458" t="n">
        <f aca="false">IF(t&lt;T_para, pos_z, NA())</f>
        <v>1.81832145415871</v>
      </c>
      <c r="AF28" s="444"/>
      <c r="AG28" s="450" t="n">
        <f aca="false">IF(AND(L27&lt;L_rampe,Poussee&lt;Poids*SIN(M27)),0,(-W27+Poussee)/m-Poids*SIN(M27)/m)</f>
        <v>79.3026128296922</v>
      </c>
      <c r="AH28" s="449" t="n">
        <f aca="false">IF(AND(L27&lt;L_rampe,Poussee&lt;Poids*SIN(M27)), g*SIN(M27), (-W27+Poussee)/m)</f>
        <v>88.963576886742</v>
      </c>
    </row>
    <row r="29" customFormat="false" ht="12" hidden="false" customHeight="false" outlineLevel="0" collapsed="false">
      <c r="A29" s="448" t="n">
        <f aca="false">IF(B28+0.01&lt;=T_ini+ROUNDUP(Temps_fin_propu,0), 0.01, IF(K28&gt;0, 0.1, 0.0001))</f>
        <v>0.01</v>
      </c>
      <c r="B29" s="449" t="n">
        <f aca="false">B28+pas</f>
        <v>0.25</v>
      </c>
      <c r="C29" s="432"/>
      <c r="D29" s="450" t="n">
        <f aca="false">IF(AND(L28&lt;L_rampe,Poussee&lt;Poids*SIN(M28)),0,(-W28+Poussee)/m*COS(M28)-U28/m*SIN(M28))</f>
        <v>13.7373387453606</v>
      </c>
      <c r="E29" s="451" t="n">
        <f aca="false">IF(AND(L28&lt;L_rampe,Poussee&lt;Poids*SIN(M28)),0,(-W28+Poussee)/m*SIN(M28)+U28/m*COS(M28)-Poids/m)</f>
        <v>77.9126941961041</v>
      </c>
      <c r="F29" s="449" t="n">
        <f aca="false">SQRT(acc_x^2+acc_z^2)</f>
        <v>79.1144891451649</v>
      </c>
      <c r="G29" s="450" t="n">
        <f aca="false">G28+acc_x*pas</f>
        <v>3.12574848193773</v>
      </c>
      <c r="H29" s="451" t="n">
        <f aca="false">H28+acc_z*pas</f>
        <v>17.7280012497973</v>
      </c>
      <c r="I29" s="449" t="n">
        <f aca="false">SQRT(vit_x^2+vit_z^2)</f>
        <v>18.0014536047829</v>
      </c>
      <c r="J29" s="450" t="n">
        <f aca="false">J28+0.5*(vit_x+G28)*pas*(K28&gt;=0)</f>
        <v>0.351171500927361</v>
      </c>
      <c r="K29" s="451" t="n">
        <f aca="false">K28+0.5*(vit_z+H28)*pas</f>
        <v>1.99170583194687</v>
      </c>
      <c r="L29" s="449" t="n">
        <f aca="false">SQRT(pos_x^2+pos_z^2)</f>
        <v>2.02242763630118</v>
      </c>
      <c r="M29" s="450" t="n">
        <f aca="false">IF(AND(L28&gt;L_rampe,G29&gt;0),ATAN2(G29,H29),$M$4)</f>
        <v>1.39626340159546</v>
      </c>
      <c r="N29" s="449" t="n">
        <f aca="false">DEGREES(Beta)</f>
        <v>80</v>
      </c>
      <c r="O29" s="438"/>
      <c r="P29" s="452" t="n">
        <f aca="false">MATCH(t-pas/2-T_ini,CdP_t)</f>
        <v>2</v>
      </c>
      <c r="Q29" s="449" t="n">
        <f aca="false">(INDEX(CdP,2,i_P+1)-INDEX(CdP,2,i_P+0))/(INDEX(CdP,1,i_P+1)-INDEX(CdP,1,i_P+0))*(t-pas/2-T_ini-INDEX(CdP,1,i_P+0))+INDEX(CdP,2,i_P+0)</f>
        <v>851.833333333333</v>
      </c>
      <c r="R29" s="450" t="n">
        <f aca="false">Poussee/(g*ISP)</f>
        <v>0.427495461619307</v>
      </c>
      <c r="S29" s="451" t="n">
        <f aca="false">S28-Débit*pas</f>
        <v>9.5862840405542</v>
      </c>
      <c r="T29" s="449" t="n">
        <f aca="false">m*g</f>
        <v>94.0414464378367</v>
      </c>
      <c r="U29" s="453" t="n">
        <f aca="false">IF(pos_xz&lt;L_rampe,Poids*COS(Beta),0)</f>
        <v>16.3301257990926</v>
      </c>
      <c r="V29" s="450" t="n">
        <f aca="false">Rho_moyen*(20000-Alt_rampe-pos_z)/(20000+Alt_rampe+pos_z)</f>
        <v>1.22475604033038</v>
      </c>
      <c r="W29" s="449" t="n">
        <f aca="false">1/2*Rho*Sref*Cx*vit_xz^2</f>
        <v>0.882472088285819</v>
      </c>
      <c r="X29" s="438"/>
      <c r="Y29" s="454" t="str">
        <f aca="false">IF(AND(pos_z&lt;=0,K28&gt;0),"Impact balistique","") &amp; IF(AND(H30&lt;0,vit_z&gt;=0),"Apogée","") &amp; IF(AND(Poussee=0,Q28&gt;0),"Fin de propulsion","") &amp; IF(AND(L30&gt;L_rampe,pos_xz&lt;=L_rampe),"Sortie de rampe","")</f>
        <v/>
      </c>
      <c r="Z29" s="455" t="str">
        <f aca="false">IF(ABS(t-T_para)&lt;pas/2,"Para","")</f>
        <v/>
      </c>
      <c r="AA29" s="456" t="str">
        <f aca="false">IF(ABS(t-T_satellite)&lt;pas/2,"Satellite","")</f>
        <v/>
      </c>
      <c r="AB29" s="444"/>
      <c r="AC29" s="452" t="e">
        <f aca="false">IF(ABS(t-ROUND(t,0))&lt;0.001,t,NA())</f>
        <v>#N/A</v>
      </c>
      <c r="AD29" s="457" t="e">
        <f aca="false">IF(ABS(t-ROUND(t,0))&lt;0.001,pos_x,NA())</f>
        <v>#N/A</v>
      </c>
      <c r="AE29" s="458" t="n">
        <f aca="false">IF(t&lt;T_para, pos_z, NA())</f>
        <v>1.99170583194687</v>
      </c>
      <c r="AF29" s="444"/>
      <c r="AG29" s="450" t="n">
        <f aca="false">IF(AND(L28&lt;L_rampe,Poussee&lt;Poids*SIN(M28)),0,(-W28+Poussee)/m-Poids*SIN(M28)/m)</f>
        <v>79.1144891415178</v>
      </c>
      <c r="AH29" s="449" t="n">
        <f aca="false">IF(AND(L28&lt;L_rampe,Poussee&lt;Poids*SIN(M28)), g*SIN(M28), (-W28+Poussee)/m)</f>
        <v>88.7754531985675</v>
      </c>
    </row>
    <row r="30" customFormat="false" ht="12" hidden="false" customHeight="false" outlineLevel="0" collapsed="false">
      <c r="A30" s="448" t="n">
        <f aca="false">IF(B29+0.01&lt;=T_ini+ROUNDUP(Temps_fin_propu,0), 0.01, IF(K29&gt;0, 0.1, 0.0001))</f>
        <v>0.01</v>
      </c>
      <c r="B30" s="449" t="n">
        <f aca="false">B29+pas</f>
        <v>0.26</v>
      </c>
      <c r="C30" s="432"/>
      <c r="D30" s="450" t="n">
        <f aca="false">IF(AND(L29&lt;L_rampe,Poussee&lt;Poids*SIN(M29)),0,(-W29+Poussee)/m*COS(M29)-U29/m*SIN(M29))</f>
        <v>13.7045680998735</v>
      </c>
      <c r="E30" s="451" t="n">
        <f aca="false">IF(AND(L29&lt;L_rampe,Poussee&lt;Poids*SIN(M29)),0,(-W29+Poussee)/m*SIN(M29)+U29/m*COS(M29)-Poids/m)</f>
        <v>77.7268337302939</v>
      </c>
      <c r="F30" s="449" t="n">
        <f aca="false">SQRT(acc_x^2+acc_z^2)</f>
        <v>78.9257617545806</v>
      </c>
      <c r="G30" s="450" t="n">
        <f aca="false">G29+acc_x*pas</f>
        <v>3.26279416293646</v>
      </c>
      <c r="H30" s="451" t="n">
        <f aca="false">H29+acc_z*pas</f>
        <v>18.5052695871002</v>
      </c>
      <c r="I30" s="449" t="n">
        <f aca="false">SQRT(vit_x^2+vit_z^2)</f>
        <v>18.7907112223287</v>
      </c>
      <c r="J30" s="450" t="n">
        <f aca="false">J29+0.5*(vit_x+G29)*pas*(K29&gt;=0)</f>
        <v>0.383114214151732</v>
      </c>
      <c r="K30" s="451" t="n">
        <f aca="false">K29+0.5*(vit_z+H29)*pas</f>
        <v>2.17287218613136</v>
      </c>
      <c r="L30" s="449" t="n">
        <f aca="false">SQRT(pos_x^2+pos_z^2)</f>
        <v>2.20638846043673</v>
      </c>
      <c r="M30" s="450" t="n">
        <f aca="false">IF(AND(L29&gt;L_rampe,G30&gt;0),ATAN2(G30,H30),$M$4)</f>
        <v>1.39626340159546</v>
      </c>
      <c r="N30" s="449" t="n">
        <f aca="false">DEGREES(Beta)</f>
        <v>80</v>
      </c>
      <c r="O30" s="438"/>
      <c r="P30" s="452" t="n">
        <f aca="false">MATCH(t-pas/2-T_ini,CdP_t)</f>
        <v>2</v>
      </c>
      <c r="Q30" s="449" t="n">
        <f aca="false">(INDEX(CdP,2,i_P+1)-INDEX(CdP,2,i_P+0))/(INDEX(CdP,1,i_P+1)-INDEX(CdP,1,i_P+0))*(t-pas/2-T_ini-INDEX(CdP,1,i_P+0))+INDEX(CdP,2,i_P+0)</f>
        <v>849.722222222222</v>
      </c>
      <c r="R30" s="450" t="n">
        <f aca="false">Poussee/(g*ISP)</f>
        <v>0.42643599331294</v>
      </c>
      <c r="S30" s="451" t="n">
        <f aca="false">S29-Débit*pas</f>
        <v>9.58201968062107</v>
      </c>
      <c r="T30" s="449" t="n">
        <f aca="false">m*g</f>
        <v>93.9996130668927</v>
      </c>
      <c r="U30" s="453" t="n">
        <f aca="false">IF(pos_xz&lt;L_rampe,Poids*COS(Beta),0)</f>
        <v>16.3228615104625</v>
      </c>
      <c r="V30" s="450" t="n">
        <f aca="false">Rho_moyen*(20000-Alt_rampe-pos_z)/(20000+Alt_rampe+pos_z)</f>
        <v>1.22473385207247</v>
      </c>
      <c r="W30" s="449" t="n">
        <f aca="false">1/2*Rho*Sref*Cx*vit_xz^2</f>
        <v>0.961533446704829</v>
      </c>
      <c r="X30" s="438"/>
      <c r="Y30" s="454" t="str">
        <f aca="false">IF(AND(pos_z&lt;=0,K29&gt;0),"Impact balistique","") &amp; IF(AND(H31&lt;0,vit_z&gt;=0),"Apogée","") &amp; IF(AND(Poussee=0,Q29&gt;0),"Fin de propulsion","") &amp; IF(AND(L31&gt;L_rampe,pos_xz&lt;=L_rampe),"Sortie de rampe","")</f>
        <v/>
      </c>
      <c r="Z30" s="455" t="str">
        <f aca="false">IF(ABS(t-T_para)&lt;pas/2,"Para","")</f>
        <v/>
      </c>
      <c r="AA30" s="456" t="str">
        <f aca="false">IF(ABS(t-T_satellite)&lt;pas/2,"Satellite","")</f>
        <v/>
      </c>
      <c r="AB30" s="444"/>
      <c r="AC30" s="452" t="e">
        <f aca="false">IF(ABS(t-ROUND(t,0))&lt;0.001,t,NA())</f>
        <v>#N/A</v>
      </c>
      <c r="AD30" s="457" t="e">
        <f aca="false">IF(ABS(t-ROUND(t,0))&lt;0.001,pos_x,NA())</f>
        <v>#N/A</v>
      </c>
      <c r="AE30" s="458" t="n">
        <f aca="false">IF(t&lt;T_para, pos_z, NA())</f>
        <v>2.17287218613136</v>
      </c>
      <c r="AF30" s="444"/>
      <c r="AG30" s="450" t="n">
        <f aca="false">IF(AND(L29&lt;L_rampe,Poussee&lt;Poids*SIN(M29)),0,(-W29+Poussee)/m-Poids*SIN(M29)/m)</f>
        <v>78.9257617509396</v>
      </c>
      <c r="AH30" s="449" t="n">
        <f aca="false">IF(AND(L29&lt;L_rampe,Poussee&lt;Poids*SIN(M29)), g*SIN(M29), (-W29+Poussee)/m)</f>
        <v>88.5867258079893</v>
      </c>
    </row>
    <row r="31" customFormat="false" ht="12" hidden="false" customHeight="false" outlineLevel="0" collapsed="false">
      <c r="A31" s="448" t="n">
        <f aca="false">IF(B30+0.01&lt;=T_ini+ROUNDUP(Temps_fin_propu,0), 0.01, IF(K30&gt;0, 0.1, 0.0001))</f>
        <v>0.01</v>
      </c>
      <c r="B31" s="449" t="n">
        <f aca="false">B30+pas</f>
        <v>0.27</v>
      </c>
      <c r="C31" s="432"/>
      <c r="D31" s="450" t="n">
        <f aca="false">IF(AND(L30&lt;L_rampe,Poussee&lt;Poids*SIN(M30)),0,(-W30+Poussee)/m*COS(M30)-U30/m*SIN(M30))</f>
        <v>13.6716930518112</v>
      </c>
      <c r="E31" s="451" t="n">
        <f aca="false">IF(AND(L30&lt;L_rampe,Poussee&lt;Poids*SIN(M30)),0,(-W30+Poussee)/m*SIN(M30)+U30/m*COS(M30)-Poids/m)</f>
        <v>77.5403811553127</v>
      </c>
      <c r="F31" s="449" t="n">
        <f aca="false">SQRT(acc_x^2+acc_z^2)</f>
        <v>78.7364331209773</v>
      </c>
      <c r="G31" s="450" t="n">
        <f aca="false">G30+acc_x*pas</f>
        <v>3.39951109345457</v>
      </c>
      <c r="H31" s="451" t="n">
        <f aca="false">H30+acc_z*pas</f>
        <v>19.2806733986534</v>
      </c>
      <c r="I31" s="449" t="n">
        <f aca="false">SQRT(vit_x^2+vit_z^2)</f>
        <v>19.5780755535385</v>
      </c>
      <c r="J31" s="450" t="n">
        <f aca="false">J30+0.5*(vit_x+G30)*pas*(K30&gt;=0)</f>
        <v>0.416425740433687</v>
      </c>
      <c r="K31" s="451" t="n">
        <f aca="false">K30+0.5*(vit_z+H30)*pas</f>
        <v>2.36180190106013</v>
      </c>
      <c r="L31" s="449" t="n">
        <f aca="false">SQRT(pos_x^2+pos_z^2)</f>
        <v>2.39823239431607</v>
      </c>
      <c r="M31" s="450" t="n">
        <f aca="false">IF(AND(L30&gt;L_rampe,G31&gt;0),ATAN2(G31,H31),$M$4)</f>
        <v>1.39626340159546</v>
      </c>
      <c r="N31" s="449" t="n">
        <f aca="false">DEGREES(Beta)</f>
        <v>80</v>
      </c>
      <c r="O31" s="438"/>
      <c r="P31" s="452" t="n">
        <f aca="false">MATCH(t-pas/2-T_ini,CdP_t)</f>
        <v>2</v>
      </c>
      <c r="Q31" s="449" t="n">
        <f aca="false">(INDEX(CdP,2,i_P+1)-INDEX(CdP,2,i_P+0))/(INDEX(CdP,1,i_P+1)-INDEX(CdP,1,i_P+0))*(t-pas/2-T_ini-INDEX(CdP,1,i_P+0))+INDEX(CdP,2,i_P+0)</f>
        <v>847.611111111111</v>
      </c>
      <c r="R31" s="450" t="n">
        <f aca="false">Poussee/(g*ISP)</f>
        <v>0.425376525006572</v>
      </c>
      <c r="S31" s="451" t="n">
        <f aca="false">S30-Débit*pas</f>
        <v>9.57776591537101</v>
      </c>
      <c r="T31" s="449" t="n">
        <f aca="false">m*g</f>
        <v>93.9578836297896</v>
      </c>
      <c r="U31" s="453" t="n">
        <f aca="false">IF(pos_xz&lt;L_rampe,Poids*COS(Beta),0)</f>
        <v>16.3156152697545</v>
      </c>
      <c r="V31" s="450" t="n">
        <f aca="false">Rho_moyen*(20000-Alt_rampe-pos_z)/(20000+Alt_rampe+pos_z)</f>
        <v>1.224710713429</v>
      </c>
      <c r="W31" s="449" t="n">
        <f aca="false">1/2*Rho*Sref*Cx*vit_xz^2</f>
        <v>1.04378188234005</v>
      </c>
      <c r="X31" s="438"/>
      <c r="Y31" s="454" t="str">
        <f aca="false">IF(AND(pos_z&lt;=0,K30&gt;0),"Impact balistique","") &amp; IF(AND(H32&lt;0,vit_z&gt;=0),"Apogée","") &amp; IF(AND(Poussee=0,Q30&gt;0),"Fin de propulsion","") &amp; IF(AND(L32&gt;L_rampe,pos_xz&lt;=L_rampe),"Sortie de rampe","")</f>
        <v/>
      </c>
      <c r="Z31" s="455" t="str">
        <f aca="false">IF(ABS(t-T_para)&lt;pas/2,"Para","")</f>
        <v/>
      </c>
      <c r="AA31" s="456" t="str">
        <f aca="false">IF(ABS(t-T_satellite)&lt;pas/2,"Satellite","")</f>
        <v/>
      </c>
      <c r="AB31" s="444"/>
      <c r="AC31" s="452" t="e">
        <f aca="false">IF(ABS(t-ROUND(t,0))&lt;0.001,t,NA())</f>
        <v>#N/A</v>
      </c>
      <c r="AD31" s="457" t="e">
        <f aca="false">IF(ABS(t-ROUND(t,0))&lt;0.001,pos_x,NA())</f>
        <v>#N/A</v>
      </c>
      <c r="AE31" s="458" t="n">
        <f aca="false">IF(t&lt;T_para, pos_z, NA())</f>
        <v>2.36180190106013</v>
      </c>
      <c r="AF31" s="444"/>
      <c r="AG31" s="450" t="n">
        <f aca="false">IF(AND(L30&lt;L_rampe,Poussee&lt;Poids*SIN(M30)),0,(-W30+Poussee)/m-Poids*SIN(M30)/m)</f>
        <v>78.7364331173424</v>
      </c>
      <c r="AH31" s="449" t="n">
        <f aca="false">IF(AND(L30&lt;L_rampe,Poussee&lt;Poids*SIN(M30)), g*SIN(M30), (-W30+Poussee)/m)</f>
        <v>88.3973971743921</v>
      </c>
    </row>
    <row r="32" customFormat="false" ht="12" hidden="false" customHeight="false" outlineLevel="0" collapsed="false">
      <c r="A32" s="448" t="n">
        <f aca="false">IF(B31+0.01&lt;=T_ini+ROUNDUP(Temps_fin_propu,0), 0.01, IF(K31&gt;0, 0.1, 0.0001))</f>
        <v>0.01</v>
      </c>
      <c r="B32" s="449" t="n">
        <f aca="false">B31+pas</f>
        <v>0.28</v>
      </c>
      <c r="C32" s="432"/>
      <c r="D32" s="450" t="n">
        <f aca="false">IF(AND(L31&lt;L_rampe,Poussee&lt;Poids*SIN(M31)),0,(-W31+Poussee)/m*COS(M31)-U31/m*SIN(M31))</f>
        <v>13.6387140307039</v>
      </c>
      <c r="E32" s="451" t="n">
        <f aca="false">IF(AND(L31&lt;L_rampe,Poussee&lt;Poids*SIN(M31)),0,(-W31+Poussee)/m*SIN(M31)+U31/m*COS(M31)-Poids/m)</f>
        <v>77.3533389071591</v>
      </c>
      <c r="F32" s="449" t="n">
        <f aca="false">SQRT(acc_x^2+acc_z^2)</f>
        <v>78.546505717932</v>
      </c>
      <c r="G32" s="450" t="n">
        <f aca="false">G31+acc_x*pas</f>
        <v>3.53589823376161</v>
      </c>
      <c r="H32" s="451" t="n">
        <f aca="false">H31+acc_z*pas</f>
        <v>20.054206787725</v>
      </c>
      <c r="I32" s="449" t="n">
        <f aca="false">SQRT(vit_x^2+vit_z^2)</f>
        <v>20.3635406107178</v>
      </c>
      <c r="J32" s="450" t="n">
        <f aca="false">J31+0.5*(vit_x+G31)*pas*(K31&gt;=0)</f>
        <v>0.451102787069768</v>
      </c>
      <c r="K32" s="451" t="n">
        <f aca="false">K31+0.5*(vit_z+H31)*pas</f>
        <v>2.55847630199202</v>
      </c>
      <c r="L32" s="449" t="n">
        <f aca="false">SQRT(pos_x^2+pos_z^2)</f>
        <v>2.59794047513735</v>
      </c>
      <c r="M32" s="450" t="n">
        <f aca="false">IF(AND(L31&gt;L_rampe,G32&gt;0),ATAN2(G32,H32),$M$4)</f>
        <v>1.39626340159546</v>
      </c>
      <c r="N32" s="449" t="n">
        <f aca="false">DEGREES(Beta)</f>
        <v>80</v>
      </c>
      <c r="O32" s="438"/>
      <c r="P32" s="452" t="n">
        <f aca="false">MATCH(t-pas/2-T_ini,CdP_t)</f>
        <v>2</v>
      </c>
      <c r="Q32" s="449" t="n">
        <f aca="false">(INDEX(CdP,2,i_P+1)-INDEX(CdP,2,i_P+0))/(INDEX(CdP,1,i_P+1)-INDEX(CdP,1,i_P+0))*(t-pas/2-T_ini-INDEX(CdP,1,i_P+0))+INDEX(CdP,2,i_P+0)</f>
        <v>845.5</v>
      </c>
      <c r="R32" s="450" t="n">
        <f aca="false">Poussee/(g*ISP)</f>
        <v>0.424317056700205</v>
      </c>
      <c r="S32" s="451" t="n">
        <f aca="false">S31-Débit*pas</f>
        <v>9.57352274480401</v>
      </c>
      <c r="T32" s="449" t="n">
        <f aca="false">m*g</f>
        <v>93.9162581265273</v>
      </c>
      <c r="U32" s="453" t="n">
        <f aca="false">IF(pos_xz&lt;L_rampe,Poids*COS(Beta),0)</f>
        <v>16.3083870769685</v>
      </c>
      <c r="V32" s="450" t="n">
        <f aca="false">Rho_moyen*(20000-Alt_rampe-pos_z)/(20000+Alt_rampe+pos_z)</f>
        <v>1.22468662674091</v>
      </c>
      <c r="W32" s="449" t="n">
        <f aca="false">1/2*Rho*Sref*Cx*vit_xz^2</f>
        <v>1.12919200500827</v>
      </c>
      <c r="X32" s="438"/>
      <c r="Y32" s="454" t="str">
        <f aca="false">IF(AND(pos_z&lt;=0,K31&gt;0),"Impact balistique","") &amp; IF(AND(H33&lt;0,vit_z&gt;=0),"Apogée","") &amp; IF(AND(Poussee=0,Q31&gt;0),"Fin de propulsion","") &amp; IF(AND(L33&gt;L_rampe,pos_xz&lt;=L_rampe),"Sortie de rampe","")</f>
        <v/>
      </c>
      <c r="Z32" s="455" t="str">
        <f aca="false">IF(ABS(t-T_para)&lt;pas/2,"Para","")</f>
        <v/>
      </c>
      <c r="AA32" s="456" t="str">
        <f aca="false">IF(ABS(t-T_satellite)&lt;pas/2,"Satellite","")</f>
        <v/>
      </c>
      <c r="AB32" s="444"/>
      <c r="AC32" s="452" t="e">
        <f aca="false">IF(ABS(t-ROUND(t,0))&lt;0.001,t,NA())</f>
        <v>#N/A</v>
      </c>
      <c r="AD32" s="457" t="e">
        <f aca="false">IF(ABS(t-ROUND(t,0))&lt;0.001,pos_x,NA())</f>
        <v>#N/A</v>
      </c>
      <c r="AE32" s="458" t="n">
        <f aca="false">IF(t&lt;T_para, pos_z, NA())</f>
        <v>2.55847630199202</v>
      </c>
      <c r="AF32" s="444"/>
      <c r="AG32" s="450" t="n">
        <f aca="false">IF(AND(L31&lt;L_rampe,Poussee&lt;Poids*SIN(M31)),0,(-W31+Poussee)/m-Poids*SIN(M31)/m)</f>
        <v>78.5465057143033</v>
      </c>
      <c r="AH32" s="449" t="n">
        <f aca="false">IF(AND(L31&lt;L_rampe,Poussee&lt;Poids*SIN(M31)), g*SIN(M31), (-W31+Poussee)/m)</f>
        <v>88.207469771353</v>
      </c>
    </row>
    <row r="33" customFormat="false" ht="12" hidden="false" customHeight="false" outlineLevel="0" collapsed="false">
      <c r="A33" s="448" t="n">
        <f aca="false">IF(B32+0.01&lt;=T_ini+ROUNDUP(Temps_fin_propu,0), 0.01, IF(K32&gt;0, 0.1, 0.0001))</f>
        <v>0.01</v>
      </c>
      <c r="B33" s="449" t="n">
        <f aca="false">B32+pas</f>
        <v>0.29</v>
      </c>
      <c r="C33" s="432"/>
      <c r="D33" s="450" t="n">
        <f aca="false">IF(AND(L32&lt;L_rampe,Poussee&lt;Poids*SIN(M32)),0,(-W32+Poussee)/m*COS(M32)-U32/m*SIN(M32))</f>
        <v>13.6056314685207</v>
      </c>
      <c r="E33" s="451" t="n">
        <f aca="false">IF(AND(L32&lt;L_rampe,Poussee&lt;Poids*SIN(M32)),0,(-W32+Poussee)/m*SIN(M32)+U32/m*COS(M32)-Poids/m)</f>
        <v>77.1657094356653</v>
      </c>
      <c r="F33" s="449" t="n">
        <f aca="false">SQRT(acc_x^2+acc_z^2)</f>
        <v>78.3559820330696</v>
      </c>
      <c r="G33" s="450" t="n">
        <f aca="false">G32+acc_x*pas</f>
        <v>3.67195454844682</v>
      </c>
      <c r="H33" s="451" t="n">
        <f aca="false">H32+acc_z*pas</f>
        <v>20.8258638820816</v>
      </c>
      <c r="I33" s="449" t="n">
        <f aca="false">SQRT(vit_x^2+vit_z^2)</f>
        <v>21.1471004310485</v>
      </c>
      <c r="J33" s="450" t="n">
        <f aca="false">J32+0.5*(vit_x+G32)*pas*(K32&gt;=0)</f>
        <v>0.48714205098081</v>
      </c>
      <c r="K33" s="451" t="n">
        <f aca="false">K32+0.5*(vit_z+H32)*pas</f>
        <v>2.76287665534105</v>
      </c>
      <c r="L33" s="449" t="n">
        <f aca="false">SQRT(pos_x^2+pos_z^2)</f>
        <v>2.80549368034618</v>
      </c>
      <c r="M33" s="450" t="n">
        <f aca="false">IF(AND(L32&gt;L_rampe,G33&gt;0),ATAN2(G33,H33),$M$4)</f>
        <v>1.39626340159546</v>
      </c>
      <c r="N33" s="449" t="n">
        <f aca="false">DEGREES(Beta)</f>
        <v>80</v>
      </c>
      <c r="O33" s="438"/>
      <c r="P33" s="452" t="n">
        <f aca="false">MATCH(t-pas/2-T_ini,CdP_t)</f>
        <v>2</v>
      </c>
      <c r="Q33" s="449" t="n">
        <f aca="false">(INDEX(CdP,2,i_P+1)-INDEX(CdP,2,i_P+0))/(INDEX(CdP,1,i_P+1)-INDEX(CdP,1,i_P+0))*(t-pas/2-T_ini-INDEX(CdP,1,i_P+0))+INDEX(CdP,2,i_P+0)</f>
        <v>843.388888888889</v>
      </c>
      <c r="R33" s="450" t="n">
        <f aca="false">Poussee/(g*ISP)</f>
        <v>0.423257588393837</v>
      </c>
      <c r="S33" s="451" t="n">
        <f aca="false">S32-Débit*pas</f>
        <v>9.56929016892007</v>
      </c>
      <c r="T33" s="449" t="n">
        <f aca="false">m*g</f>
        <v>93.8747365571059</v>
      </c>
      <c r="U33" s="453" t="n">
        <f aca="false">IF(pos_xz&lt;L_rampe,Poids*COS(Beta),0)</f>
        <v>16.3011769321046</v>
      </c>
      <c r="V33" s="450" t="n">
        <f aca="false">Rho_moyen*(20000-Alt_rampe-pos_z)/(20000+Alt_rampe+pos_z)</f>
        <v>1.22466159435837</v>
      </c>
      <c r="W33" s="449" t="n">
        <f aca="false">1/2*Rho*Sref*Cx*vit_xz^2</f>
        <v>1.21773837162562</v>
      </c>
      <c r="X33" s="438"/>
      <c r="Y33" s="454" t="str">
        <f aca="false">IF(AND(pos_z&lt;=0,K32&gt;0),"Impact balistique","") &amp; IF(AND(H34&lt;0,vit_z&gt;=0),"Apogée","") &amp; IF(AND(Poussee=0,Q32&gt;0),"Fin de propulsion","") &amp; IF(AND(L34&gt;L_rampe,pos_xz&lt;=L_rampe),"Sortie de rampe","")</f>
        <v/>
      </c>
      <c r="Z33" s="455" t="str">
        <f aca="false">IF(ABS(t-T_para)&lt;pas/2,"Para","")</f>
        <v/>
      </c>
      <c r="AA33" s="456" t="str">
        <f aca="false">IF(ABS(t-T_satellite)&lt;pas/2,"Satellite","")</f>
        <v/>
      </c>
      <c r="AB33" s="444"/>
      <c r="AC33" s="452" t="e">
        <f aca="false">IF(ABS(t-ROUND(t,0))&lt;0.001,t,NA())</f>
        <v>#N/A</v>
      </c>
      <c r="AD33" s="457" t="e">
        <f aca="false">IF(ABS(t-ROUND(t,0))&lt;0.001,pos_x,NA())</f>
        <v>#N/A</v>
      </c>
      <c r="AE33" s="458" t="n">
        <f aca="false">IF(t&lt;T_para, pos_z, NA())</f>
        <v>2.76287665534105</v>
      </c>
      <c r="AF33" s="444"/>
      <c r="AG33" s="450" t="n">
        <f aca="false">IF(AND(L32&lt;L_rampe,Poussee&lt;Poids*SIN(M32)),0,(-W32+Poussee)/m-Poids*SIN(M32)/m)</f>
        <v>78.355982029447</v>
      </c>
      <c r="AH33" s="449" t="n">
        <f aca="false">IF(AND(L32&lt;L_rampe,Poussee&lt;Poids*SIN(M32)), g*SIN(M32), (-W32+Poussee)/m)</f>
        <v>88.0169460864967</v>
      </c>
    </row>
    <row r="34" customFormat="false" ht="12" hidden="false" customHeight="false" outlineLevel="0" collapsed="false">
      <c r="A34" s="448" t="n">
        <f aca="false">IF(B33+0.01&lt;=T_ini+ROUNDUP(Temps_fin_propu,0), 0.01, IF(K33&gt;0, 0.1, 0.0001))</f>
        <v>0.01</v>
      </c>
      <c r="B34" s="449" t="n">
        <f aca="false">B33+pas</f>
        <v>0.3</v>
      </c>
      <c r="C34" s="432"/>
      <c r="D34" s="450" t="n">
        <f aca="false">IF(AND(L33&lt;L_rampe,Poussee&lt;Poids*SIN(M33)),0,(-W33+Poussee)/m*COS(M33)-U33/m*SIN(M33))</f>
        <v>13.572445799645</v>
      </c>
      <c r="E34" s="451" t="n">
        <f aca="false">IF(AND(L33&lt;L_rampe,Poussee&lt;Poids*SIN(M33)),0,(-W33+Poussee)/m*SIN(M33)+U33/m*COS(M33)-Poids/m)</f>
        <v>76.9774952043548</v>
      </c>
      <c r="F34" s="449" t="n">
        <f aca="false">SQRT(acc_x^2+acc_z^2)</f>
        <v>78.1648645679167</v>
      </c>
      <c r="G34" s="450" t="n">
        <f aca="false">G33+acc_x*pas</f>
        <v>3.80767900644327</v>
      </c>
      <c r="H34" s="451" t="n">
        <f aca="false">H33+acc_z*pas</f>
        <v>21.5956388341252</v>
      </c>
      <c r="I34" s="449" t="n">
        <f aca="false">SQRT(vit_x^2+vit_z^2)</f>
        <v>21.9287490767276</v>
      </c>
      <c r="J34" s="450" t="n">
        <f aca="false">J33+0.5*(vit_x+G33)*pas*(K33&gt;=0)</f>
        <v>0.52454021875526</v>
      </c>
      <c r="K34" s="451" t="n">
        <f aca="false">K33+0.5*(vit_z+H33)*pas</f>
        <v>2.97498416892209</v>
      </c>
      <c r="L34" s="449" t="n">
        <f aca="false">SQRT(pos_x^2+pos_z^2)</f>
        <v>3.02087292788506</v>
      </c>
      <c r="M34" s="450" t="n">
        <f aca="false">IF(AND(L33&gt;L_rampe,G34&gt;0),ATAN2(G34,H34),$M$4)</f>
        <v>1.39626340159546</v>
      </c>
      <c r="N34" s="449" t="n">
        <f aca="false">DEGREES(Beta)</f>
        <v>80</v>
      </c>
      <c r="O34" s="438"/>
      <c r="P34" s="452" t="n">
        <f aca="false">MATCH(t-pas/2-T_ini,CdP_t)</f>
        <v>2</v>
      </c>
      <c r="Q34" s="449" t="n">
        <f aca="false">(INDEX(CdP,2,i_P+1)-INDEX(CdP,2,i_P+0))/(INDEX(CdP,1,i_P+1)-INDEX(CdP,1,i_P+0))*(t-pas/2-T_ini-INDEX(CdP,1,i_P+0))+INDEX(CdP,2,i_P+0)</f>
        <v>841.277777777778</v>
      </c>
      <c r="R34" s="450" t="n">
        <f aca="false">Poussee/(g*ISP)</f>
        <v>0.422198120087469</v>
      </c>
      <c r="S34" s="451" t="n">
        <f aca="false">S33-Débit*pas</f>
        <v>9.56506818771919</v>
      </c>
      <c r="T34" s="449" t="n">
        <f aca="false">m*g</f>
        <v>93.8333189215253</v>
      </c>
      <c r="U34" s="453" t="n">
        <f aca="false">IF(pos_xz&lt;L_rampe,Poids*COS(Beta),0)</f>
        <v>16.2939848351628</v>
      </c>
      <c r="V34" s="450" t="n">
        <f aca="false">Rho_moyen*(20000-Alt_rampe-pos_z)/(20000+Alt_rampe+pos_z)</f>
        <v>1.22463561864075</v>
      </c>
      <c r="W34" s="449" t="n">
        <f aca="false">1/2*Rho*Sref*Cx*vit_xz^2</f>
        <v>1.30939548763539</v>
      </c>
      <c r="X34" s="438"/>
      <c r="Y34" s="454" t="str">
        <f aca="false">IF(AND(pos_z&lt;=0,K33&gt;0),"Impact balistique","") &amp; IF(AND(H35&lt;0,vit_z&gt;=0),"Apogée","") &amp; IF(AND(Poussee=0,Q33&gt;0),"Fin de propulsion","") &amp; IF(AND(L35&gt;L_rampe,pos_xz&lt;=L_rampe),"Sortie de rampe","")</f>
        <v/>
      </c>
      <c r="Z34" s="455" t="str">
        <f aca="false">IF(ABS(t-T_para)&lt;pas/2,"Para","")</f>
        <v/>
      </c>
      <c r="AA34" s="456" t="str">
        <f aca="false">IF(ABS(t-T_satellite)&lt;pas/2,"Satellite","")</f>
        <v/>
      </c>
      <c r="AB34" s="444"/>
      <c r="AC34" s="452" t="e">
        <f aca="false">IF(ABS(t-ROUND(t,0))&lt;0.001,t,NA())</f>
        <v>#N/A</v>
      </c>
      <c r="AD34" s="457" t="e">
        <f aca="false">IF(ABS(t-ROUND(t,0))&lt;0.001,pos_x,NA())</f>
        <v>#N/A</v>
      </c>
      <c r="AE34" s="458" t="n">
        <f aca="false">IF(t&lt;T_para, pos_z, NA())</f>
        <v>2.97498416892209</v>
      </c>
      <c r="AF34" s="444"/>
      <c r="AG34" s="450" t="n">
        <f aca="false">IF(AND(L33&lt;L_rampe,Poussee&lt;Poids*SIN(M33)),0,(-W33+Poussee)/m-Poids*SIN(M33)/m)</f>
        <v>78.1648645643002</v>
      </c>
      <c r="AH34" s="449" t="n">
        <f aca="false">IF(AND(L33&lt;L_rampe,Poussee&lt;Poids*SIN(M33)), g*SIN(M33), (-W33+Poussee)/m)</f>
        <v>87.8258286213499</v>
      </c>
    </row>
    <row r="35" customFormat="false" ht="12" hidden="false" customHeight="false" outlineLevel="0" collapsed="false">
      <c r="A35" s="448" t="n">
        <f aca="false">IF(B34+0.01&lt;=T_ini+ROUNDUP(Temps_fin_propu,0), 0.01, IF(K34&gt;0, 0.1, 0.0001))</f>
        <v>0.01</v>
      </c>
      <c r="B35" s="449" t="n">
        <f aca="false">B34+pas</f>
        <v>0.31</v>
      </c>
      <c r="C35" s="432"/>
      <c r="D35" s="450" t="n">
        <f aca="false">IF(AND(L34&lt;L_rampe,Poussee&lt;Poids*SIN(M34)),0,(-W34+Poussee)/m*COS(M34)-U34/m*SIN(M34))</f>
        <v>13.539157460849</v>
      </c>
      <c r="E35" s="451" t="n">
        <f aca="false">IF(AND(L34&lt;L_rampe,Poussee&lt;Poids*SIN(M34)),0,(-W34+Poussee)/m*SIN(M34)+U34/m*COS(M34)-Poids/m)</f>
        <v>76.7886986902976</v>
      </c>
      <c r="F35" s="449" t="n">
        <f aca="false">SQRT(acc_x^2+acc_z^2)</f>
        <v>77.9731558377559</v>
      </c>
      <c r="G35" s="450" t="n">
        <f aca="false">G34+acc_x*pas</f>
        <v>3.94307058105176</v>
      </c>
      <c r="H35" s="451" t="n">
        <f aca="false">H34+acc_z*pas</f>
        <v>22.3635258210281</v>
      </c>
      <c r="I35" s="449" t="n">
        <f aca="false">SQRT(vit_x^2+vit_z^2)</f>
        <v>22.7084806351052</v>
      </c>
      <c r="J35" s="450" t="n">
        <f aca="false">J34+0.5*(vit_x+G34)*pas*(K34&gt;=0)</f>
        <v>0.563293966692735</v>
      </c>
      <c r="K35" s="451" t="n">
        <f aca="false">K34+0.5*(vit_z+H34)*pas</f>
        <v>3.19477999219785</v>
      </c>
      <c r="L35" s="449" t="n">
        <f aca="false">SQRT(pos_x^2+pos_z^2)</f>
        <v>3.24405907644422</v>
      </c>
      <c r="M35" s="450" t="n">
        <f aca="false">IF(AND(L34&gt;L_rampe,G35&gt;0),ATAN2(G35,H35),$M$4)</f>
        <v>1.39626340159546</v>
      </c>
      <c r="N35" s="449" t="n">
        <f aca="false">DEGREES(Beta)</f>
        <v>80</v>
      </c>
      <c r="O35" s="438"/>
      <c r="P35" s="452" t="n">
        <f aca="false">MATCH(t-pas/2-T_ini,CdP_t)</f>
        <v>2</v>
      </c>
      <c r="Q35" s="449" t="n">
        <f aca="false">(INDEX(CdP,2,i_P+1)-INDEX(CdP,2,i_P+0))/(INDEX(CdP,1,i_P+1)-INDEX(CdP,1,i_P+0))*(t-pas/2-T_ini-INDEX(CdP,1,i_P+0))+INDEX(CdP,2,i_P+0)</f>
        <v>839.166666666667</v>
      </c>
      <c r="R35" s="450" t="n">
        <f aca="false">Poussee/(g*ISP)</f>
        <v>0.421138651781102</v>
      </c>
      <c r="S35" s="451" t="n">
        <f aca="false">S34-Débit*pas</f>
        <v>9.56085680120138</v>
      </c>
      <c r="T35" s="449" t="n">
        <f aca="false">m*g</f>
        <v>93.7920052197856</v>
      </c>
      <c r="U35" s="453" t="n">
        <f aca="false">IF(pos_xz&lt;L_rampe,Poids*COS(Beta),0)</f>
        <v>16.286810786143</v>
      </c>
      <c r="V35" s="450" t="n">
        <f aca="false">Rho_moyen*(20000-Alt_rampe-pos_z)/(20000+Alt_rampe+pos_z)</f>
        <v>1.22460870195651</v>
      </c>
      <c r="W35" s="449" t="n">
        <f aca="false">1/2*Rho*Sref*Cx*vit_xz^2</f>
        <v>1.40413780843694</v>
      </c>
      <c r="X35" s="438"/>
      <c r="Y35" s="454" t="str">
        <f aca="false">IF(AND(pos_z&lt;=0,K34&gt;0),"Impact balistique","") &amp; IF(AND(H36&lt;0,vit_z&gt;=0),"Apogée","") &amp; IF(AND(Poussee=0,Q34&gt;0),"Fin de propulsion","") &amp; IF(AND(L36&gt;L_rampe,pos_xz&lt;=L_rampe),"Sortie de rampe","")</f>
        <v/>
      </c>
      <c r="Z35" s="455" t="str">
        <f aca="false">IF(ABS(t-T_para)&lt;pas/2,"Para","")</f>
        <v/>
      </c>
      <c r="AA35" s="456" t="str">
        <f aca="false">IF(ABS(t-T_satellite)&lt;pas/2,"Satellite","")</f>
        <v/>
      </c>
      <c r="AB35" s="444"/>
      <c r="AC35" s="452" t="e">
        <f aca="false">IF(ABS(t-ROUND(t,0))&lt;0.001,t,NA())</f>
        <v>#N/A</v>
      </c>
      <c r="AD35" s="457" t="e">
        <f aca="false">IF(ABS(t-ROUND(t,0))&lt;0.001,pos_x,NA())</f>
        <v>#N/A</v>
      </c>
      <c r="AE35" s="458" t="n">
        <f aca="false">IF(t&lt;T_para, pos_z, NA())</f>
        <v>3.19477999219785</v>
      </c>
      <c r="AF35" s="444"/>
      <c r="AG35" s="450" t="n">
        <f aca="false">IF(AND(L34&lt;L_rampe,Poussee&lt;Poids*SIN(M34)),0,(-W34+Poussee)/m-Poids*SIN(M34)/m)</f>
        <v>77.9731558341455</v>
      </c>
      <c r="AH35" s="449" t="n">
        <f aca="false">IF(AND(L34&lt;L_rampe,Poussee&lt;Poids*SIN(M34)), g*SIN(M34), (-W34+Poussee)/m)</f>
        <v>87.6341198911952</v>
      </c>
    </row>
    <row r="36" customFormat="false" ht="12" hidden="false" customHeight="false" outlineLevel="0" collapsed="false">
      <c r="A36" s="448" t="n">
        <f aca="false">IF(B35+0.01&lt;=T_ini+ROUNDUP(Temps_fin_propu,0), 0.01, IF(K35&gt;0, 0.1, 0.0001))</f>
        <v>0.01</v>
      </c>
      <c r="B36" s="449" t="n">
        <f aca="false">B35+pas</f>
        <v>0.32</v>
      </c>
      <c r="C36" s="432"/>
      <c r="D36" s="450" t="n">
        <f aca="false">IF(AND(L35&lt;L_rampe,Poussee&lt;Poids*SIN(M35)),0,(-W35+Poussee)/m*COS(M35)-U35/m*SIN(M35))</f>
        <v>13.5057668912676</v>
      </c>
      <c r="E36" s="451" t="n">
        <f aca="false">IF(AND(L35&lt;L_rampe,Poussee&lt;Poids*SIN(M35)),0,(-W35+Poussee)/m*SIN(M35)+U35/m*COS(M35)-Poids/m)</f>
        <v>76.5993223839658</v>
      </c>
      <c r="F36" s="449" t="n">
        <f aca="false">SQRT(acc_x^2+acc_z^2)</f>
        <v>77.7808583714784</v>
      </c>
      <c r="G36" s="450" t="n">
        <f aca="false">G35+acc_x*pas</f>
        <v>4.07812824996443</v>
      </c>
      <c r="H36" s="451" t="n">
        <f aca="false">H35+acc_z*pas</f>
        <v>23.1295190448678</v>
      </c>
      <c r="I36" s="449" t="n">
        <f aca="false">SQRT(vit_x^2+vit_z^2)</f>
        <v>23.48628921882</v>
      </c>
      <c r="J36" s="450" t="n">
        <f aca="false">J35+0.5*(vit_x+G35)*pas*(K35&gt;=0)</f>
        <v>0.603399960847816</v>
      </c>
      <c r="K36" s="451" t="n">
        <f aca="false">K35+0.5*(vit_z+H35)*pas</f>
        <v>3.42224521652733</v>
      </c>
      <c r="L36" s="449" t="n">
        <f aca="false">SQRT(pos_x^2+pos_z^2)</f>
        <v>3.47503292571385</v>
      </c>
      <c r="M36" s="450" t="n">
        <f aca="false">IF(AND(L35&gt;L_rampe,G36&gt;0),ATAN2(G36,H36),$M$4)</f>
        <v>1.39626340159546</v>
      </c>
      <c r="N36" s="449" t="n">
        <f aca="false">DEGREES(Beta)</f>
        <v>80</v>
      </c>
      <c r="O36" s="438"/>
      <c r="P36" s="452" t="n">
        <f aca="false">MATCH(t-pas/2-T_ini,CdP_t)</f>
        <v>2</v>
      </c>
      <c r="Q36" s="449" t="n">
        <f aca="false">(INDEX(CdP,2,i_P+1)-INDEX(CdP,2,i_P+0))/(INDEX(CdP,1,i_P+1)-INDEX(CdP,1,i_P+0))*(t-pas/2-T_ini-INDEX(CdP,1,i_P+0))+INDEX(CdP,2,i_P+0)</f>
        <v>837.055555555556</v>
      </c>
      <c r="R36" s="450" t="n">
        <f aca="false">Poussee/(g*ISP)</f>
        <v>0.420079183474734</v>
      </c>
      <c r="S36" s="451" t="n">
        <f aca="false">S35-Débit*pas</f>
        <v>9.55665600936663</v>
      </c>
      <c r="T36" s="449" t="n">
        <f aca="false">m*g</f>
        <v>93.7507954518867</v>
      </c>
      <c r="U36" s="453" t="n">
        <f aca="false">IF(pos_xz&lt;L_rampe,Poids*COS(Beta),0)</f>
        <v>16.2796547850453</v>
      </c>
      <c r="V36" s="450" t="n">
        <f aca="false">Rho_moyen*(20000-Alt_rampe-pos_z)/(20000+Alt_rampe+pos_z)</f>
        <v>1.22458084668325</v>
      </c>
      <c r="W36" s="449" t="n">
        <f aca="false">1/2*Rho*Sref*Cx*vit_xz^2</f>
        <v>1.50193974081562</v>
      </c>
      <c r="X36" s="438"/>
      <c r="Y36" s="454" t="str">
        <f aca="false">IF(AND(pos_z&lt;=0,K35&gt;0),"Impact balistique","") &amp; IF(AND(H37&lt;0,vit_z&gt;=0),"Apogée","") &amp; IF(AND(Poussee=0,Q35&gt;0),"Fin de propulsion","") &amp; IF(AND(L37&gt;L_rampe,pos_xz&lt;=L_rampe),"Sortie de rampe","")</f>
        <v/>
      </c>
      <c r="Z36" s="455" t="str">
        <f aca="false">IF(ABS(t-T_para)&lt;pas/2,"Para","")</f>
        <v/>
      </c>
      <c r="AA36" s="456" t="str">
        <f aca="false">IF(ABS(t-T_satellite)&lt;pas/2,"Satellite","")</f>
        <v/>
      </c>
      <c r="AB36" s="444"/>
      <c r="AC36" s="452" t="e">
        <f aca="false">IF(ABS(t-ROUND(t,0))&lt;0.001,t,NA())</f>
        <v>#N/A</v>
      </c>
      <c r="AD36" s="457" t="e">
        <f aca="false">IF(ABS(t-ROUND(t,0))&lt;0.001,pos_x,NA())</f>
        <v>#N/A</v>
      </c>
      <c r="AE36" s="458" t="n">
        <f aca="false">IF(t&lt;T_para, pos_z, NA())</f>
        <v>3.42224521652733</v>
      </c>
      <c r="AF36" s="444"/>
      <c r="AG36" s="450" t="n">
        <f aca="false">IF(AND(L35&lt;L_rampe,Poussee&lt;Poids*SIN(M35)),0,(-W35+Poussee)/m-Poids*SIN(M35)/m)</f>
        <v>77.7808583678741</v>
      </c>
      <c r="AH36" s="449" t="n">
        <f aca="false">IF(AND(L35&lt;L_rampe,Poussee&lt;Poids*SIN(M35)), g*SIN(M35), (-W35+Poussee)/m)</f>
        <v>87.4418224249238</v>
      </c>
    </row>
    <row r="37" customFormat="false" ht="12" hidden="false" customHeight="false" outlineLevel="0" collapsed="false">
      <c r="A37" s="448" t="n">
        <f aca="false">IF(B36+0.01&lt;=T_ini+ROUNDUP(Temps_fin_propu,0), 0.01, IF(K36&gt;0, 0.1, 0.0001))</f>
        <v>0.01</v>
      </c>
      <c r="B37" s="449" t="n">
        <f aca="false">B36+pas</f>
        <v>0.33</v>
      </c>
      <c r="C37" s="432"/>
      <c r="D37" s="450" t="n">
        <f aca="false">IF(AND(L36&lt;L_rampe,Poussee&lt;Poids*SIN(M36)),0,(-W36+Poussee)/m*COS(M36)-U36/m*SIN(M36))</f>
        <v>13.4722745323735</v>
      </c>
      <c r="E37" s="451" t="n">
        <f aca="false">IF(AND(L36&lt;L_rampe,Poussee&lt;Poids*SIN(M36)),0,(-W36+Poussee)/m*SIN(M36)+U36/m*COS(M36)-Poids/m)</f>
        <v>76.4093687890881</v>
      </c>
      <c r="F37" s="449" t="n">
        <f aca="false">SQRT(acc_x^2+acc_z^2)</f>
        <v>77.5879747114365</v>
      </c>
      <c r="G37" s="450" t="n">
        <f aca="false">G36+acc_x*pas</f>
        <v>4.21285099528817</v>
      </c>
      <c r="H37" s="451" t="n">
        <f aca="false">H36+acc_z*pas</f>
        <v>23.8936127327587</v>
      </c>
      <c r="I37" s="449" t="n">
        <f aca="false">SQRT(vit_x^2+vit_z^2)</f>
        <v>24.2621689659343</v>
      </c>
      <c r="J37" s="450" t="n">
        <f aca="false">J36+0.5*(vit_x+G36)*pas*(K36&gt;=0)</f>
        <v>0.644854857074079</v>
      </c>
      <c r="K37" s="451" t="n">
        <f aca="false">K36+0.5*(vit_z+H36)*pas</f>
        <v>3.65736087541546</v>
      </c>
      <c r="L37" s="449" t="n">
        <f aca="false">SQRT(pos_x^2+pos_z^2)</f>
        <v>3.71377521663762</v>
      </c>
      <c r="M37" s="450" t="n">
        <f aca="false">IF(AND(L36&gt;L_rampe,G37&gt;0),ATAN2(G37,H37),$M$4)</f>
        <v>1.39626340159546</v>
      </c>
      <c r="N37" s="449" t="n">
        <f aca="false">DEGREES(Beta)</f>
        <v>80</v>
      </c>
      <c r="O37" s="438"/>
      <c r="P37" s="452" t="n">
        <f aca="false">MATCH(t-pas/2-T_ini,CdP_t)</f>
        <v>2</v>
      </c>
      <c r="Q37" s="449" t="n">
        <f aca="false">(INDEX(CdP,2,i_P+1)-INDEX(CdP,2,i_P+0))/(INDEX(CdP,1,i_P+1)-INDEX(CdP,1,i_P+0))*(t-pas/2-T_ini-INDEX(CdP,1,i_P+0))+INDEX(CdP,2,i_P+0)</f>
        <v>834.944444444445</v>
      </c>
      <c r="R37" s="450" t="n">
        <f aca="false">Poussee/(g*ISP)</f>
        <v>0.419019715168367</v>
      </c>
      <c r="S37" s="451" t="n">
        <f aca="false">S36-Débit*pas</f>
        <v>9.55246581221495</v>
      </c>
      <c r="T37" s="449" t="n">
        <f aca="false">m*g</f>
        <v>93.7096896178287</v>
      </c>
      <c r="U37" s="453" t="n">
        <f aca="false">IF(pos_xz&lt;L_rampe,Poids*COS(Beta),0)</f>
        <v>16.2725168318696</v>
      </c>
      <c r="V37" s="450" t="n">
        <f aca="false">Rho_moyen*(20000-Alt_rampe-pos_z)/(20000+Alt_rampe+pos_z)</f>
        <v>1.22455205520755</v>
      </c>
      <c r="W37" s="449" t="n">
        <f aca="false">1/2*Rho*Sref*Cx*vit_xz^2</f>
        <v>1.60277564437346</v>
      </c>
      <c r="X37" s="438"/>
      <c r="Y37" s="454" t="str">
        <f aca="false">IF(AND(pos_z&lt;=0,K36&gt;0),"Impact balistique","") &amp; IF(AND(H38&lt;0,vit_z&gt;=0),"Apogée","") &amp; IF(AND(Poussee=0,Q36&gt;0),"Fin de propulsion","") &amp; IF(AND(L38&gt;L_rampe,pos_xz&lt;=L_rampe),"Sortie de rampe","")</f>
        <v/>
      </c>
      <c r="Z37" s="455" t="str">
        <f aca="false">IF(ABS(t-T_para)&lt;pas/2,"Para","")</f>
        <v/>
      </c>
      <c r="AA37" s="456" t="str">
        <f aca="false">IF(ABS(t-T_satellite)&lt;pas/2,"Satellite","")</f>
        <v/>
      </c>
      <c r="AB37" s="444"/>
      <c r="AC37" s="452" t="e">
        <f aca="false">IF(ABS(t-ROUND(t,0))&lt;0.001,t,NA())</f>
        <v>#N/A</v>
      </c>
      <c r="AD37" s="457" t="e">
        <f aca="false">IF(ABS(t-ROUND(t,0))&lt;0.001,pos_x,NA())</f>
        <v>#N/A</v>
      </c>
      <c r="AE37" s="458" t="n">
        <f aca="false">IF(t&lt;T_para, pos_z, NA())</f>
        <v>3.65736087541546</v>
      </c>
      <c r="AF37" s="444"/>
      <c r="AG37" s="450" t="n">
        <f aca="false">IF(AND(L36&lt;L_rampe,Poussee&lt;Poids*SIN(M36)),0,(-W36+Poussee)/m-Poids*SIN(M36)/m)</f>
        <v>77.5879747078383</v>
      </c>
      <c r="AH37" s="449" t="n">
        <f aca="false">IF(AND(L36&lt;L_rampe,Poussee&lt;Poids*SIN(M36)), g*SIN(M36), (-W36+Poussee)/m)</f>
        <v>87.2489387648881</v>
      </c>
    </row>
    <row r="38" customFormat="false" ht="12" hidden="false" customHeight="false" outlineLevel="0" collapsed="false">
      <c r="A38" s="448" t="n">
        <f aca="false">IF(B37+0.01&lt;=T_ini+ROUNDUP(Temps_fin_propu,0), 0.01, IF(K37&gt;0, 0.1, 0.0001))</f>
        <v>0.01</v>
      </c>
      <c r="B38" s="449" t="n">
        <f aca="false">B37+pas</f>
        <v>0.34</v>
      </c>
      <c r="C38" s="432"/>
      <c r="D38" s="450" t="n">
        <f aca="false">IF(AND(L37&lt;L_rampe,Poussee&lt;Poids*SIN(M37)),0,(-W37+Poussee)/m*COS(M37)-U37/m*SIN(M37))</f>
        <v>13.438680827951</v>
      </c>
      <c r="E38" s="451" t="n">
        <f aca="false">IF(AND(L37&lt;L_rampe,Poussee&lt;Poids*SIN(M37)),0,(-W37+Poussee)/m*SIN(M37)+U37/m*COS(M37)-Poids/m)</f>
        <v>76.2188404225035</v>
      </c>
      <c r="F38" s="449" t="n">
        <f aca="false">SQRT(acc_x^2+acc_z^2)</f>
        <v>77.3945074132951</v>
      </c>
      <c r="G38" s="450" t="n">
        <f aca="false">G37+acc_x*pas</f>
        <v>4.34723780356768</v>
      </c>
      <c r="H38" s="451" t="n">
        <f aca="false">H37+acc_z*pas</f>
        <v>24.6558011369837</v>
      </c>
      <c r="I38" s="449" t="n">
        <f aca="false">SQRT(vit_x^2+vit_z^2)</f>
        <v>25.0361140400673</v>
      </c>
      <c r="J38" s="450" t="n">
        <f aca="false">J37+0.5*(vit_x+G37)*pas*(K37&gt;=0)</f>
        <v>0.687655301068359</v>
      </c>
      <c r="K38" s="451" t="n">
        <f aca="false">K37+0.5*(vit_z+H37)*pas</f>
        <v>3.90010794476418</v>
      </c>
      <c r="L38" s="449" t="n">
        <f aca="false">SQRT(pos_x^2+pos_z^2)</f>
        <v>3.96026663166763</v>
      </c>
      <c r="M38" s="450" t="n">
        <f aca="false">IF(AND(L37&gt;L_rampe,G38&gt;0),ATAN2(G38,H38),$M$4)</f>
        <v>1.39626340159546</v>
      </c>
      <c r="N38" s="449" t="n">
        <f aca="false">DEGREES(Beta)</f>
        <v>80</v>
      </c>
      <c r="O38" s="438"/>
      <c r="P38" s="452" t="n">
        <f aca="false">MATCH(t-pas/2-T_ini,CdP_t)</f>
        <v>2</v>
      </c>
      <c r="Q38" s="449" t="n">
        <f aca="false">(INDEX(CdP,2,i_P+1)-INDEX(CdP,2,i_P+0))/(INDEX(CdP,1,i_P+1)-INDEX(CdP,1,i_P+0))*(t-pas/2-T_ini-INDEX(CdP,1,i_P+0))+INDEX(CdP,2,i_P+0)</f>
        <v>832.833333333333</v>
      </c>
      <c r="R38" s="450" t="n">
        <f aca="false">Poussee/(g*ISP)</f>
        <v>0.417960246861999</v>
      </c>
      <c r="S38" s="451" t="n">
        <f aca="false">S37-Débit*pas</f>
        <v>9.54828620974633</v>
      </c>
      <c r="T38" s="449" t="n">
        <f aca="false">m*g</f>
        <v>93.6686877176115</v>
      </c>
      <c r="U38" s="453" t="n">
        <f aca="false">IF(pos_xz&lt;L_rampe,Poids*COS(Beta),0)</f>
        <v>16.265396926616</v>
      </c>
      <c r="V38" s="450" t="n">
        <f aca="false">Rho_moyen*(20000-Alt_rampe-pos_z)/(20000+Alt_rampe+pos_z)</f>
        <v>1.22452232992501</v>
      </c>
      <c r="W38" s="449" t="n">
        <f aca="false">1/2*Rho*Sref*Cx*vit_xz^2</f>
        <v>1.70661983296061</v>
      </c>
      <c r="X38" s="438"/>
      <c r="Y38" s="454" t="str">
        <f aca="false">IF(AND(pos_z&lt;=0,K37&gt;0),"Impact balistique","") &amp; IF(AND(H39&lt;0,vit_z&gt;=0),"Apogée","") &amp; IF(AND(Poussee=0,Q37&gt;0),"Fin de propulsion","") &amp; IF(AND(L39&gt;L_rampe,pos_xz&lt;=L_rampe),"Sortie de rampe","")</f>
        <v>Sortie de rampe</v>
      </c>
      <c r="Z38" s="455" t="str">
        <f aca="false">IF(ABS(t-T_para)&lt;pas/2,"Para","")</f>
        <v/>
      </c>
      <c r="AA38" s="456" t="str">
        <f aca="false">IF(ABS(t-T_satellite)&lt;pas/2,"Satellite","")</f>
        <v/>
      </c>
      <c r="AB38" s="444"/>
      <c r="AC38" s="452" t="e">
        <f aca="false">IF(ABS(t-ROUND(t,0))&lt;0.001,t,NA())</f>
        <v>#N/A</v>
      </c>
      <c r="AD38" s="457" t="e">
        <f aca="false">IF(ABS(t-ROUND(t,0))&lt;0.001,pos_x,NA())</f>
        <v>#N/A</v>
      </c>
      <c r="AE38" s="458" t="n">
        <f aca="false">IF(t&lt;T_para, pos_z, NA())</f>
        <v>3.90010794476418</v>
      </c>
      <c r="AF38" s="444"/>
      <c r="AG38" s="450" t="n">
        <f aca="false">IF(AND(L37&lt;L_rampe,Poussee&lt;Poids*SIN(M37)),0,(-W37+Poussee)/m-Poids*SIN(M37)/m)</f>
        <v>77.3945074097029</v>
      </c>
      <c r="AH38" s="449" t="n">
        <f aca="false">IF(AND(L37&lt;L_rampe,Poussee&lt;Poids*SIN(M37)), g*SIN(M37), (-W37+Poussee)/m)</f>
        <v>87.0554714667527</v>
      </c>
    </row>
    <row r="39" customFormat="false" ht="12" hidden="false" customHeight="false" outlineLevel="0" collapsed="false">
      <c r="A39" s="448" t="n">
        <f aca="false">IF(B38+0.01&lt;=T_ini+ROUNDUP(Temps_fin_propu,0), 0.01, IF(K38&gt;0, 0.1, 0.0001))</f>
        <v>0.01</v>
      </c>
      <c r="B39" s="449" t="n">
        <f aca="false">B38+pas</f>
        <v>0.35</v>
      </c>
      <c r="C39" s="432"/>
      <c r="D39" s="450" t="n">
        <f aca="false">IF(AND(L38&lt;L_rampe,Poussee&lt;Poids*SIN(M38)),0,(-W38+Poussee)/m*COS(M38)-U38/m*SIN(M38))</f>
        <v>13.4049862240702</v>
      </c>
      <c r="E39" s="451" t="n">
        <f aca="false">IF(AND(L38&lt;L_rampe,Poussee&lt;Poids*SIN(M38)),0,(-W38+Poussee)/m*SIN(M38)+U38/m*COS(M38)-Poids/m)</f>
        <v>76.0277398140143</v>
      </c>
      <c r="F39" s="449" t="n">
        <f aca="false">SQRT(acc_x^2+acc_z^2)</f>
        <v>77.2004590458824</v>
      </c>
      <c r="G39" s="450" t="n">
        <f aca="false">G38+acc_x*pas</f>
        <v>4.48128766580838</v>
      </c>
      <c r="H39" s="451" t="n">
        <f aca="false">H38+acc_z*pas</f>
        <v>25.4160785351238</v>
      </c>
      <c r="I39" s="449" t="n">
        <f aca="false">SQRT(vit_x^2+vit_z^2)</f>
        <v>25.8081186305261</v>
      </c>
      <c r="J39" s="450" t="n">
        <f aca="false">J38+0.5*(vit_x+G38)*pas*(K38&gt;=0)</f>
        <v>0.731797928415239</v>
      </c>
      <c r="K39" s="451" t="n">
        <f aca="false">K38+0.5*(vit_z+H38)*pas</f>
        <v>4.15046734312471</v>
      </c>
      <c r="L39" s="449" t="n">
        <f aca="false">SQRT(pos_x^2+pos_z^2)</f>
        <v>4.21448779502059</v>
      </c>
      <c r="M39" s="450" t="n">
        <f aca="false">IF(AND(L38&gt;L_rampe,G39&gt;0),ATAN2(G39,H39),$M$4)</f>
        <v>1.39626340159546</v>
      </c>
      <c r="N39" s="449" t="n">
        <f aca="false">DEGREES(Beta)</f>
        <v>80</v>
      </c>
      <c r="O39" s="438"/>
      <c r="P39" s="452" t="n">
        <f aca="false">MATCH(t-pas/2-T_ini,CdP_t)</f>
        <v>2</v>
      </c>
      <c r="Q39" s="449" t="n">
        <f aca="false">(INDEX(CdP,2,i_P+1)-INDEX(CdP,2,i_P+0))/(INDEX(CdP,1,i_P+1)-INDEX(CdP,1,i_P+0))*(t-pas/2-T_ini-INDEX(CdP,1,i_P+0))+INDEX(CdP,2,i_P+0)</f>
        <v>830.722222222222</v>
      </c>
      <c r="R39" s="450" t="n">
        <f aca="false">Poussee/(g*ISP)</f>
        <v>0.416900778555632</v>
      </c>
      <c r="S39" s="451" t="n">
        <f aca="false">S38-Débit*pas</f>
        <v>9.54411720196078</v>
      </c>
      <c r="T39" s="449" t="n">
        <f aca="false">m*g</f>
        <v>93.6277897512352</v>
      </c>
      <c r="U39" s="453" t="n">
        <f aca="false">IF(pos_xz&lt;L_rampe,Poids*COS(Beta),0)</f>
        <v>0</v>
      </c>
      <c r="V39" s="450" t="n">
        <f aca="false">Rho_moyen*(20000-Alt_rampe-pos_z)/(20000+Alt_rampe+pos_z)</f>
        <v>1.22449167324015</v>
      </c>
      <c r="W39" s="449" t="n">
        <f aca="false">1/2*Rho*Sref*Cx*vit_xz^2</f>
        <v>1.81344657610735</v>
      </c>
      <c r="X39" s="438"/>
      <c r="Y39" s="454" t="str">
        <f aca="false">IF(AND(pos_z&lt;=0,K38&gt;0),"Impact balistique","") &amp; IF(AND(H40&lt;0,vit_z&gt;=0),"Apogée","") &amp; IF(AND(Poussee=0,Q38&gt;0),"Fin de propulsion","") &amp; IF(AND(L40&gt;L_rampe,pos_xz&lt;=L_rampe),"Sortie de rampe","")</f>
        <v/>
      </c>
      <c r="Z39" s="455" t="str">
        <f aca="false">IF(ABS(t-T_para)&lt;pas/2,"Para","")</f>
        <v/>
      </c>
      <c r="AA39" s="456" t="str">
        <f aca="false">IF(ABS(t-T_satellite)&lt;pas/2,"Satellite","")</f>
        <v/>
      </c>
      <c r="AB39" s="444"/>
      <c r="AC39" s="452" t="e">
        <f aca="false">IF(ABS(t-ROUND(t,0))&lt;0.001,t,NA())</f>
        <v>#N/A</v>
      </c>
      <c r="AD39" s="457" t="e">
        <f aca="false">IF(ABS(t-ROUND(t,0))&lt;0.001,pos_x,NA())</f>
        <v>#N/A</v>
      </c>
      <c r="AE39" s="458" t="n">
        <f aca="false">IF(t&lt;T_para, pos_z, NA())</f>
        <v>4.15046734312471</v>
      </c>
      <c r="AF39" s="444"/>
      <c r="AG39" s="450" t="n">
        <f aca="false">IF(AND(L38&lt;L_rampe,Poussee&lt;Poids*SIN(M38)),0,(-W38+Poussee)/m-Poids*SIN(M38)/m)</f>
        <v>77.2004590422963</v>
      </c>
      <c r="AH39" s="449" t="n">
        <f aca="false">IF(AND(L38&lt;L_rampe,Poussee&lt;Poids*SIN(M38)), g*SIN(M38), (-W38+Poussee)/m)</f>
        <v>86.861423099346</v>
      </c>
    </row>
    <row r="40" customFormat="false" ht="12" hidden="false" customHeight="false" outlineLevel="0" collapsed="false">
      <c r="A40" s="448" t="n">
        <f aca="false">IF(B39+0.01&lt;=T_ini+ROUNDUP(Temps_fin_propu,0), 0.01, IF(K39&gt;0, 0.1, 0.0001))</f>
        <v>0.01</v>
      </c>
      <c r="B40" s="449" t="n">
        <f aca="false">B39+pas</f>
        <v>0.36</v>
      </c>
      <c r="C40" s="432"/>
      <c r="D40" s="450" t="n">
        <f aca="false">IF(AND(L39&lt;L_rampe,Poussee&lt;Poids*SIN(M39)),0,(-W39+Poussee)/m*COS(M39)-U39/m*SIN(M39))</f>
        <v>15.0495312320903</v>
      </c>
      <c r="E40" s="451" t="n">
        <f aca="false">IF(AND(L39&lt;L_rampe,Poussee&lt;Poids*SIN(M39)),0,(-W39+Poussee)/m*SIN(M39)+U39/m*COS(M39)-Poids/m)</f>
        <v>75.5401328703228</v>
      </c>
      <c r="F40" s="449" t="n">
        <f aca="false">SQRT(acc_x^2+acc_z^2)</f>
        <v>77.0246717900939</v>
      </c>
      <c r="G40" s="450" t="n">
        <f aca="false">G39+acc_x*pas</f>
        <v>4.63178297812929</v>
      </c>
      <c r="H40" s="451" t="n">
        <f aca="false">H39+acc_z*pas</f>
        <v>26.1714798638271</v>
      </c>
      <c r="I40" s="449" t="n">
        <f aca="false">SQRT(vit_x^2+vit_z^2)</f>
        <v>26.5781822519749</v>
      </c>
      <c r="J40" s="450" t="n">
        <f aca="false">J39+0.5*(vit_x+G39)*pas*(K39&gt;=0)</f>
        <v>0.777363281634927</v>
      </c>
      <c r="K40" s="451" t="n">
        <f aca="false">K39+0.5*(vit_z+H39)*pas</f>
        <v>4.40840513511947</v>
      </c>
      <c r="L40" s="449" t="n">
        <f aca="false">SQRT(pos_x^2+pos_z^2)</f>
        <v>4.47641927292137</v>
      </c>
      <c r="M40" s="450" t="n">
        <f aca="false">IF(AND(L39&gt;L_rampe,G40&gt;0),ATAN2(G40,H40),$M$4)</f>
        <v>1.39563183082482</v>
      </c>
      <c r="N40" s="449" t="n">
        <f aca="false">DEGREES(Beta)</f>
        <v>79.9638136603781</v>
      </c>
      <c r="O40" s="438"/>
      <c r="P40" s="452" t="n">
        <f aca="false">MATCH(t-pas/2-T_ini,CdP_t)</f>
        <v>2</v>
      </c>
      <c r="Q40" s="449" t="n">
        <f aca="false">(INDEX(CdP,2,i_P+1)-INDEX(CdP,2,i_P+0))/(INDEX(CdP,1,i_P+1)-INDEX(CdP,1,i_P+0))*(t-pas/2-T_ini-INDEX(CdP,1,i_P+0))+INDEX(CdP,2,i_P+0)</f>
        <v>828.611111111111</v>
      </c>
      <c r="R40" s="450" t="n">
        <f aca="false">Poussee/(g*ISP)</f>
        <v>0.415841310249264</v>
      </c>
      <c r="S40" s="451" t="n">
        <f aca="false">S39-Débit*pas</f>
        <v>9.53995878885828</v>
      </c>
      <c r="T40" s="449" t="n">
        <f aca="false">m*g</f>
        <v>93.5869957186998</v>
      </c>
      <c r="U40" s="453" t="n">
        <f aca="false">IF(pos_xz&lt;L_rampe,Poids*COS(Beta),0)</f>
        <v>0</v>
      </c>
      <c r="V40" s="450" t="n">
        <f aca="false">Rho_moyen*(20000-Alt_rampe-pos_z)/(20000+Alt_rampe+pos_z)</f>
        <v>1.22446008937819</v>
      </c>
      <c r="W40" s="449" t="n">
        <f aca="false">1/2*Rho*Sref*Cx*vit_xz^2</f>
        <v>1.92323087026479</v>
      </c>
      <c r="X40" s="438"/>
      <c r="Y40" s="454" t="str">
        <f aca="false">IF(AND(pos_z&lt;=0,K39&gt;0),"Impact balistique","") &amp; IF(AND(H41&lt;0,vit_z&gt;=0),"Apogée","") &amp; IF(AND(Poussee=0,Q39&gt;0),"Fin de propulsion","") &amp; IF(AND(L41&gt;L_rampe,pos_xz&lt;=L_rampe),"Sortie de rampe","")</f>
        <v/>
      </c>
      <c r="Z40" s="455" t="str">
        <f aca="false">IF(ABS(t-T_para)&lt;pas/2,"Para","")</f>
        <v/>
      </c>
      <c r="AA40" s="456" t="str">
        <f aca="false">IF(ABS(t-T_satellite)&lt;pas/2,"Satellite","")</f>
        <v/>
      </c>
      <c r="AB40" s="444"/>
      <c r="AC40" s="452" t="e">
        <f aca="false">IF(ABS(t-ROUND(t,0))&lt;0.001,t,NA())</f>
        <v>#N/A</v>
      </c>
      <c r="AD40" s="457" t="e">
        <f aca="false">IF(ABS(t-ROUND(t,0))&lt;0.001,pos_x,NA())</f>
        <v>#N/A</v>
      </c>
      <c r="AE40" s="458" t="n">
        <f aca="false">IF(t&lt;T_para, pos_z, NA())</f>
        <v>4.40840513511947</v>
      </c>
      <c r="AF40" s="444"/>
      <c r="AG40" s="450" t="n">
        <f aca="false">IF(AND(L39&lt;L_rampe,Poussee&lt;Poids*SIN(M39)),0,(-W39+Poussee)/m-Poids*SIN(M39)/m)</f>
        <v>77.0058321874603</v>
      </c>
      <c r="AH40" s="449" t="n">
        <f aca="false">IF(AND(L39&lt;L_rampe,Poussee&lt;Poids*SIN(M39)), g*SIN(M39), (-W39+Poussee)/m)</f>
        <v>86.6667962445101</v>
      </c>
    </row>
    <row r="41" customFormat="false" ht="12" hidden="false" customHeight="false" outlineLevel="0" collapsed="false">
      <c r="A41" s="448" t="n">
        <f aca="false">IF(B40+0.01&lt;=T_ini+ROUNDUP(Temps_fin_propu,0), 0.01, IF(K40&gt;0, 0.1, 0.0001))</f>
        <v>0.01</v>
      </c>
      <c r="B41" s="449" t="n">
        <f aca="false">B40+pas</f>
        <v>0.37</v>
      </c>
      <c r="C41" s="432"/>
      <c r="D41" s="450" t="n">
        <f aca="false">IF(AND(L40&lt;L_rampe,Poussee&lt;Poids*SIN(M40)),0,(-W40+Poussee)/m*COS(M40)-U40/m*SIN(M40))</f>
        <v>15.0694148561349</v>
      </c>
      <c r="E41" s="451" t="n">
        <f aca="false">IF(AND(L40&lt;L_rampe,Poussee&lt;Poids*SIN(M40)),0,(-W40+Poussee)/m*SIN(M40)+U40/m*COS(M40)-Poids/m)</f>
        <v>75.3383951923585</v>
      </c>
      <c r="F41" s="449" t="n">
        <f aca="false">SQRT(acc_x^2+acc_z^2)</f>
        <v>76.8307298824259</v>
      </c>
      <c r="G41" s="450" t="n">
        <f aca="false">G40+acc_x*pas</f>
        <v>4.78247712669064</v>
      </c>
      <c r="H41" s="451" t="n">
        <f aca="false">H40+acc_z*pas</f>
        <v>26.9248638157507</v>
      </c>
      <c r="I41" s="449" t="n">
        <f aca="false">SQRT(vit_x^2+vit_z^2)</f>
        <v>27.3463046674325</v>
      </c>
      <c r="J41" s="450" t="n">
        <f aca="false">J40+0.5*(vit_x+G40)*pas*(K40&gt;=0)</f>
        <v>0.824434582159027</v>
      </c>
      <c r="K41" s="451" t="n">
        <f aca="false">K40+0.5*(vit_z+H40)*pas</f>
        <v>4.67388685351736</v>
      </c>
      <c r="L41" s="449" t="n">
        <f aca="false">SQRT(pos_x^2+pos_z^2)</f>
        <v>4.74604158217584</v>
      </c>
      <c r="M41" s="450" t="n">
        <f aca="false">IF(AND(L40&gt;L_rampe,G41&gt;0),ATAN2(G41,H41),$M$4)</f>
        <v>1.39500666775528</v>
      </c>
      <c r="N41" s="449" t="n">
        <f aca="false">DEGREES(Beta)</f>
        <v>79.9279944549862</v>
      </c>
      <c r="O41" s="438"/>
      <c r="P41" s="452" t="n">
        <f aca="false">MATCH(t-pas/2-T_ini,CdP_t)</f>
        <v>2</v>
      </c>
      <c r="Q41" s="449" t="n">
        <f aca="false">(INDEX(CdP,2,i_P+1)-INDEX(CdP,2,i_P+0))/(INDEX(CdP,1,i_P+1)-INDEX(CdP,1,i_P+0))*(t-pas/2-T_ini-INDEX(CdP,1,i_P+0))+INDEX(CdP,2,i_P+0)</f>
        <v>826.5</v>
      </c>
      <c r="R41" s="450" t="n">
        <f aca="false">Poussee/(g*ISP)</f>
        <v>0.414781841942897</v>
      </c>
      <c r="S41" s="451" t="n">
        <f aca="false">S40-Débit*pas</f>
        <v>9.53581097043885</v>
      </c>
      <c r="T41" s="449" t="n">
        <f aca="false">m*g</f>
        <v>93.5463056200051</v>
      </c>
      <c r="U41" s="453" t="n">
        <f aca="false">IF(pos_xz&lt;L_rampe,Poids*COS(Beta),0)</f>
        <v>0</v>
      </c>
      <c r="V41" s="450" t="n">
        <f aca="false">Rho_moyen*(20000-Alt_rampe-pos_z)/(20000+Alt_rampe+pos_z)</f>
        <v>1.22442758263114</v>
      </c>
      <c r="W41" s="449" t="n">
        <f aca="false">1/2*Rho*Sref*Cx*vit_xz^2</f>
        <v>2.03594779288755</v>
      </c>
      <c r="X41" s="438"/>
      <c r="Y41" s="454" t="str">
        <f aca="false">IF(AND(pos_z&lt;=0,K40&gt;0),"Impact balistique","") &amp; IF(AND(H42&lt;0,vit_z&gt;=0),"Apogée","") &amp; IF(AND(Poussee=0,Q40&gt;0),"Fin de propulsion","") &amp; IF(AND(L42&gt;L_rampe,pos_xz&lt;=L_rampe),"Sortie de rampe","")</f>
        <v/>
      </c>
      <c r="Z41" s="455" t="str">
        <f aca="false">IF(ABS(t-T_para)&lt;pas/2,"Para","")</f>
        <v/>
      </c>
      <c r="AA41" s="456" t="str">
        <f aca="false">IF(ABS(t-T_satellite)&lt;pas/2,"Satellite","")</f>
        <v/>
      </c>
      <c r="AB41" s="444"/>
      <c r="AC41" s="452" t="e">
        <f aca="false">IF(ABS(t-ROUND(t,0))&lt;0.001,t,NA())</f>
        <v>#N/A</v>
      </c>
      <c r="AD41" s="457" t="e">
        <f aca="false">IF(ABS(t-ROUND(t,0))&lt;0.001,pos_x,NA())</f>
        <v>#N/A</v>
      </c>
      <c r="AE41" s="458" t="n">
        <f aca="false">IF(t&lt;T_para, pos_z, NA())</f>
        <v>4.67388685351736</v>
      </c>
      <c r="AF41" s="444"/>
      <c r="AG41" s="450" t="n">
        <f aca="false">IF(AND(L40&lt;L_rampe,Poussee&lt;Poids*SIN(M40)),0,(-W40+Poussee)/m-Poids*SIN(M40)/m)</f>
        <v>76.8117071595133</v>
      </c>
      <c r="AH41" s="449" t="n">
        <f aca="false">IF(AND(L40&lt;L_rampe,Poussee&lt;Poids*SIN(M40)), g*SIN(M40), (-W40+Poussee)/m)</f>
        <v>86.4715934162217</v>
      </c>
    </row>
    <row r="42" customFormat="false" ht="12" hidden="false" customHeight="false" outlineLevel="0" collapsed="false">
      <c r="A42" s="448" t="n">
        <f aca="false">IF(B41+0.01&lt;=T_ini+ROUNDUP(Temps_fin_propu,0), 0.01, IF(K41&gt;0, 0.1, 0.0001))</f>
        <v>0.01</v>
      </c>
      <c r="B42" s="449" t="n">
        <f aca="false">B41+pas</f>
        <v>0.38</v>
      </c>
      <c r="C42" s="432"/>
      <c r="D42" s="450" t="n">
        <f aca="false">IF(AND(L41&lt;L_rampe,Poussee&lt;Poids*SIN(M41)),0,(-W41+Poussee)/m*COS(M41)-U41/m*SIN(M41))</f>
        <v>15.088405070447</v>
      </c>
      <c r="E42" s="451" t="n">
        <f aca="false">IF(AND(L41&lt;L_rampe,Poussee&lt;Poids*SIN(M41)),0,(-W41+Poussee)/m*SIN(M41)+U41/m*COS(M41)-Poids/m)</f>
        <v>75.1361985821949</v>
      </c>
      <c r="F42" s="449" t="n">
        <f aca="false">SQRT(acc_x^2+acc_z^2)</f>
        <v>76.636207532425</v>
      </c>
      <c r="G42" s="450" t="n">
        <f aca="false">G41+acc_x*pas</f>
        <v>4.93336117739511</v>
      </c>
      <c r="H42" s="451" t="n">
        <f aca="false">H41+acc_z*pas</f>
        <v>27.6762258015726</v>
      </c>
      <c r="I42" s="449" t="n">
        <f aca="false">SQRT(vit_x^2+vit_z^2)</f>
        <v>28.1124799177565</v>
      </c>
      <c r="J42" s="450" t="n">
        <f aca="false">J41+0.5*(vit_x+G41)*pas*(K41&gt;=0)</f>
        <v>0.873013773679456</v>
      </c>
      <c r="K42" s="451" t="n">
        <f aca="false">K41+0.5*(vit_z+H41)*pas</f>
        <v>4.94689230160397</v>
      </c>
      <c r="L42" s="449" t="n">
        <f aca="false">SQRT(pos_x^2+pos_z^2)</f>
        <v>5.02333519613242</v>
      </c>
      <c r="M42" s="450" t="n">
        <f aca="false">IF(AND(L41&gt;L_rampe,G42&gt;0),ATAN2(G42,H42),$M$4)</f>
        <v>1.39439639479236</v>
      </c>
      <c r="N42" s="449" t="n">
        <f aca="false">DEGREES(Beta)</f>
        <v>79.89302838986</v>
      </c>
      <c r="O42" s="438"/>
      <c r="P42" s="452" t="n">
        <f aca="false">MATCH(t-pas/2-T_ini,CdP_t)</f>
        <v>2</v>
      </c>
      <c r="Q42" s="449" t="n">
        <f aca="false">(INDEX(CdP,2,i_P+1)-INDEX(CdP,2,i_P+0))/(INDEX(CdP,1,i_P+1)-INDEX(CdP,1,i_P+0))*(t-pas/2-T_ini-INDEX(CdP,1,i_P+0))+INDEX(CdP,2,i_P+0)</f>
        <v>824.388888888889</v>
      </c>
      <c r="R42" s="450" t="n">
        <f aca="false">Poussee/(g*ISP)</f>
        <v>0.413722373636529</v>
      </c>
      <c r="S42" s="451" t="n">
        <f aca="false">S41-Débit*pas</f>
        <v>9.53167374670249</v>
      </c>
      <c r="T42" s="449" t="n">
        <f aca="false">m*g</f>
        <v>93.5057194551514</v>
      </c>
      <c r="U42" s="453" t="n">
        <f aca="false">IF(pos_xz&lt;L_rampe,Poids*COS(Beta),0)</f>
        <v>0</v>
      </c>
      <c r="V42" s="450" t="n">
        <f aca="false">Rho_moyen*(20000-Alt_rampe-pos_z)/(20000+Alt_rampe+pos_z)</f>
        <v>1.22439415554542</v>
      </c>
      <c r="W42" s="449" t="n">
        <f aca="false">1/2*Rho*Sref*Cx*vit_xz^2</f>
        <v>2.15157159088731</v>
      </c>
      <c r="X42" s="438"/>
      <c r="Y42" s="454" t="str">
        <f aca="false">IF(AND(pos_z&lt;=0,K41&gt;0),"Impact balistique","") &amp; IF(AND(H43&lt;0,vit_z&gt;=0),"Apogée","") &amp; IF(AND(Poussee=0,Q41&gt;0),"Fin de propulsion","") &amp; IF(AND(L43&gt;L_rampe,pos_xz&lt;=L_rampe),"Sortie de rampe","")</f>
        <v/>
      </c>
      <c r="Z42" s="455" t="str">
        <f aca="false">IF(ABS(t-T_para)&lt;pas/2,"Para","")</f>
        <v/>
      </c>
      <c r="AA42" s="456" t="str">
        <f aca="false">IF(ABS(t-T_satellite)&lt;pas/2,"Satellite","")</f>
        <v/>
      </c>
      <c r="AB42" s="444"/>
      <c r="AC42" s="452" t="e">
        <f aca="false">IF(ABS(t-ROUND(t,0))&lt;0.001,t,NA())</f>
        <v>#N/A</v>
      </c>
      <c r="AD42" s="457" t="e">
        <f aca="false">IF(ABS(t-ROUND(t,0))&lt;0.001,pos_x,NA())</f>
        <v>#N/A</v>
      </c>
      <c r="AE42" s="458" t="n">
        <f aca="false">IF(t&lt;T_para, pos_z, NA())</f>
        <v>4.94689230160397</v>
      </c>
      <c r="AF42" s="444"/>
      <c r="AG42" s="450" t="n">
        <f aca="false">IF(AND(L41&lt;L_rampe,Poussee&lt;Poids*SIN(M41)),0,(-W41+Poussee)/m-Poids*SIN(M41)/m)</f>
        <v>76.6170015315334</v>
      </c>
      <c r="AH42" s="449" t="n">
        <f aca="false">IF(AND(L41&lt;L_rampe,Poussee&lt;Poids*SIN(M41)), g*SIN(M41), (-W41+Poussee)/m)</f>
        <v>86.2758171281824</v>
      </c>
    </row>
    <row r="43" customFormat="false" ht="12" hidden="false" customHeight="false" outlineLevel="0" collapsed="false">
      <c r="A43" s="448" t="n">
        <f aca="false">IF(B42+0.01&lt;=T_ini+ROUNDUP(Temps_fin_propu,0), 0.01, IF(K42&gt;0, 0.1, 0.0001))</f>
        <v>0.01</v>
      </c>
      <c r="B43" s="449" t="n">
        <f aca="false">B42+pas</f>
        <v>0.39</v>
      </c>
      <c r="C43" s="432"/>
      <c r="D43" s="450" t="n">
        <f aca="false">IF(AND(L42&lt;L_rampe,Poussee&lt;Poids*SIN(M42)),0,(-W42+Poussee)/m*COS(M42)-U42/m*SIN(M42))</f>
        <v>15.1057863503726</v>
      </c>
      <c r="E43" s="451" t="n">
        <f aca="false">IF(AND(L42&lt;L_rampe,Poussee&lt;Poids*SIN(M42)),0,(-W42+Poussee)/m*SIN(M42)+U42/m*COS(M42)-Poids/m)</f>
        <v>74.9336745273887</v>
      </c>
      <c r="F43" s="449" t="n">
        <f aca="false">SQRT(acc_x^2+acc_z^2)</f>
        <v>76.4410907787148</v>
      </c>
      <c r="G43" s="450" t="n">
        <f aca="false">G42+acc_x*pas</f>
        <v>5.08441904089883</v>
      </c>
      <c r="H43" s="451" t="n">
        <f aca="false">H42+acc_z*pas</f>
        <v>28.4255625468465</v>
      </c>
      <c r="I43" s="449" t="n">
        <f aca="false">SQRT(vit_x^2+vit_z^2)</f>
        <v>28.8767020812304</v>
      </c>
      <c r="J43" s="450" t="n">
        <f aca="false">J42+0.5*(vit_x+G42)*pas*(K42&gt;=0)</f>
        <v>0.923102674770925</v>
      </c>
      <c r="K43" s="451" t="n">
        <f aca="false">K42+0.5*(vit_z+H42)*pas</f>
        <v>5.22740124334607</v>
      </c>
      <c r="L43" s="449" t="n">
        <f aca="false">SQRT(pos_x^2+pos_z^2)</f>
        <v>5.30828054148472</v>
      </c>
      <c r="M43" s="450" t="n">
        <f aca="false">IF(AND(L42&gt;L_rampe,G43&gt;0),ATAN2(G43,H43),$M$4)</f>
        <v>1.39380023155106</v>
      </c>
      <c r="N43" s="449" t="n">
        <f aca="false">DEGREES(Beta)</f>
        <v>79.8588707522325</v>
      </c>
      <c r="O43" s="438"/>
      <c r="P43" s="452" t="n">
        <f aca="false">MATCH(t-pas/2-T_ini,CdP_t)</f>
        <v>2</v>
      </c>
      <c r="Q43" s="449" t="n">
        <f aca="false">(INDEX(CdP,2,i_P+1)-INDEX(CdP,2,i_P+0))/(INDEX(CdP,1,i_P+1)-INDEX(CdP,1,i_P+0))*(t-pas/2-T_ini-INDEX(CdP,1,i_P+0))+INDEX(CdP,2,i_P+0)</f>
        <v>822.277777777778</v>
      </c>
      <c r="R43" s="450" t="n">
        <f aca="false">Poussee/(g*ISP)</f>
        <v>0.412662905330161</v>
      </c>
      <c r="S43" s="451" t="n">
        <f aca="false">S42-Débit*pas</f>
        <v>9.52754711764919</v>
      </c>
      <c r="T43" s="449" t="n">
        <f aca="false">m*g</f>
        <v>93.4652372241385</v>
      </c>
      <c r="U43" s="453" t="n">
        <f aca="false">IF(pos_xz&lt;L_rampe,Poids*COS(Beta),0)</f>
        <v>0</v>
      </c>
      <c r="V43" s="450" t="n">
        <f aca="false">Rho_moyen*(20000-Alt_rampe-pos_z)/(20000+Alt_rampe+pos_z)</f>
        <v>1.22435981067401</v>
      </c>
      <c r="W43" s="449" t="n">
        <f aca="false">1/2*Rho*Sref*Cx*vit_xz^2</f>
        <v>2.27007646996665</v>
      </c>
      <c r="X43" s="438"/>
      <c r="Y43" s="454" t="str">
        <f aca="false">IF(AND(pos_z&lt;=0,K42&gt;0),"Impact balistique","") &amp; IF(AND(H44&lt;0,vit_z&gt;=0),"Apogée","") &amp; IF(AND(Poussee=0,Q42&gt;0),"Fin de propulsion","") &amp; IF(AND(L44&gt;L_rampe,pos_xz&lt;=L_rampe),"Sortie de rampe","")</f>
        <v/>
      </c>
      <c r="Z43" s="455" t="str">
        <f aca="false">IF(ABS(t-T_para)&lt;pas/2,"Para","")</f>
        <v/>
      </c>
      <c r="AA43" s="456" t="str">
        <f aca="false">IF(ABS(t-T_satellite)&lt;pas/2,"Satellite","")</f>
        <v/>
      </c>
      <c r="AB43" s="444"/>
      <c r="AC43" s="452" t="e">
        <f aca="false">IF(ABS(t-ROUND(t,0))&lt;0.001,t,NA())</f>
        <v>#N/A</v>
      </c>
      <c r="AD43" s="457" t="e">
        <f aca="false">IF(ABS(t-ROUND(t,0))&lt;0.001,pos_x,NA())</f>
        <v>#N/A</v>
      </c>
      <c r="AE43" s="458" t="n">
        <f aca="false">IF(t&lt;T_para, pos_z, NA())</f>
        <v>5.22740124334607</v>
      </c>
      <c r="AF43" s="444"/>
      <c r="AG43" s="450" t="n">
        <f aca="false">IF(AND(L42&lt;L_rampe,Poussee&lt;Poids*SIN(M42)),0,(-W42+Poussee)/m-Poids*SIN(M42)/m)</f>
        <v>76.4217031930908</v>
      </c>
      <c r="AH43" s="449" t="n">
        <f aca="false">IF(AND(L42&lt;L_rampe,Poussee&lt;Poids*SIN(M42)), g*SIN(M42), (-W42+Poussee)/m)</f>
        <v>86.0794699894643</v>
      </c>
    </row>
    <row r="44" customFormat="false" ht="12" hidden="false" customHeight="false" outlineLevel="0" collapsed="false">
      <c r="A44" s="448" t="n">
        <f aca="false">IF(B43+0.01&lt;=T_ini+ROUNDUP(Temps_fin_propu,0), 0.01, IF(K43&gt;0, 0.1, 0.0001))</f>
        <v>0.01</v>
      </c>
      <c r="B44" s="449" t="n">
        <f aca="false">B43+pas</f>
        <v>0.4</v>
      </c>
      <c r="C44" s="432"/>
      <c r="D44" s="450" t="n">
        <f aca="false">IF(AND(L43&lt;L_rampe,Poussee&lt;Poids*SIN(M43)),0,(-W43+Poussee)/m*COS(M43)-U43/m*SIN(M43))</f>
        <v>15.1216331689056</v>
      </c>
      <c r="E44" s="451" t="n">
        <f aca="false">IF(AND(L43&lt;L_rampe,Poussee&lt;Poids*SIN(M43)),0,(-W43+Poussee)/m*SIN(M43)+U43/m*COS(M43)-Poids/m)</f>
        <v>74.7308149870367</v>
      </c>
      <c r="F44" s="449" t="n">
        <f aca="false">SQRT(acc_x^2+acc_z^2)</f>
        <v>76.2453834557979</v>
      </c>
      <c r="G44" s="450" t="n">
        <f aca="false">G43+acc_x*pas</f>
        <v>5.23563537258789</v>
      </c>
      <c r="H44" s="451" t="n">
        <f aca="false">H43+acc_z*pas</f>
        <v>29.1728706967169</v>
      </c>
      <c r="I44" s="449" t="n">
        <f aca="false">SQRT(vit_x^2+vit_z^2)</f>
        <v>29.6389652727968</v>
      </c>
      <c r="J44" s="450" t="n">
        <f aca="false">J43+0.5*(vit_x+G43)*pas*(K43&gt;=0)</f>
        <v>0.974702946838359</v>
      </c>
      <c r="K44" s="451" t="n">
        <f aca="false">K43+0.5*(vit_z+H43)*pas</f>
        <v>5.51539340956389</v>
      </c>
      <c r="L44" s="449" t="n">
        <f aca="false">SQRT(pos_x^2+pos_z^2)</f>
        <v>5.60085799648912</v>
      </c>
      <c r="M44" s="450" t="n">
        <f aca="false">IF(AND(L43&gt;L_rampe,G44&gt;0),ATAN2(G44,H44),$M$4)</f>
        <v>1.39321745812753</v>
      </c>
      <c r="N44" s="449" t="n">
        <f aca="false">DEGREES(Beta)</f>
        <v>79.825480294652</v>
      </c>
      <c r="O44" s="438"/>
      <c r="P44" s="452" t="n">
        <f aca="false">MATCH(t-pas/2-T_ini,CdP_t)</f>
        <v>2</v>
      </c>
      <c r="Q44" s="449" t="n">
        <f aca="false">(INDEX(CdP,2,i_P+1)-INDEX(CdP,2,i_P+0))/(INDEX(CdP,1,i_P+1)-INDEX(CdP,1,i_P+0))*(t-pas/2-T_ini-INDEX(CdP,1,i_P+0))+INDEX(CdP,2,i_P+0)</f>
        <v>820.166666666667</v>
      </c>
      <c r="R44" s="450" t="n">
        <f aca="false">Poussee/(g*ISP)</f>
        <v>0.411603437023794</v>
      </c>
      <c r="S44" s="451" t="n">
        <f aca="false">S43-Débit*pas</f>
        <v>9.52343108327895</v>
      </c>
      <c r="T44" s="449" t="n">
        <f aca="false">m*g</f>
        <v>93.4248589269665</v>
      </c>
      <c r="U44" s="453" t="n">
        <f aca="false">IF(pos_xz&lt;L_rampe,Poids*COS(Beta),0)</f>
        <v>0</v>
      </c>
      <c r="V44" s="450" t="n">
        <f aca="false">Rho_moyen*(20000-Alt_rampe-pos_z)/(20000+Alt_rampe+pos_z)</f>
        <v>1.22432455057579</v>
      </c>
      <c r="W44" s="449" t="n">
        <f aca="false">1/2*Rho*Sref*Cx*vit_xz^2</f>
        <v>2.3914365961611</v>
      </c>
      <c r="X44" s="438"/>
      <c r="Y44" s="454" t="str">
        <f aca="false">IF(AND(pos_z&lt;=0,K43&gt;0),"Impact balistique","") &amp; IF(AND(H45&lt;0,vit_z&gt;=0),"Apogée","") &amp; IF(AND(Poussee=0,Q43&gt;0),"Fin de propulsion","") &amp; IF(AND(L45&gt;L_rampe,pos_xz&lt;=L_rampe),"Sortie de rampe","")</f>
        <v/>
      </c>
      <c r="Z44" s="455" t="str">
        <f aca="false">IF(ABS(t-T_para)&lt;pas/2,"Para","")</f>
        <v/>
      </c>
      <c r="AA44" s="456" t="str">
        <f aca="false">IF(ABS(t-T_satellite)&lt;pas/2,"Satellite","")</f>
        <v/>
      </c>
      <c r="AB44" s="444"/>
      <c r="AC44" s="452" t="e">
        <f aca="false">IF(ABS(t-ROUND(t,0))&lt;0.001,t,NA())</f>
        <v>#N/A</v>
      </c>
      <c r="AD44" s="457" t="e">
        <f aca="false">IF(ABS(t-ROUND(t,0))&lt;0.001,pos_x,NA())</f>
        <v>#N/A</v>
      </c>
      <c r="AE44" s="458" t="n">
        <f aca="false">IF(t&lt;T_para, pos_z, NA())</f>
        <v>5.51539340956389</v>
      </c>
      <c r="AF44" s="444"/>
      <c r="AG44" s="450" t="n">
        <f aca="false">IF(AND(L43&lt;L_rampe,Poussee&lt;Poids*SIN(M43)),0,(-W43+Poussee)/m-Poids*SIN(M43)/m)</f>
        <v>76.2258158501772</v>
      </c>
      <c r="AH44" s="449" t="n">
        <f aca="false">IF(AND(L43&lt;L_rampe,Poussee&lt;Poids*SIN(M43)), g*SIN(M43), (-W43+Poussee)/m)</f>
        <v>85.882554621805</v>
      </c>
    </row>
    <row r="45" customFormat="false" ht="12" hidden="false" customHeight="false" outlineLevel="0" collapsed="false">
      <c r="A45" s="448" t="n">
        <f aca="false">IF(B44+0.01&lt;=T_ini+ROUNDUP(Temps_fin_propu,0), 0.01, IF(K44&gt;0, 0.1, 0.0001))</f>
        <v>0.01</v>
      </c>
      <c r="B45" s="449" t="n">
        <f aca="false">B44+pas</f>
        <v>0.41</v>
      </c>
      <c r="C45" s="432"/>
      <c r="D45" s="450" t="n">
        <f aca="false">IF(AND(L44&lt;L_rampe,Poussee&lt;Poids*SIN(M44)),0,(-W44+Poussee)/m*COS(M44)-U44/m*SIN(M44))</f>
        <v>15.1360143117389</v>
      </c>
      <c r="E45" s="451" t="n">
        <f aca="false">IF(AND(L44&lt;L_rampe,Poussee&lt;Poids*SIN(M44)),0,(-W44+Poussee)/m*SIN(M44)+U44/m*COS(M44)-Poids/m)</f>
        <v>74.5276127168606</v>
      </c>
      <c r="F45" s="449" t="n">
        <f aca="false">SQRT(acc_x^2+acc_z^2)</f>
        <v>76.049089320777</v>
      </c>
      <c r="G45" s="450" t="n">
        <f aca="false">G44+acc_x*pas</f>
        <v>5.38699551570528</v>
      </c>
      <c r="H45" s="451" t="n">
        <f aca="false">H44+acc_z*pas</f>
        <v>29.9181468238855</v>
      </c>
      <c r="I45" s="449" t="n">
        <f aca="false">SQRT(vit_x^2+vit_z^2)</f>
        <v>30.3992636434141</v>
      </c>
      <c r="J45" s="450" t="n">
        <f aca="false">J44+0.5*(vit_x+G44)*pas*(K44&gt;=0)</f>
        <v>1.02781610127982</v>
      </c>
      <c r="K45" s="451" t="n">
        <f aca="false">K44+0.5*(vit_z+H44)*pas</f>
        <v>5.8108484971669</v>
      </c>
      <c r="L45" s="449" t="n">
        <f aca="false">SQRT(pos_x^2+pos_z^2)</f>
        <v>5.90104788957663</v>
      </c>
      <c r="M45" s="450" t="n">
        <f aca="false">IF(AND(L44&gt;L_rampe,G45&gt;0),ATAN2(G45,H45),$M$4)</f>
        <v>1.39264740895145</v>
      </c>
      <c r="N45" s="449" t="n">
        <f aca="false">DEGREES(Beta)</f>
        <v>79.7928188827476</v>
      </c>
      <c r="O45" s="438"/>
      <c r="P45" s="452" t="n">
        <f aca="false">MATCH(t-pas/2-T_ini,CdP_t)</f>
        <v>2</v>
      </c>
      <c r="Q45" s="449" t="n">
        <f aca="false">(INDEX(CdP,2,i_P+1)-INDEX(CdP,2,i_P+0))/(INDEX(CdP,1,i_P+1)-INDEX(CdP,1,i_P+0))*(t-pas/2-T_ini-INDEX(CdP,1,i_P+0))+INDEX(CdP,2,i_P+0)</f>
        <v>818.055555555556</v>
      </c>
      <c r="R45" s="450" t="n">
        <f aca="false">Poussee/(g*ISP)</f>
        <v>0.410543968717426</v>
      </c>
      <c r="S45" s="451" t="n">
        <f aca="false">S44-Débit*pas</f>
        <v>9.51932564359177</v>
      </c>
      <c r="T45" s="449" t="n">
        <f aca="false">m*g</f>
        <v>93.3845845636353</v>
      </c>
      <c r="U45" s="453" t="n">
        <f aca="false">IF(pos_xz&lt;L_rampe,Poids*COS(Beta),0)</f>
        <v>0</v>
      </c>
      <c r="V45" s="450" t="n">
        <f aca="false">Rho_moyen*(20000-Alt_rampe-pos_z)/(20000+Alt_rampe+pos_z)</f>
        <v>1.22428837781553</v>
      </c>
      <c r="W45" s="449" t="n">
        <f aca="false">1/2*Rho*Sref*Cx*vit_xz^2</f>
        <v>2.51562609737893</v>
      </c>
      <c r="X45" s="438"/>
      <c r="Y45" s="454" t="str">
        <f aca="false">IF(AND(pos_z&lt;=0,K44&gt;0),"Impact balistique","") &amp; IF(AND(H46&lt;0,vit_z&gt;=0),"Apogée","") &amp; IF(AND(Poussee=0,Q44&gt;0),"Fin de propulsion","") &amp; IF(AND(L46&gt;L_rampe,pos_xz&lt;=L_rampe),"Sortie de rampe","")</f>
        <v/>
      </c>
      <c r="Z45" s="455" t="str">
        <f aca="false">IF(ABS(t-T_para)&lt;pas/2,"Para","")</f>
        <v/>
      </c>
      <c r="AA45" s="456" t="str">
        <f aca="false">IF(ABS(t-T_satellite)&lt;pas/2,"Satellite","")</f>
        <v/>
      </c>
      <c r="AB45" s="444"/>
      <c r="AC45" s="452" t="e">
        <f aca="false">IF(ABS(t-ROUND(t,0))&lt;0.001,t,NA())</f>
        <v>#N/A</v>
      </c>
      <c r="AD45" s="457" t="e">
        <f aca="false">IF(ABS(t-ROUND(t,0))&lt;0.001,pos_x,NA())</f>
        <v>#N/A</v>
      </c>
      <c r="AE45" s="458" t="n">
        <f aca="false">IF(t&lt;T_para, pos_z, NA())</f>
        <v>5.8108484971669</v>
      </c>
      <c r="AF45" s="444"/>
      <c r="AG45" s="450" t="n">
        <f aca="false">IF(AND(L44&lt;L_rampe,Poussee&lt;Poids*SIN(M44)),0,(-W44+Poussee)/m-Poids*SIN(M44)/m)</f>
        <v>76.0293431404889</v>
      </c>
      <c r="AH45" s="449" t="n">
        <f aca="false">IF(AND(L44&lt;L_rampe,Poussee&lt;Poids*SIN(M44)), g*SIN(M44), (-W44+Poussee)/m)</f>
        <v>85.6850736594439</v>
      </c>
    </row>
    <row r="46" customFormat="false" ht="12" hidden="false" customHeight="false" outlineLevel="0" collapsed="false">
      <c r="A46" s="448" t="n">
        <f aca="false">IF(B45+0.01&lt;=T_ini+ROUNDUP(Temps_fin_propu,0), 0.01, IF(K45&gt;0, 0.1, 0.0001))</f>
        <v>0.01</v>
      </c>
      <c r="B46" s="449" t="n">
        <f aca="false">B45+pas</f>
        <v>0.42</v>
      </c>
      <c r="C46" s="432"/>
      <c r="D46" s="450" t="n">
        <f aca="false">IF(AND(L45&lt;L_rampe,Poussee&lt;Poids*SIN(M45)),0,(-W45+Poussee)/m*COS(M45)-U45/m*SIN(M45))</f>
        <v>15.1489934529507</v>
      </c>
      <c r="E46" s="451" t="n">
        <f aca="false">IF(AND(L45&lt;L_rampe,Poussee&lt;Poids*SIN(M45)),0,(-W45+Poussee)/m*SIN(M45)+U45/m*COS(M45)-Poids/m)</f>
        <v>74.3240611920148</v>
      </c>
      <c r="F46" s="449" t="n">
        <f aca="false">SQRT(acc_x^2+acc_z^2)</f>
        <v>75.8522120620876</v>
      </c>
      <c r="G46" s="450" t="n">
        <f aca="false">G45+acc_x*pas</f>
        <v>5.53848545023478</v>
      </c>
      <c r="H46" s="451" t="n">
        <f aca="false">H45+acc_z*pas</f>
        <v>30.6613874358056</v>
      </c>
      <c r="I46" s="449" t="n">
        <f aca="false">SQRT(vit_x^2+vit_z^2)</f>
        <v>31.1575913794863</v>
      </c>
      <c r="J46" s="450" t="n">
        <f aca="false">J45+0.5*(vit_x+G45)*pas*(K45&gt;=0)</f>
        <v>1.08244350610953</v>
      </c>
      <c r="K46" s="451" t="n">
        <f aca="false">K45+0.5*(vit_z+H45)*pas</f>
        <v>6.11374616846535</v>
      </c>
      <c r="L46" s="449" t="n">
        <f aca="false">SQRT(pos_x^2+pos_z^2)</f>
        <v>6.20883049827771</v>
      </c>
      <c r="M46" s="450" t="n">
        <f aca="false">IF(AND(L45&gt;L_rampe,G46&gt;0),ATAN2(G46,H46),$M$4)</f>
        <v>1.39208946740395</v>
      </c>
      <c r="N46" s="449" t="n">
        <f aca="false">DEGREES(Beta)</f>
        <v>79.760851186861</v>
      </c>
      <c r="O46" s="438"/>
      <c r="P46" s="452" t="n">
        <f aca="false">MATCH(t-pas/2-T_ini,CdP_t)</f>
        <v>2</v>
      </c>
      <c r="Q46" s="449" t="n">
        <f aca="false">(INDEX(CdP,2,i_P+1)-INDEX(CdP,2,i_P+0))/(INDEX(CdP,1,i_P+1)-INDEX(CdP,1,i_P+0))*(t-pas/2-T_ini-INDEX(CdP,1,i_P+0))+INDEX(CdP,2,i_P+0)</f>
        <v>815.944444444444</v>
      </c>
      <c r="R46" s="450" t="n">
        <f aca="false">Poussee/(g*ISP)</f>
        <v>0.409484500411059</v>
      </c>
      <c r="S46" s="451" t="n">
        <f aca="false">S45-Débit*pas</f>
        <v>9.51523079858766</v>
      </c>
      <c r="T46" s="449" t="n">
        <f aca="false">m*g</f>
        <v>93.344414134145</v>
      </c>
      <c r="U46" s="453" t="n">
        <f aca="false">IF(pos_xz&lt;L_rampe,Poids*COS(Beta),0)</f>
        <v>0</v>
      </c>
      <c r="V46" s="450" t="n">
        <f aca="false">Rho_moyen*(20000-Alt_rampe-pos_z)/(20000+Alt_rampe+pos_z)</f>
        <v>1.22425129496399</v>
      </c>
      <c r="W46" s="449" t="n">
        <f aca="false">1/2*Rho*Sref*Cx*vit_xz^2</f>
        <v>2.64261906493285</v>
      </c>
      <c r="X46" s="438"/>
      <c r="Y46" s="454" t="str">
        <f aca="false">IF(AND(pos_z&lt;=0,K45&gt;0),"Impact balistique","") &amp; IF(AND(H47&lt;0,vit_z&gt;=0),"Apogée","") &amp; IF(AND(Poussee=0,Q45&gt;0),"Fin de propulsion","") &amp; IF(AND(L47&gt;L_rampe,pos_xz&lt;=L_rampe),"Sortie de rampe","")</f>
        <v/>
      </c>
      <c r="Z46" s="455" t="str">
        <f aca="false">IF(ABS(t-T_para)&lt;pas/2,"Para","")</f>
        <v/>
      </c>
      <c r="AA46" s="456" t="str">
        <f aca="false">IF(ABS(t-T_satellite)&lt;pas/2,"Satellite","")</f>
        <v/>
      </c>
      <c r="AB46" s="444"/>
      <c r="AC46" s="452" t="e">
        <f aca="false">IF(ABS(t-ROUND(t,0))&lt;0.001,t,NA())</f>
        <v>#N/A</v>
      </c>
      <c r="AD46" s="457" t="e">
        <f aca="false">IF(ABS(t-ROUND(t,0))&lt;0.001,pos_x,NA())</f>
        <v>#N/A</v>
      </c>
      <c r="AE46" s="458" t="n">
        <f aca="false">IF(t&lt;T_para, pos_z, NA())</f>
        <v>6.11374616846535</v>
      </c>
      <c r="AF46" s="444"/>
      <c r="AG46" s="450" t="n">
        <f aca="false">IF(AND(L45&lt;L_rampe,Poussee&lt;Poids*SIN(M45)),0,(-W45+Poussee)/m-Poids*SIN(M45)/m)</f>
        <v>75.8322886412437</v>
      </c>
      <c r="AH46" s="449" t="n">
        <f aca="false">IF(AND(L45&lt;L_rampe,Poussee&lt;Poids*SIN(M45)), g*SIN(M45), (-W45+Poussee)/m)</f>
        <v>85.4870297489581</v>
      </c>
    </row>
    <row r="47" customFormat="false" ht="12" hidden="false" customHeight="false" outlineLevel="0" collapsed="false">
      <c r="A47" s="448" t="n">
        <f aca="false">IF(B46+0.01&lt;=T_ini+ROUNDUP(Temps_fin_propu,0), 0.01, IF(K46&gt;0, 0.1, 0.0001))</f>
        <v>0.01</v>
      </c>
      <c r="B47" s="449" t="n">
        <f aca="false">B46+pas</f>
        <v>0.43</v>
      </c>
      <c r="C47" s="432"/>
      <c r="D47" s="450" t="n">
        <f aca="false">IF(AND(L46&lt;L_rampe,Poussee&lt;Poids*SIN(M46)),0,(-W46+Poussee)/m*COS(M46)-U46/m*SIN(M46))</f>
        <v>15.1606296592012</v>
      </c>
      <c r="E47" s="451" t="n">
        <f aca="false">IF(AND(L46&lt;L_rampe,Poussee&lt;Poids*SIN(M46)),0,(-W46+Poussee)/m*SIN(M46)+U46/m*COS(M46)-Poids/m)</f>
        <v>74.1201545392395</v>
      </c>
      <c r="F47" s="449" t="n">
        <f aca="false">SQRT(acc_x^2+acc_z^2)</f>
        <v>75.6547553071464</v>
      </c>
      <c r="G47" s="450" t="n">
        <f aca="false">G46+acc_x*pas</f>
        <v>5.6900917468268</v>
      </c>
      <c r="H47" s="451" t="n">
        <f aca="false">H46+acc_z*pas</f>
        <v>31.402588981198</v>
      </c>
      <c r="I47" s="449" t="n">
        <f aca="false">SQRT(vit_x^2+vit_z^2)</f>
        <v>31.9139427023576</v>
      </c>
      <c r="J47" s="450" t="n">
        <f aca="false">J46+0.5*(vit_x+G46)*pas*(K46&gt;=0)</f>
        <v>1.13858639209483</v>
      </c>
      <c r="K47" s="451" t="n">
        <f aca="false">K46+0.5*(vit_z+H46)*pas</f>
        <v>6.42406605055037</v>
      </c>
      <c r="L47" s="449" t="n">
        <f aca="false">SQRT(pos_x^2+pos_z^2)</f>
        <v>6.52418604839695</v>
      </c>
      <c r="M47" s="450" t="n">
        <f aca="false">IF(AND(L46&gt;L_rampe,G47&gt;0),ATAN2(G47,H47),$M$4)</f>
        <v>1.39154306108925</v>
      </c>
      <c r="N47" s="449" t="n">
        <f aca="false">DEGREES(Beta)</f>
        <v>79.7295444111293</v>
      </c>
      <c r="O47" s="438"/>
      <c r="P47" s="452" t="n">
        <f aca="false">MATCH(t-pas/2-T_ini,CdP_t)</f>
        <v>2</v>
      </c>
      <c r="Q47" s="449" t="n">
        <f aca="false">(INDEX(CdP,2,i_P+1)-INDEX(CdP,2,i_P+0))/(INDEX(CdP,1,i_P+1)-INDEX(CdP,1,i_P+0))*(t-pas/2-T_ini-INDEX(CdP,1,i_P+0))+INDEX(CdP,2,i_P+0)</f>
        <v>813.833333333333</v>
      </c>
      <c r="R47" s="450" t="n">
        <f aca="false">Poussee/(g*ISP)</f>
        <v>0.408425032104691</v>
      </c>
      <c r="S47" s="451" t="n">
        <f aca="false">S46-Débit*pas</f>
        <v>9.51114654826662</v>
      </c>
      <c r="T47" s="449" t="n">
        <f aca="false">m*g</f>
        <v>93.3043476384955</v>
      </c>
      <c r="U47" s="453" t="n">
        <f aca="false">IF(pos_xz&lt;L_rampe,Poids*COS(Beta),0)</f>
        <v>0</v>
      </c>
      <c r="V47" s="450" t="n">
        <f aca="false">Rho_moyen*(20000-Alt_rampe-pos_z)/(20000+Alt_rampe+pos_z)</f>
        <v>1.22421330459797</v>
      </c>
      <c r="W47" s="449" t="n">
        <f aca="false">1/2*Rho*Sref*Cx*vit_xz^2</f>
        <v>2.77238955506407</v>
      </c>
      <c r="X47" s="438"/>
      <c r="Y47" s="454" t="str">
        <f aca="false">IF(AND(pos_z&lt;=0,K46&gt;0),"Impact balistique","") &amp; IF(AND(H48&lt;0,vit_z&gt;=0),"Apogée","") &amp; IF(AND(Poussee=0,Q46&gt;0),"Fin de propulsion","") &amp; IF(AND(L48&gt;L_rampe,pos_xz&lt;=L_rampe),"Sortie de rampe","")</f>
        <v/>
      </c>
      <c r="Z47" s="455" t="str">
        <f aca="false">IF(ABS(t-T_para)&lt;pas/2,"Para","")</f>
        <v/>
      </c>
      <c r="AA47" s="456" t="str">
        <f aca="false">IF(ABS(t-T_satellite)&lt;pas/2,"Satellite","")</f>
        <v/>
      </c>
      <c r="AB47" s="444"/>
      <c r="AC47" s="452" t="e">
        <f aca="false">IF(ABS(t-ROUND(t,0))&lt;0.001,t,NA())</f>
        <v>#N/A</v>
      </c>
      <c r="AD47" s="457" t="e">
        <f aca="false">IF(ABS(t-ROUND(t,0))&lt;0.001,pos_x,NA())</f>
        <v>#N/A</v>
      </c>
      <c r="AE47" s="458" t="n">
        <f aca="false">IF(t&lt;T_para, pos_z, NA())</f>
        <v>6.42406605055037</v>
      </c>
      <c r="AF47" s="444"/>
      <c r="AG47" s="450" t="n">
        <f aca="false">IF(AND(L46&lt;L_rampe,Poussee&lt;Poids*SIN(M46)),0,(-W46+Poussee)/m-Poids*SIN(M46)/m)</f>
        <v>75.6346558760263</v>
      </c>
      <c r="AH47" s="449" t="n">
        <f aca="false">IF(AND(L46&lt;L_rampe,Poussee&lt;Poids*SIN(M46)), g*SIN(M46), (-W46+Poussee)/m)</f>
        <v>85.2884255490983</v>
      </c>
    </row>
    <row r="48" customFormat="false" ht="12" hidden="false" customHeight="false" outlineLevel="0" collapsed="false">
      <c r="A48" s="448" t="n">
        <f aca="false">IF(B47+0.01&lt;=T_ini+ROUNDUP(Temps_fin_propu,0), 0.01, IF(K47&gt;0, 0.1, 0.0001))</f>
        <v>0.01</v>
      </c>
      <c r="B48" s="449" t="n">
        <f aca="false">B47+pas</f>
        <v>0.44</v>
      </c>
      <c r="C48" s="432"/>
      <c r="D48" s="450" t="n">
        <f aca="false">IF(AND(L47&lt;L_rampe,Poussee&lt;Poids*SIN(M47)),0,(-W47+Poussee)/m*COS(M47)-U47/m*SIN(M47))</f>
        <v>15.1709778328778</v>
      </c>
      <c r="E48" s="451" t="n">
        <f aca="false">IF(AND(L47&lt;L_rampe,Poussee&lt;Poids*SIN(M47)),0,(-W47+Poussee)/m*SIN(M47)+U47/m*COS(M47)-Poids/m)</f>
        <v>73.9158874770179</v>
      </c>
      <c r="F48" s="449" t="n">
        <f aca="false">SQRT(acc_x^2+acc_z^2)</f>
        <v>75.4567226290729</v>
      </c>
      <c r="G48" s="450" t="n">
        <f aca="false">G47+acc_x*pas</f>
        <v>5.84180152515557</v>
      </c>
      <c r="H48" s="451" t="n">
        <f aca="false">H47+acc_z*pas</f>
        <v>32.1417478559682</v>
      </c>
      <c r="I48" s="449" t="n">
        <f aca="false">SQRT(vit_x^2+vit_z^2)</f>
        <v>32.6683118678628</v>
      </c>
      <c r="J48" s="450" t="n">
        <f aca="false">J47+0.5*(vit_x+G47)*pas*(K47&gt;=0)</f>
        <v>1.19624585845474</v>
      </c>
      <c r="K48" s="451" t="n">
        <f aca="false">K47+0.5*(vit_z+H47)*pas</f>
        <v>6.7417877347362</v>
      </c>
      <c r="L48" s="449" t="n">
        <f aca="false">SQRT(pos_x^2+pos_z^2)</f>
        <v>6.84709471338827</v>
      </c>
      <c r="M48" s="450" t="n">
        <f aca="false">IF(AND(L47&gt;L_rampe,G48&gt;0),ATAN2(G48,H48),$M$4)</f>
        <v>1.39100765766652</v>
      </c>
      <c r="N48" s="449" t="n">
        <f aca="false">DEGREES(Beta)</f>
        <v>79.6988680546699</v>
      </c>
      <c r="O48" s="438"/>
      <c r="P48" s="452" t="n">
        <f aca="false">MATCH(t-pas/2-T_ini,CdP_t)</f>
        <v>2</v>
      </c>
      <c r="Q48" s="449" t="n">
        <f aca="false">(INDEX(CdP,2,i_P+1)-INDEX(CdP,2,i_P+0))/(INDEX(CdP,1,i_P+1)-INDEX(CdP,1,i_P+0))*(t-pas/2-T_ini-INDEX(CdP,1,i_P+0))+INDEX(CdP,2,i_P+0)</f>
        <v>811.722222222222</v>
      </c>
      <c r="R48" s="450" t="n">
        <f aca="false">Poussee/(g*ISP)</f>
        <v>0.407365563798324</v>
      </c>
      <c r="S48" s="451" t="n">
        <f aca="false">S47-Débit*pas</f>
        <v>9.50707289262863</v>
      </c>
      <c r="T48" s="449" t="n">
        <f aca="false">m*g</f>
        <v>93.2643850766869</v>
      </c>
      <c r="U48" s="453" t="n">
        <f aca="false">IF(pos_xz&lt;L_rampe,Poids*COS(Beta),0)</f>
        <v>0</v>
      </c>
      <c r="V48" s="450" t="n">
        <f aca="false">Rho_moyen*(20000-Alt_rampe-pos_z)/(20000+Alt_rampe+pos_z)</f>
        <v>1.22417440930036</v>
      </c>
      <c r="W48" s="449" t="n">
        <f aca="false">1/2*Rho*Sref*Cx*vit_xz^2</f>
        <v>2.90491159045926</v>
      </c>
      <c r="X48" s="438"/>
      <c r="Y48" s="454" t="str">
        <f aca="false">IF(AND(pos_z&lt;=0,K47&gt;0),"Impact balistique","") &amp; IF(AND(H49&lt;0,vit_z&gt;=0),"Apogée","") &amp; IF(AND(Poussee=0,Q47&gt;0),"Fin de propulsion","") &amp; IF(AND(L49&gt;L_rampe,pos_xz&lt;=L_rampe),"Sortie de rampe","")</f>
        <v/>
      </c>
      <c r="Z48" s="455" t="str">
        <f aca="false">IF(ABS(t-T_para)&lt;pas/2,"Para","")</f>
        <v/>
      </c>
      <c r="AA48" s="456" t="str">
        <f aca="false">IF(ABS(t-T_satellite)&lt;pas/2,"Satellite","")</f>
        <v/>
      </c>
      <c r="AB48" s="444"/>
      <c r="AC48" s="452" t="e">
        <f aca="false">IF(ABS(t-ROUND(t,0))&lt;0.001,t,NA())</f>
        <v>#N/A</v>
      </c>
      <c r="AD48" s="457" t="e">
        <f aca="false">IF(ABS(t-ROUND(t,0))&lt;0.001,pos_x,NA())</f>
        <v>#N/A</v>
      </c>
      <c r="AE48" s="458" t="n">
        <f aca="false">IF(t&lt;T_para, pos_z, NA())</f>
        <v>6.7417877347362</v>
      </c>
      <c r="AF48" s="444"/>
      <c r="AG48" s="450" t="n">
        <f aca="false">IF(AND(L47&lt;L_rampe,Poussee&lt;Poids*SIN(M47)),0,(-W47+Poussee)/m-Poids*SIN(M47)/m)</f>
        <v>75.4364483208017</v>
      </c>
      <c r="AH48" s="449" t="n">
        <f aca="false">IF(AND(L47&lt;L_rampe,Poussee&lt;Poids*SIN(M47)), g*SIN(M47), (-W47+Poussee)/m)</f>
        <v>85.0892637306255</v>
      </c>
    </row>
    <row r="49" customFormat="false" ht="12" hidden="false" customHeight="false" outlineLevel="0" collapsed="false">
      <c r="A49" s="448" t="n">
        <f aca="false">IF(B48+0.01&lt;=T_ini+ROUNDUP(Temps_fin_propu,0), 0.01, IF(K48&gt;0, 0.1, 0.0001))</f>
        <v>0.01</v>
      </c>
      <c r="B49" s="449" t="n">
        <f aca="false">B48+pas</f>
        <v>0.45</v>
      </c>
      <c r="C49" s="432"/>
      <c r="D49" s="450" t="n">
        <f aca="false">IF(AND(L48&lt;L_rampe,Poussee&lt;Poids*SIN(M48)),0,(-W48+Poussee)/m*COS(M48)-U48/m*SIN(M48))</f>
        <v>15.1800891028859</v>
      </c>
      <c r="E49" s="451" t="n">
        <f aca="false">IF(AND(L48&lt;L_rampe,Poussee&lt;Poids*SIN(M48)),0,(-W48+Poussee)/m*SIN(M48)+U48/m*COS(M48)-Poids/m)</f>
        <v>73.711255262621</v>
      </c>
      <c r="F49" s="449" t="n">
        <f aca="false">SQRT(acc_x^2+acc_z^2)</f>
        <v>75.2581175526124</v>
      </c>
      <c r="G49" s="450" t="n">
        <f aca="false">G48+acc_x*pas</f>
        <v>5.99360241618443</v>
      </c>
      <c r="H49" s="451" t="n">
        <f aca="false">H48+acc_z*pas</f>
        <v>32.8788604085944</v>
      </c>
      <c r="I49" s="449" t="n">
        <f aca="false">SQRT(vit_x^2+vit_z^2)</f>
        <v>33.4206931659283</v>
      </c>
      <c r="J49" s="450" t="n">
        <f aca="false">J48+0.5*(vit_x+G48)*pas*(K48&gt;=0)</f>
        <v>1.25542287816145</v>
      </c>
      <c r="K49" s="451" t="n">
        <f aca="false">K48+0.5*(vit_z+H48)*pas</f>
        <v>7.06689077605901</v>
      </c>
      <c r="L49" s="449" t="n">
        <f aca="false">SQRT(pos_x^2+pos_z^2)</f>
        <v>7.17753661389192</v>
      </c>
      <c r="M49" s="450" t="n">
        <f aca="false">IF(AND(L48&gt;L_rampe,G49&gt;0),ATAN2(G49,H49),$M$4)</f>
        <v>1.39048276116403</v>
      </c>
      <c r="N49" s="449" t="n">
        <f aca="false">DEGREES(Beta)</f>
        <v>79.6687937003962</v>
      </c>
      <c r="O49" s="438"/>
      <c r="P49" s="452" t="n">
        <f aca="false">MATCH(t-pas/2-T_ini,CdP_t)</f>
        <v>2</v>
      </c>
      <c r="Q49" s="449" t="n">
        <f aca="false">(INDEX(CdP,2,i_P+1)-INDEX(CdP,2,i_P+0))/(INDEX(CdP,1,i_P+1)-INDEX(CdP,1,i_P+0))*(t-pas/2-T_ini-INDEX(CdP,1,i_P+0))+INDEX(CdP,2,i_P+0)</f>
        <v>809.611111111111</v>
      </c>
      <c r="R49" s="450" t="n">
        <f aca="false">Poussee/(g*ISP)</f>
        <v>0.406306095491956</v>
      </c>
      <c r="S49" s="451" t="n">
        <f aca="false">S48-Débit*pas</f>
        <v>9.50300983167371</v>
      </c>
      <c r="T49" s="449" t="n">
        <f aca="false">m*g</f>
        <v>93.2245264487191</v>
      </c>
      <c r="U49" s="453" t="n">
        <f aca="false">IF(pos_xz&lt;L_rampe,Poids*COS(Beta),0)</f>
        <v>0</v>
      </c>
      <c r="V49" s="450" t="n">
        <f aca="false">Rho_moyen*(20000-Alt_rampe-pos_z)/(20000+Alt_rampe+pos_z)</f>
        <v>1.22413461166018</v>
      </c>
      <c r="W49" s="449" t="n">
        <f aca="false">1/2*Rho*Sref*Cx*vit_xz^2</f>
        <v>3.04015916176105</v>
      </c>
      <c r="X49" s="438"/>
      <c r="Y49" s="454" t="str">
        <f aca="false">IF(AND(pos_z&lt;=0,K48&gt;0),"Impact balistique","") &amp; IF(AND(H50&lt;0,vit_z&gt;=0),"Apogée","") &amp; IF(AND(Poussee=0,Q48&gt;0),"Fin de propulsion","") &amp; IF(AND(L50&gt;L_rampe,pos_xz&lt;=L_rampe),"Sortie de rampe","")</f>
        <v/>
      </c>
      <c r="Z49" s="455" t="str">
        <f aca="false">IF(ABS(t-T_para)&lt;pas/2,"Para","")</f>
        <v/>
      </c>
      <c r="AA49" s="456" t="str">
        <f aca="false">IF(ABS(t-T_satellite)&lt;pas/2,"Satellite","")</f>
        <v/>
      </c>
      <c r="AB49" s="444"/>
      <c r="AC49" s="452" t="e">
        <f aca="false">IF(ABS(t-ROUND(t,0))&lt;0.001,t,NA())</f>
        <v>#N/A</v>
      </c>
      <c r="AD49" s="457" t="e">
        <f aca="false">IF(ABS(t-ROUND(t,0))&lt;0.001,pos_x,NA())</f>
        <v>#N/A</v>
      </c>
      <c r="AE49" s="458" t="n">
        <f aca="false">IF(t&lt;T_para, pos_z, NA())</f>
        <v>7.06689077605901</v>
      </c>
      <c r="AF49" s="444"/>
      <c r="AG49" s="450" t="n">
        <f aca="false">IF(AND(L48&lt;L_rampe,Poussee&lt;Poids*SIN(M48)),0,(-W48+Poussee)/m-Poids*SIN(M48)/m)</f>
        <v>75.2376694092123</v>
      </c>
      <c r="AH49" s="449" t="n">
        <f aca="false">IF(AND(L48&lt;L_rampe,Poussee&lt;Poids*SIN(M48)), g*SIN(M48), (-W48+Poussee)/m)</f>
        <v>84.8895469761469</v>
      </c>
    </row>
    <row r="50" customFormat="false" ht="12" hidden="false" customHeight="false" outlineLevel="0" collapsed="false">
      <c r="A50" s="448" t="n">
        <f aca="false">IF(B49+0.01&lt;=T_ini+ROUNDUP(Temps_fin_propu,0), 0.01, IF(K49&gt;0, 0.1, 0.0001))</f>
        <v>0.01</v>
      </c>
      <c r="B50" s="449" t="n">
        <f aca="false">B49+pas</f>
        <v>0.46</v>
      </c>
      <c r="C50" s="432"/>
      <c r="D50" s="450" t="n">
        <f aca="false">IF(AND(L49&lt;L_rampe,Poussee&lt;Poids*SIN(M49)),0,(-W49+Poussee)/m*COS(M49)-U49/m*SIN(M49))</f>
        <v>15.188011170368</v>
      </c>
      <c r="E50" s="451" t="n">
        <f aca="false">IF(AND(L49&lt;L_rampe,Poussee&lt;Poids*SIN(M49)),0,(-W49+Poussee)/m*SIN(M49)+U49/m*COS(M49)-Poids/m)</f>
        <v>73.5062536450992</v>
      </c>
      <c r="F50" s="449" t="n">
        <f aca="false">SQRT(acc_x^2+acc_z^2)</f>
        <v>75.0589435593713</v>
      </c>
      <c r="G50" s="450" t="n">
        <f aca="false">G49+acc_x*pas</f>
        <v>6.14548252788811</v>
      </c>
      <c r="H50" s="451" t="n">
        <f aca="false">H49+acc_z*pas</f>
        <v>33.6139229450454</v>
      </c>
      <c r="I50" s="449" t="n">
        <f aca="false">SQRT(vit_x^2+vit_z^2)</f>
        <v>34.1710809202171</v>
      </c>
      <c r="J50" s="450" t="n">
        <f aca="false">J49+0.5*(vit_x+G49)*pas*(K49&gt;=0)</f>
        <v>1.31611830288181</v>
      </c>
      <c r="K50" s="451" t="n">
        <f aca="false">K49+0.5*(vit_z+H49)*pas</f>
        <v>7.39935469282721</v>
      </c>
      <c r="L50" s="449" t="n">
        <f aca="false">SQRT(pos_x^2+pos_z^2)</f>
        <v>7.51549181740254</v>
      </c>
      <c r="M50" s="450" t="n">
        <f aca="false">IF(AND(L49&gt;L_rampe,G50&gt;0),ATAN2(G50,H50),$M$4)</f>
        <v>1.38996790870984</v>
      </c>
      <c r="N50" s="449" t="n">
        <f aca="false">DEGREES(Beta)</f>
        <v>79.6392948276993</v>
      </c>
      <c r="O50" s="438"/>
      <c r="P50" s="452" t="n">
        <f aca="false">MATCH(t-pas/2-T_ini,CdP_t)</f>
        <v>2</v>
      </c>
      <c r="Q50" s="449" t="n">
        <f aca="false">(INDEX(CdP,2,i_P+1)-INDEX(CdP,2,i_P+0))/(INDEX(CdP,1,i_P+1)-INDEX(CdP,1,i_P+0))*(t-pas/2-T_ini-INDEX(CdP,1,i_P+0))+INDEX(CdP,2,i_P+0)</f>
        <v>807.5</v>
      </c>
      <c r="R50" s="450" t="n">
        <f aca="false">Poussee/(g*ISP)</f>
        <v>0.405246627185589</v>
      </c>
      <c r="S50" s="451" t="n">
        <f aca="false">S49-Débit*pas</f>
        <v>9.49895736540186</v>
      </c>
      <c r="T50" s="449" t="n">
        <f aca="false">m*g</f>
        <v>93.1847717545922</v>
      </c>
      <c r="U50" s="453" t="n">
        <f aca="false">IF(pos_xz&lt;L_rampe,Poids*COS(Beta),0)</f>
        <v>0</v>
      </c>
      <c r="V50" s="450" t="n">
        <f aca="false">Rho_moyen*(20000-Alt_rampe-pos_z)/(20000+Alt_rampe+pos_z)</f>
        <v>1.22409391427261</v>
      </c>
      <c r="W50" s="449" t="n">
        <f aca="false">1/2*Rho*Sref*Cx*vit_xz^2</f>
        <v>3.17810622907221</v>
      </c>
      <c r="X50" s="438"/>
      <c r="Y50" s="454" t="str">
        <f aca="false">IF(AND(pos_z&lt;=0,K49&gt;0),"Impact balistique","") &amp; IF(AND(H51&lt;0,vit_z&gt;=0),"Apogée","") &amp; IF(AND(Poussee=0,Q49&gt;0),"Fin de propulsion","") &amp; IF(AND(L51&gt;L_rampe,pos_xz&lt;=L_rampe),"Sortie de rampe","")</f>
        <v/>
      </c>
      <c r="Z50" s="455" t="str">
        <f aca="false">IF(ABS(t-T_para)&lt;pas/2,"Para","")</f>
        <v/>
      </c>
      <c r="AA50" s="456" t="str">
        <f aca="false">IF(ABS(t-T_satellite)&lt;pas/2,"Satellite","")</f>
        <v/>
      </c>
      <c r="AB50" s="444"/>
      <c r="AC50" s="452" t="e">
        <f aca="false">IF(ABS(t-ROUND(t,0))&lt;0.001,t,NA())</f>
        <v>#N/A</v>
      </c>
      <c r="AD50" s="457" t="e">
        <f aca="false">IF(ABS(t-ROUND(t,0))&lt;0.001,pos_x,NA())</f>
        <v>#N/A</v>
      </c>
      <c r="AE50" s="458" t="n">
        <f aca="false">IF(t&lt;T_para, pos_z, NA())</f>
        <v>7.39935469282721</v>
      </c>
      <c r="AF50" s="444"/>
      <c r="AG50" s="450" t="n">
        <f aca="false">IF(AND(L49&lt;L_rampe,Poussee&lt;Poids*SIN(M49)),0,(-W49+Poussee)/m-Poids*SIN(M49)/m)</f>
        <v>75.0383225372592</v>
      </c>
      <c r="AH50" s="449" t="n">
        <f aca="false">IF(AND(L49&lt;L_rampe,Poussee&lt;Poids*SIN(M49)), g*SIN(M49), (-W49+Poussee)/m)</f>
        <v>84.6892779799529</v>
      </c>
    </row>
    <row r="51" customFormat="false" ht="12" hidden="false" customHeight="false" outlineLevel="0" collapsed="false">
      <c r="A51" s="448" t="n">
        <f aca="false">IF(B50+0.01&lt;=T_ini+ROUNDUP(Temps_fin_propu,0), 0.01, IF(K50&gt;0, 0.1, 0.0001))</f>
        <v>0.01</v>
      </c>
      <c r="B51" s="449" t="n">
        <f aca="false">B50+pas</f>
        <v>0.47</v>
      </c>
      <c r="C51" s="432"/>
      <c r="D51" s="450" t="n">
        <f aca="false">IF(AND(L50&lt;L_rampe,Poussee&lt;Poids*SIN(M50)),0,(-W50+Poussee)/m*COS(M50)-U50/m*SIN(M50))</f>
        <v>15.1947886154742</v>
      </c>
      <c r="E51" s="451" t="n">
        <f aca="false">IF(AND(L50&lt;L_rampe,Poussee&lt;Poids*SIN(M50)),0,(-W50+Poussee)/m*SIN(M50)+U50/m*COS(M50)-Poids/m)</f>
        <v>73.3008788234282</v>
      </c>
      <c r="F51" s="449" t="n">
        <f aca="false">SQRT(acc_x^2+acc_z^2)</f>
        <v>74.8592040924551</v>
      </c>
      <c r="G51" s="450" t="n">
        <f aca="false">G50+acc_x*pas</f>
        <v>6.29743041404286</v>
      </c>
      <c r="H51" s="451" t="n">
        <f aca="false">H50+acc_z*pas</f>
        <v>34.3469317332797</v>
      </c>
      <c r="I51" s="449" t="n">
        <f aca="false">SQRT(vit_x^2+vit_z^2)</f>
        <v>34.9194694878128</v>
      </c>
      <c r="J51" s="450" t="n">
        <f aca="false">J50+0.5*(vit_x+G50)*pas*(K50&gt;=0)</f>
        <v>1.37833286759146</v>
      </c>
      <c r="K51" s="451" t="n">
        <f aca="false">K50+0.5*(vit_z+H50)*pas</f>
        <v>7.73915896621884</v>
      </c>
      <c r="L51" s="449" t="n">
        <f aca="false">SQRT(pos_x^2+pos_z^2)</f>
        <v>7.86094033804407</v>
      </c>
      <c r="M51" s="450" t="n">
        <f aca="false">IF(AND(L50&gt;L_rampe,G51&gt;0),ATAN2(G51,H51),$M$4)</f>
        <v>1.38946266762362</v>
      </c>
      <c r="N51" s="449" t="n">
        <f aca="false">DEGREES(Beta)</f>
        <v>79.6103466458219</v>
      </c>
      <c r="O51" s="438"/>
      <c r="P51" s="452" t="n">
        <f aca="false">MATCH(t-pas/2-T_ini,CdP_t)</f>
        <v>2</v>
      </c>
      <c r="Q51" s="449" t="n">
        <f aca="false">(INDEX(CdP,2,i_P+1)-INDEX(CdP,2,i_P+0))/(INDEX(CdP,1,i_P+1)-INDEX(CdP,1,i_P+0))*(t-pas/2-T_ini-INDEX(CdP,1,i_P+0))+INDEX(CdP,2,i_P+0)</f>
        <v>805.388888888889</v>
      </c>
      <c r="R51" s="450" t="n">
        <f aca="false">Poussee/(g*ISP)</f>
        <v>0.404187158879221</v>
      </c>
      <c r="S51" s="451" t="n">
        <f aca="false">S50-Débit*pas</f>
        <v>9.49491549381307</v>
      </c>
      <c r="T51" s="449" t="n">
        <f aca="false">m*g</f>
        <v>93.1451209943062</v>
      </c>
      <c r="U51" s="453" t="n">
        <f aca="false">IF(pos_xz&lt;L_rampe,Poids*COS(Beta),0)</f>
        <v>0</v>
      </c>
      <c r="V51" s="450" t="n">
        <f aca="false">Rho_moyen*(20000-Alt_rampe-pos_z)/(20000+Alt_rampe+pos_z)</f>
        <v>1.22405231973905</v>
      </c>
      <c r="W51" s="449" t="n">
        <f aca="false">1/2*Rho*Sref*Cx*vit_xz^2</f>
        <v>3.31872672345406</v>
      </c>
      <c r="X51" s="438"/>
      <c r="Y51" s="454" t="str">
        <f aca="false">IF(AND(pos_z&lt;=0,K50&gt;0),"Impact balistique","") &amp; IF(AND(H52&lt;0,vit_z&gt;=0),"Apogée","") &amp; IF(AND(Poussee=0,Q50&gt;0),"Fin de propulsion","") &amp; IF(AND(L52&gt;L_rampe,pos_xz&lt;=L_rampe),"Sortie de rampe","")</f>
        <v/>
      </c>
      <c r="Z51" s="455" t="str">
        <f aca="false">IF(ABS(t-T_para)&lt;pas/2,"Para","")</f>
        <v/>
      </c>
      <c r="AA51" s="456" t="str">
        <f aca="false">IF(ABS(t-T_satellite)&lt;pas/2,"Satellite","")</f>
        <v/>
      </c>
      <c r="AB51" s="444"/>
      <c r="AC51" s="452" t="e">
        <f aca="false">IF(ABS(t-ROUND(t,0))&lt;0.001,t,NA())</f>
        <v>#N/A</v>
      </c>
      <c r="AD51" s="457" t="e">
        <f aca="false">IF(ABS(t-ROUND(t,0))&lt;0.001,pos_x,NA())</f>
        <v>#N/A</v>
      </c>
      <c r="AE51" s="458" t="n">
        <f aca="false">IF(t&lt;T_para, pos_z, NA())</f>
        <v>7.73915896621884</v>
      </c>
      <c r="AF51" s="444"/>
      <c r="AG51" s="450" t="n">
        <f aca="false">IF(AND(L50&lt;L_rampe,Poussee&lt;Poids*SIN(M50)),0,(-W50+Poussee)/m-Poids*SIN(M50)/m)</f>
        <v>74.8384110674461</v>
      </c>
      <c r="AH51" s="449" t="n">
        <f aca="false">IF(AND(L50&lt;L_rampe,Poussee&lt;Poids*SIN(M50)), g*SIN(M50), (-W50+Poussee)/m)</f>
        <v>84.488459447853</v>
      </c>
    </row>
    <row r="52" customFormat="false" ht="12" hidden="false" customHeight="false" outlineLevel="0" collapsed="false">
      <c r="A52" s="448" t="n">
        <f aca="false">IF(B51+0.01&lt;=T_ini+ROUNDUP(Temps_fin_propu,0), 0.01, IF(K51&gt;0, 0.1, 0.0001))</f>
        <v>0.01</v>
      </c>
      <c r="B52" s="449" t="n">
        <f aca="false">B51+pas</f>
        <v>0.48</v>
      </c>
      <c r="C52" s="432"/>
      <c r="D52" s="450" t="n">
        <f aca="false">IF(AND(L51&lt;L_rampe,Poussee&lt;Poids*SIN(M51)),0,(-W51+Poussee)/m*COS(M51)-U51/m*SIN(M51))</f>
        <v>15.2004631703547</v>
      </c>
      <c r="E52" s="451" t="n">
        <f aca="false">IF(AND(L51&lt;L_rampe,Poussee&lt;Poids*SIN(M51)),0,(-W51+Poussee)/m*SIN(M51)+U51/m*COS(M51)-Poids/m)</f>
        <v>73.095127409138</v>
      </c>
      <c r="F52" s="449" t="n">
        <f aca="false">SQRT(acc_x^2+acc_z^2)</f>
        <v>74.6589025605883</v>
      </c>
      <c r="G52" s="450" t="n">
        <f aca="false">G51+acc_x*pas</f>
        <v>6.4494350457464</v>
      </c>
      <c r="H52" s="451" t="n">
        <f aca="false">H51+acc_z*pas</f>
        <v>35.077883007371</v>
      </c>
      <c r="I52" s="449" t="n">
        <f aca="false">SQRT(vit_x^2+vit_z^2)</f>
        <v>35.6658532589382</v>
      </c>
      <c r="J52" s="450" t="n">
        <f aca="false">J51+0.5*(vit_x+G51)*pas*(K51&gt;=0)</f>
        <v>1.44206719489041</v>
      </c>
      <c r="K52" s="451" t="n">
        <f aca="false">K51+0.5*(vit_z+H51)*pas</f>
        <v>8.08628303992209</v>
      </c>
      <c r="L52" s="449" t="n">
        <f aca="false">SQRT(pos_x^2+pos_z^2)</f>
        <v>8.21386213643197</v>
      </c>
      <c r="M52" s="450" t="n">
        <f aca="false">IF(AND(L51&gt;L_rampe,G52&gt;0),ATAN2(G52,H52),$M$4)</f>
        <v>1.38896663282259</v>
      </c>
      <c r="N52" s="449" t="n">
        <f aca="false">DEGREES(Beta)</f>
        <v>79.5819259452316</v>
      </c>
      <c r="O52" s="438"/>
      <c r="P52" s="452" t="n">
        <f aca="false">MATCH(t-pas/2-T_ini,CdP_t)</f>
        <v>2</v>
      </c>
      <c r="Q52" s="449" t="n">
        <f aca="false">(INDEX(CdP,2,i_P+1)-INDEX(CdP,2,i_P+0))/(INDEX(CdP,1,i_P+1)-INDEX(CdP,1,i_P+0))*(t-pas/2-T_ini-INDEX(CdP,1,i_P+0))+INDEX(CdP,2,i_P+0)</f>
        <v>803.277777777778</v>
      </c>
      <c r="R52" s="450" t="n">
        <f aca="false">Poussee/(g*ISP)</f>
        <v>0.403127690572853</v>
      </c>
      <c r="S52" s="451" t="n">
        <f aca="false">S51-Débit*pas</f>
        <v>9.49088421690734</v>
      </c>
      <c r="T52" s="449" t="n">
        <f aca="false">m*g</f>
        <v>93.105574167861</v>
      </c>
      <c r="U52" s="453" t="n">
        <f aca="false">IF(pos_xz&lt;L_rampe,Poids*COS(Beta),0)</f>
        <v>0</v>
      </c>
      <c r="V52" s="450" t="n">
        <f aca="false">Rho_moyen*(20000-Alt_rampe-pos_z)/(20000+Alt_rampe+pos_z)</f>
        <v>1.22400983066708</v>
      </c>
      <c r="W52" s="449" t="n">
        <f aca="false">1/2*Rho*Sref*Cx*vit_xz^2</f>
        <v>3.46199454841926</v>
      </c>
      <c r="X52" s="438"/>
      <c r="Y52" s="454" t="str">
        <f aca="false">IF(AND(pos_z&lt;=0,K51&gt;0),"Impact balistique","") &amp; IF(AND(H53&lt;0,vit_z&gt;=0),"Apogée","") &amp; IF(AND(Poussee=0,Q51&gt;0),"Fin de propulsion","") &amp; IF(AND(L53&gt;L_rampe,pos_xz&lt;=L_rampe),"Sortie de rampe","")</f>
        <v/>
      </c>
      <c r="Z52" s="455" t="str">
        <f aca="false">IF(ABS(t-T_para)&lt;pas/2,"Para","")</f>
        <v/>
      </c>
      <c r="AA52" s="456" t="str">
        <f aca="false">IF(ABS(t-T_satellite)&lt;pas/2,"Satellite","")</f>
        <v/>
      </c>
      <c r="AB52" s="444"/>
      <c r="AC52" s="452" t="e">
        <f aca="false">IF(ABS(t-ROUND(t,0))&lt;0.001,t,NA())</f>
        <v>#N/A</v>
      </c>
      <c r="AD52" s="457" t="e">
        <f aca="false">IF(ABS(t-ROUND(t,0))&lt;0.001,pos_x,NA())</f>
        <v>#N/A</v>
      </c>
      <c r="AE52" s="458" t="n">
        <f aca="false">IF(t&lt;T_para, pos_z, NA())</f>
        <v>8.08628303992209</v>
      </c>
      <c r="AF52" s="444"/>
      <c r="AG52" s="450" t="n">
        <f aca="false">IF(AND(L51&lt;L_rampe,Poussee&lt;Poids*SIN(M51)),0,(-W51+Poussee)/m-Poids*SIN(M51)/m)</f>
        <v>74.6379383324596</v>
      </c>
      <c r="AH52" s="449" t="n">
        <f aca="false">IF(AND(L51&lt;L_rampe,Poussee&lt;Poids*SIN(M51)), g*SIN(M51), (-W51+Poussee)/m)</f>
        <v>84.2870940970129</v>
      </c>
    </row>
    <row r="53" customFormat="false" ht="12" hidden="false" customHeight="false" outlineLevel="0" collapsed="false">
      <c r="A53" s="448" t="n">
        <f aca="false">IF(B52+0.01&lt;=T_ini+ROUNDUP(Temps_fin_propu,0), 0.01, IF(K52&gt;0, 0.1, 0.0001))</f>
        <v>0.01</v>
      </c>
      <c r="B53" s="449" t="n">
        <f aca="false">B52+pas</f>
        <v>0.49</v>
      </c>
      <c r="C53" s="432"/>
      <c r="D53" s="450" t="n">
        <f aca="false">IF(AND(L52&lt;L_rampe,Poussee&lt;Poids*SIN(M52)),0,(-W52+Poussee)/m*COS(M52)-U52/m*SIN(M52))</f>
        <v>15.2050739627604</v>
      </c>
      <c r="E53" s="451" t="n">
        <f aca="false">IF(AND(L52&lt;L_rampe,Poussee&lt;Poids*SIN(M52)),0,(-W52+Poussee)/m*SIN(M52)+U52/m*COS(M52)-Poids/m)</f>
        <v>72.8889963928547</v>
      </c>
      <c r="F53" s="449" t="n">
        <f aca="false">SQRT(acc_x^2+acc_z^2)</f>
        <v>74.458042341782</v>
      </c>
      <c r="G53" s="450" t="n">
        <f aca="false">G52+acc_x*pas</f>
        <v>6.60148578537401</v>
      </c>
      <c r="H53" s="451" t="n">
        <f aca="false">H52+acc_z*pas</f>
        <v>35.8067729712996</v>
      </c>
      <c r="I53" s="449" t="n">
        <f aca="false">SQRT(vit_x^2+vit_z^2)</f>
        <v>36.4102266567057</v>
      </c>
      <c r="J53" s="450" t="n">
        <f aca="false">J52+0.5*(vit_x+G52)*pas*(K52&gt;=0)</f>
        <v>1.50732179904601</v>
      </c>
      <c r="K53" s="451" t="n">
        <f aca="false">K52+0.5*(vit_z+H52)*pas</f>
        <v>8.44070631981545</v>
      </c>
      <c r="L53" s="449" t="n">
        <f aca="false">SQRT(pos_x^2+pos_z^2)</f>
        <v>8.5742371196073</v>
      </c>
      <c r="M53" s="450" t="n">
        <f aca="false">IF(AND(L52&gt;L_rampe,G53&gt;0),ATAN2(G53,H53),$M$4)</f>
        <v>1.38847942450169</v>
      </c>
      <c r="N53" s="449" t="n">
        <f aca="false">DEGREES(Beta)</f>
        <v>79.5540109647001</v>
      </c>
      <c r="O53" s="438"/>
      <c r="P53" s="452" t="n">
        <f aca="false">MATCH(t-pas/2-T_ini,CdP_t)</f>
        <v>2</v>
      </c>
      <c r="Q53" s="449" t="n">
        <f aca="false">(INDEX(CdP,2,i_P+1)-INDEX(CdP,2,i_P+0))/(INDEX(CdP,1,i_P+1)-INDEX(CdP,1,i_P+0))*(t-pas/2-T_ini-INDEX(CdP,1,i_P+0))+INDEX(CdP,2,i_P+0)</f>
        <v>801.166666666667</v>
      </c>
      <c r="R53" s="450" t="n">
        <f aca="false">Poussee/(g*ISP)</f>
        <v>0.402068222266486</v>
      </c>
      <c r="S53" s="451" t="n">
        <f aca="false">S52-Débit*pas</f>
        <v>9.48686353468467</v>
      </c>
      <c r="T53" s="449" t="n">
        <f aca="false">m*g</f>
        <v>93.0661312752567</v>
      </c>
      <c r="U53" s="453" t="n">
        <f aca="false">IF(pos_xz&lt;L_rampe,Poids*COS(Beta),0)</f>
        <v>0</v>
      </c>
      <c r="V53" s="450" t="n">
        <f aca="false">Rho_moyen*(20000-Alt_rampe-pos_z)/(20000+Alt_rampe+pos_z)</f>
        <v>1.22396644967056</v>
      </c>
      <c r="W53" s="449" t="n">
        <f aca="false">1/2*Rho*Sref*Cx*vit_xz^2</f>
        <v>3.60788358141927</v>
      </c>
      <c r="X53" s="438"/>
      <c r="Y53" s="454" t="str">
        <f aca="false">IF(AND(pos_z&lt;=0,K52&gt;0),"Impact balistique","") &amp; IF(AND(H54&lt;0,vit_z&gt;=0),"Apogée","") &amp; IF(AND(Poussee=0,Q52&gt;0),"Fin de propulsion","") &amp; IF(AND(L54&gt;L_rampe,pos_xz&lt;=L_rampe),"Sortie de rampe","")</f>
        <v/>
      </c>
      <c r="Z53" s="455" t="str">
        <f aca="false">IF(ABS(t-T_para)&lt;pas/2,"Para","")</f>
        <v/>
      </c>
      <c r="AA53" s="456" t="str">
        <f aca="false">IF(ABS(t-T_satellite)&lt;pas/2,"Satellite","")</f>
        <v/>
      </c>
      <c r="AB53" s="444"/>
      <c r="AC53" s="452" t="e">
        <f aca="false">IF(ABS(t-ROUND(t,0))&lt;0.001,t,NA())</f>
        <v>#N/A</v>
      </c>
      <c r="AD53" s="457" t="e">
        <f aca="false">IF(ABS(t-ROUND(t,0))&lt;0.001,pos_x,NA())</f>
        <v>#N/A</v>
      </c>
      <c r="AE53" s="458" t="n">
        <f aca="false">IF(t&lt;T_para, pos_z, NA())</f>
        <v>8.44070631981545</v>
      </c>
      <c r="AF53" s="444"/>
      <c r="AG53" s="450" t="n">
        <f aca="false">IF(AND(L52&lt;L_rampe,Poussee&lt;Poids*SIN(M52)),0,(-W52+Poussee)/m-Poids*SIN(M52)/m)</f>
        <v>74.4369076384429</v>
      </c>
      <c r="AH53" s="449" t="n">
        <f aca="false">IF(AND(L52&lt;L_rampe,Poussee&lt;Poids*SIN(M52)), g*SIN(M52), (-W52+Poussee)/m)</f>
        <v>84.0851846557906</v>
      </c>
    </row>
    <row r="54" customFormat="false" ht="12" hidden="false" customHeight="false" outlineLevel="0" collapsed="false">
      <c r="A54" s="448" t="n">
        <f aca="false">IF(B53+0.01&lt;=T_ini+ROUNDUP(Temps_fin_propu,0), 0.01, IF(K53&gt;0, 0.1, 0.0001))</f>
        <v>0.01</v>
      </c>
      <c r="B54" s="449" t="n">
        <f aca="false">B53+pas</f>
        <v>0.5</v>
      </c>
      <c r="C54" s="432"/>
      <c r="D54" s="450" t="n">
        <f aca="false">IF(AND(L53&lt;L_rampe,Poussee&lt;Poids*SIN(M53)),0,(-W53+Poussee)/m*COS(M53)-U53/m*SIN(M53))</f>
        <v>15.2086577339859</v>
      </c>
      <c r="E54" s="451" t="n">
        <f aca="false">IF(AND(L53&lt;L_rampe,Poussee&lt;Poids*SIN(M53)),0,(-W53+Poussee)/m*SIN(M53)+U53/m*COS(M53)-Poids/m)</f>
        <v>72.6824831142662</v>
      </c>
      <c r="F54" s="449" t="n">
        <f aca="false">SQRT(acc_x^2+acc_z^2)</f>
        <v>74.2566267866048</v>
      </c>
      <c r="G54" s="450" t="n">
        <f aca="false">G53+acc_x*pas</f>
        <v>6.75357236271387</v>
      </c>
      <c r="H54" s="451" t="n">
        <f aca="false">H53+acc_z*pas</f>
        <v>36.5335978024423</v>
      </c>
      <c r="I54" s="449" t="n">
        <f aca="false">SQRT(vit_x^2+vit_z^2)</f>
        <v>37.1525841368945</v>
      </c>
      <c r="J54" s="450" t="n">
        <f aca="false">J53+0.5*(vit_x+G53)*pas*(K53&gt;=0)</f>
        <v>1.57409708978645</v>
      </c>
      <c r="K54" s="451" t="n">
        <f aca="false">K53+0.5*(vit_z+H53)*pas</f>
        <v>8.80240817368416</v>
      </c>
      <c r="L54" s="449" t="n">
        <f aca="false">SQRT(pos_x^2+pos_z^2)</f>
        <v>8.94204514102986</v>
      </c>
      <c r="M54" s="450" t="n">
        <f aca="false">IF(AND(L53&gt;L_rampe,G54&gt;0),ATAN2(G54,H54),$M$4)</f>
        <v>1.38800068605361</v>
      </c>
      <c r="N54" s="449" t="n">
        <f aca="false">DEGREES(Beta)</f>
        <v>79.5265812721344</v>
      </c>
      <c r="O54" s="438"/>
      <c r="P54" s="452" t="n">
        <f aca="false">MATCH(t-pas/2-T_ini,CdP_t)</f>
        <v>2</v>
      </c>
      <c r="Q54" s="449" t="n">
        <f aca="false">(INDEX(CdP,2,i_P+1)-INDEX(CdP,2,i_P+0))/(INDEX(CdP,1,i_P+1)-INDEX(CdP,1,i_P+0))*(t-pas/2-T_ini-INDEX(CdP,1,i_P+0))+INDEX(CdP,2,i_P+0)</f>
        <v>799.055555555556</v>
      </c>
      <c r="R54" s="450" t="n">
        <f aca="false">Poussee/(g*ISP)</f>
        <v>0.401008753960118</v>
      </c>
      <c r="S54" s="451" t="n">
        <f aca="false">S53-Débit*pas</f>
        <v>9.48285344714507</v>
      </c>
      <c r="T54" s="449" t="n">
        <f aca="false">m*g</f>
        <v>93.0267923164932</v>
      </c>
      <c r="U54" s="453" t="n">
        <f aca="false">IF(pos_xz&lt;L_rampe,Poids*COS(Beta),0)</f>
        <v>0</v>
      </c>
      <c r="V54" s="450" t="n">
        <f aca="false">Rho_moyen*(20000-Alt_rampe-pos_z)/(20000+Alt_rampe+pos_z)</f>
        <v>1.22392217936958</v>
      </c>
      <c r="W54" s="449" t="n">
        <f aca="false">1/2*Rho*Sref*Cx*vit_xz^2</f>
        <v>3.75636767532671</v>
      </c>
      <c r="X54" s="438"/>
      <c r="Y54" s="454" t="str">
        <f aca="false">IF(AND(pos_z&lt;=0,K53&gt;0),"Impact balistique","") &amp; IF(AND(H55&lt;0,vit_z&gt;=0),"Apogée","") &amp; IF(AND(Poussee=0,Q53&gt;0),"Fin de propulsion","") &amp; IF(AND(L55&gt;L_rampe,pos_xz&lt;=L_rampe),"Sortie de rampe","")</f>
        <v/>
      </c>
      <c r="Z54" s="455" t="str">
        <f aca="false">IF(ABS(t-T_para)&lt;pas/2,"Para","")</f>
        <v/>
      </c>
      <c r="AA54" s="456" t="str">
        <f aca="false">IF(ABS(t-T_satellite)&lt;pas/2,"Satellite","")</f>
        <v/>
      </c>
      <c r="AB54" s="444"/>
      <c r="AC54" s="452" t="e">
        <f aca="false">IF(ABS(t-ROUND(t,0))&lt;0.001,t,NA())</f>
        <v>#N/A</v>
      </c>
      <c r="AD54" s="457" t="e">
        <f aca="false">IF(ABS(t-ROUND(t,0))&lt;0.001,pos_x,NA())</f>
        <v>#N/A</v>
      </c>
      <c r="AE54" s="458" t="n">
        <f aca="false">IF(t&lt;T_para, pos_z, NA())</f>
        <v>8.80240817368416</v>
      </c>
      <c r="AF54" s="444"/>
      <c r="AG54" s="450" t="n">
        <f aca="false">IF(AND(L53&lt;L_rampe,Poussee&lt;Poids*SIN(M53)),0,(-W53+Poussee)/m-Poids*SIN(M53)/m)</f>
        <v>74.2353222679148</v>
      </c>
      <c r="AH54" s="449" t="n">
        <f aca="false">IF(AND(L53&lt;L_rampe,Poussee&lt;Poids*SIN(M53)), g*SIN(M53), (-W53+Poussee)/m)</f>
        <v>83.882733863573</v>
      </c>
    </row>
    <row r="55" customFormat="false" ht="12" hidden="false" customHeight="false" outlineLevel="0" collapsed="false">
      <c r="A55" s="448" t="n">
        <f aca="false">IF(B54+0.01&lt;=T_ini+ROUNDUP(Temps_fin_propu,0), 0.01, IF(K54&gt;0, 0.1, 0.0001))</f>
        <v>0.01</v>
      </c>
      <c r="B55" s="449" t="n">
        <f aca="false">B54+pas</f>
        <v>0.51</v>
      </c>
      <c r="C55" s="432"/>
      <c r="D55" s="450" t="n">
        <f aca="false">IF(AND(L54&lt;L_rampe,Poussee&lt;Poids*SIN(M54)),0,(-W54+Poussee)/m*COS(M54)-U54/m*SIN(M54))</f>
        <v>15.2201809098948</v>
      </c>
      <c r="E55" s="451" t="n">
        <f aca="false">IF(AND(L54&lt;L_rampe,Poussee&lt;Poids*SIN(M54)),0,(-W54+Poussee)/m*SIN(M54)+U54/m*COS(M54)-Poids/m)</f>
        <v>72.5239024117692</v>
      </c>
      <c r="F55" s="449" t="n">
        <f aca="false">SQRT(acc_x^2+acc_z^2)</f>
        <v>74.1037807939767</v>
      </c>
      <c r="G55" s="450" t="n">
        <f aca="false">G54+acc_x*pas</f>
        <v>6.90577417181281</v>
      </c>
      <c r="H55" s="451" t="n">
        <f aca="false">H54+acc_z*pas</f>
        <v>37.2588368265599</v>
      </c>
      <c r="I55" s="449" t="n">
        <f aca="false">SQRT(vit_x^2+vit_z^2)</f>
        <v>37.8934115458122</v>
      </c>
      <c r="J55" s="450" t="n">
        <f aca="false">J54+0.5*(vit_x+G54)*pas*(K54&gt;=0)</f>
        <v>1.64239382245908</v>
      </c>
      <c r="K55" s="451" t="n">
        <f aca="false">K54+0.5*(vit_z+H54)*pas</f>
        <v>9.17137034682917</v>
      </c>
      <c r="L55" s="449" t="n">
        <f aca="false">SQRT(pos_x^2+pos_z^2)</f>
        <v>9.31726845737253</v>
      </c>
      <c r="M55" s="450" t="n">
        <f aca="false">IF(AND(L54&gt;L_rampe,G55&gt;0),ATAN2(G55,H55),$M$4)</f>
        <v>1.38753008830186</v>
      </c>
      <c r="N55" s="449" t="n">
        <f aca="false">DEGREES(Beta)</f>
        <v>79.4996180071113</v>
      </c>
      <c r="O55" s="438"/>
      <c r="P55" s="452" t="n">
        <f aca="false">MATCH(t-pas/2-T_ini,CdP_t)</f>
        <v>3</v>
      </c>
      <c r="Q55" s="449" t="n">
        <f aca="false">(INDEX(CdP,2,i_P+1)-INDEX(CdP,2,i_P+0))/(INDEX(CdP,1,i_P+1)-INDEX(CdP,1,i_P+0))*(t-pas/2-T_ini-INDEX(CdP,1,i_P+0))+INDEX(CdP,2,i_P+0)</f>
        <v>797.41</v>
      </c>
      <c r="R55" s="450" t="n">
        <f aca="false">Poussee/(g*ISP)</f>
        <v>0.40018292629605</v>
      </c>
      <c r="S55" s="451" t="n">
        <f aca="false">S54-Débit*pas</f>
        <v>9.47885161788211</v>
      </c>
      <c r="T55" s="449" t="n">
        <f aca="false">m*g</f>
        <v>92.9875343714235</v>
      </c>
      <c r="U55" s="453" t="n">
        <f aca="false">IF(pos_xz&lt;L_rampe,Poids*COS(Beta),0)</f>
        <v>0</v>
      </c>
      <c r="V55" s="450" t="n">
        <f aca="false">Rho_moyen*(20000-Alt_rampe-pos_z)/(20000+Alt_rampe+pos_z)</f>
        <v>1.22387702209483</v>
      </c>
      <c r="W55" s="449" t="n">
        <f aca="false">1/2*Rho*Sref*Cx*vit_xz^2</f>
        <v>3.90752199478938</v>
      </c>
      <c r="X55" s="438"/>
      <c r="Y55" s="454" t="str">
        <f aca="false">IF(AND(pos_z&lt;=0,K54&gt;0),"Impact balistique","") &amp; IF(AND(H56&lt;0,vit_z&gt;=0),"Apogée","") &amp; IF(AND(Poussee=0,Q54&gt;0),"Fin de propulsion","") &amp; IF(AND(L56&gt;L_rampe,pos_xz&lt;=L_rampe),"Sortie de rampe","")</f>
        <v/>
      </c>
      <c r="Z55" s="455" t="str">
        <f aca="false">IF(ABS(t-T_para)&lt;pas/2,"Para","")</f>
        <v/>
      </c>
      <c r="AA55" s="456" t="str">
        <f aca="false">IF(ABS(t-T_satellite)&lt;pas/2,"Satellite","")</f>
        <v/>
      </c>
      <c r="AB55" s="444"/>
      <c r="AC55" s="452" t="e">
        <f aca="false">IF(ABS(t-ROUND(t,0))&lt;0.001,t,NA())</f>
        <v>#N/A</v>
      </c>
      <c r="AD55" s="457" t="e">
        <f aca="false">IF(ABS(t-ROUND(t,0))&lt;0.001,pos_x,NA())</f>
        <v>#N/A</v>
      </c>
      <c r="AE55" s="458" t="n">
        <f aca="false">IF(t&lt;T_para, pos_z, NA())</f>
        <v>9.17137034682917</v>
      </c>
      <c r="AF55" s="444"/>
      <c r="AG55" s="450" t="n">
        <f aca="false">IF(AND(L54&lt;L_rampe,Poussee&lt;Poids*SIN(M54)),0,(-W54+Poussee)/m-Poids*SIN(M54)/m)</f>
        <v>74.0823212937829</v>
      </c>
      <c r="AH55" s="449" t="n">
        <f aca="false">IF(AND(L54&lt;L_rampe,Poussee&lt;Poids*SIN(M54)), g*SIN(M54), (-W54+Poussee)/m)</f>
        <v>83.728880282019</v>
      </c>
    </row>
    <row r="56" customFormat="false" ht="12" hidden="false" customHeight="false" outlineLevel="0" collapsed="false">
      <c r="A56" s="448" t="n">
        <f aca="false">IF(B55+0.01&lt;=T_ini+ROUNDUP(Temps_fin_propu,0), 0.01, IF(K55&gt;0, 0.1, 0.0001))</f>
        <v>0.01</v>
      </c>
      <c r="B56" s="449" t="n">
        <f aca="false">B55+pas</f>
        <v>0.52</v>
      </c>
      <c r="C56" s="432"/>
      <c r="D56" s="450" t="n">
        <f aca="false">IF(AND(L55&lt;L_rampe,Poussee&lt;Poids*SIN(M55)),0,(-W55+Poussee)/m*COS(M55)-U55/m*SIN(M55))</f>
        <v>15.2397568398961</v>
      </c>
      <c r="E56" s="451" t="n">
        <f aca="false">IF(AND(L55&lt;L_rampe,Poussee&lt;Poids*SIN(M55)),0,(-W55+Poussee)/m*SIN(M55)+U55/m*COS(M55)-Poids/m)</f>
        <v>72.4133104134486</v>
      </c>
      <c r="F56" s="449" t="n">
        <f aca="false">SQRT(acc_x^2+acc_z^2)</f>
        <v>73.9995791445709</v>
      </c>
      <c r="G56" s="450" t="n">
        <f aca="false">G55+acc_x*pas</f>
        <v>7.05817174021177</v>
      </c>
      <c r="H56" s="451" t="n">
        <f aca="false">H55+acc_z*pas</f>
        <v>37.9829699306944</v>
      </c>
      <c r="I56" s="449" t="n">
        <f aca="false">SQRT(vit_x^2+vit_z^2)</f>
        <v>38.6331954809638</v>
      </c>
      <c r="J56" s="450" t="n">
        <f aca="false">J55+0.5*(vit_x+G55)*pas*(K55&gt;=0)</f>
        <v>1.71221355201921</v>
      </c>
      <c r="K56" s="451" t="n">
        <f aca="false">K55+0.5*(vit_z+H55)*pas</f>
        <v>9.54757938061544</v>
      </c>
      <c r="L56" s="449" t="n">
        <f aca="false">SQRT(pos_x^2+pos_z^2)</f>
        <v>9.69989418895234</v>
      </c>
      <c r="M56" s="450" t="n">
        <f aca="false">IF(AND(L55&gt;L_rampe,G56&gt;0),ATAN2(G56,H56),$M$4)</f>
        <v>1.38706732697576</v>
      </c>
      <c r="N56" s="449" t="n">
        <f aca="false">DEGREES(Beta)</f>
        <v>79.4731037362034</v>
      </c>
      <c r="O56" s="438"/>
      <c r="P56" s="452" t="n">
        <f aca="false">MATCH(t-pas/2-T_ini,CdP_t)</f>
        <v>3</v>
      </c>
      <c r="Q56" s="449" t="n">
        <f aca="false">(INDEX(CdP,2,i_P+1)-INDEX(CdP,2,i_P+0))/(INDEX(CdP,1,i_P+1)-INDEX(CdP,1,i_P+0))*(t-pas/2-T_ini-INDEX(CdP,1,i_P+0))+INDEX(CdP,2,i_P+0)</f>
        <v>796.23</v>
      </c>
      <c r="R56" s="450" t="n">
        <f aca="false">Poussee/(g*ISP)</f>
        <v>0.39959073927428</v>
      </c>
      <c r="S56" s="451" t="n">
        <f aca="false">S55-Débit*pas</f>
        <v>9.47485571048937</v>
      </c>
      <c r="T56" s="449" t="n">
        <f aca="false">m*g</f>
        <v>92.9483345199007</v>
      </c>
      <c r="U56" s="453" t="n">
        <f aca="false">IF(pos_xz&lt;L_rampe,Poids*COS(Beta),0)</f>
        <v>0</v>
      </c>
      <c r="V56" s="450" t="n">
        <f aca="false">Rho_moyen*(20000-Alt_rampe-pos_z)/(20000+Alt_rampe+pos_z)</f>
        <v>1.22383097959163</v>
      </c>
      <c r="W56" s="449" t="n">
        <f aca="false">1/2*Rho*Sref*Cx*vit_xz^2</f>
        <v>4.06142972190037</v>
      </c>
      <c r="X56" s="438"/>
      <c r="Y56" s="454" t="str">
        <f aca="false">IF(AND(pos_z&lt;=0,K55&gt;0),"Impact balistique","") &amp; IF(AND(H57&lt;0,vit_z&gt;=0),"Apogée","") &amp; IF(AND(Poussee=0,Q55&gt;0),"Fin de propulsion","") &amp; IF(AND(L57&gt;L_rampe,pos_xz&lt;=L_rampe),"Sortie de rampe","")</f>
        <v/>
      </c>
      <c r="Z56" s="455" t="str">
        <f aca="false">IF(ABS(t-T_para)&lt;pas/2,"Para","")</f>
        <v/>
      </c>
      <c r="AA56" s="456" t="str">
        <f aca="false">IF(ABS(t-T_satellite)&lt;pas/2,"Satellite","")</f>
        <v/>
      </c>
      <c r="AB56" s="444"/>
      <c r="AC56" s="452" t="e">
        <f aca="false">IF(ABS(t-ROUND(t,0))&lt;0.001,t,NA())</f>
        <v>#N/A</v>
      </c>
      <c r="AD56" s="457" t="e">
        <f aca="false">IF(ABS(t-ROUND(t,0))&lt;0.001,pos_x,NA())</f>
        <v>#N/A</v>
      </c>
      <c r="AE56" s="458" t="n">
        <f aca="false">IF(t&lt;T_para, pos_z, NA())</f>
        <v>9.54757938061544</v>
      </c>
      <c r="AF56" s="444"/>
      <c r="AG56" s="450" t="n">
        <f aca="false">IF(AND(L55&lt;L_rampe,Poussee&lt;Poids*SIN(M55)),0,(-W55+Poussee)/m-Poids*SIN(M55)/m)</f>
        <v>73.9779798539986</v>
      </c>
      <c r="AH56" s="449" t="n">
        <f aca="false">IF(AND(L55&lt;L_rampe,Poussee&lt;Poids*SIN(M55)), g*SIN(M55), (-W55+Poussee)/m)</f>
        <v>83.6236985781273</v>
      </c>
    </row>
    <row r="57" customFormat="false" ht="12" hidden="false" customHeight="false" outlineLevel="0" collapsed="false">
      <c r="A57" s="448" t="n">
        <f aca="false">IF(B56+0.01&lt;=T_ini+ROUNDUP(Temps_fin_propu,0), 0.01, IF(K56&gt;0, 0.1, 0.0001))</f>
        <v>0.01</v>
      </c>
      <c r="B57" s="449" t="n">
        <f aca="false">B56+pas</f>
        <v>0.53</v>
      </c>
      <c r="C57" s="432"/>
      <c r="D57" s="450" t="n">
        <f aca="false">IF(AND(L56&lt;L_rampe,Poussee&lt;Poids*SIN(M56)),0,(-W56+Poussee)/m*COS(M56)-U56/m*SIN(M56))</f>
        <v>15.2585097148861</v>
      </c>
      <c r="E57" s="451" t="n">
        <f aca="false">IF(AND(L56&lt;L_rampe,Poussee&lt;Poids*SIN(M56)),0,(-W56+Poussee)/m*SIN(M56)+U56/m*COS(M56)-Poids/m)</f>
        <v>72.3024133868609</v>
      </c>
      <c r="F57" s="449" t="n">
        <f aca="false">SQRT(acc_x^2+acc_z^2)</f>
        <v>73.8949328457899</v>
      </c>
      <c r="G57" s="450" t="n">
        <f aca="false">G56+acc_x*pas</f>
        <v>7.21075683736064</v>
      </c>
      <c r="H57" s="451" t="n">
        <f aca="false">H56+acc_z*pas</f>
        <v>38.705994064563</v>
      </c>
      <c r="I57" s="449" t="n">
        <f aca="false">SQRT(vit_x^2+vit_z^2)</f>
        <v>39.3719315082907</v>
      </c>
      <c r="J57" s="450" t="n">
        <f aca="false">J56+0.5*(vit_x+G56)*pas*(K56&gt;=0)</f>
        <v>1.78355819490707</v>
      </c>
      <c r="K57" s="451" t="n">
        <f aca="false">K56+0.5*(vit_z+H56)*pas</f>
        <v>9.93102420059173</v>
      </c>
      <c r="L57" s="449" t="n">
        <f aca="false">SQRT(pos_x^2+pos_z^2)</f>
        <v>10.0899118681661</v>
      </c>
      <c r="M57" s="450" t="n">
        <f aca="false">IF(AND(L56&gt;L_rampe,G57&gt;0),ATAN2(G57,H57),$M$4)</f>
        <v>1.38661211477745</v>
      </c>
      <c r="N57" s="449" t="n">
        <f aca="false">DEGREES(Beta)</f>
        <v>79.4470219984575</v>
      </c>
      <c r="O57" s="438"/>
      <c r="P57" s="452" t="n">
        <f aca="false">MATCH(t-pas/2-T_ini,CdP_t)</f>
        <v>3</v>
      </c>
      <c r="Q57" s="449" t="n">
        <f aca="false">(INDEX(CdP,2,i_P+1)-INDEX(CdP,2,i_P+0))/(INDEX(CdP,1,i_P+1)-INDEX(CdP,1,i_P+0))*(t-pas/2-T_ini-INDEX(CdP,1,i_P+0))+INDEX(CdP,2,i_P+0)</f>
        <v>795.05</v>
      </c>
      <c r="R57" s="450" t="n">
        <f aca="false">Poussee/(g*ISP)</f>
        <v>0.39899855225251</v>
      </c>
      <c r="S57" s="451" t="n">
        <f aca="false">S56-Débit*pas</f>
        <v>9.47086572496684</v>
      </c>
      <c r="T57" s="449" t="n">
        <f aca="false">m*g</f>
        <v>92.9091927619247</v>
      </c>
      <c r="U57" s="453" t="n">
        <f aca="false">IF(pos_xz&lt;L_rampe,Poids*COS(Beta),0)</f>
        <v>0</v>
      </c>
      <c r="V57" s="450" t="n">
        <f aca="false">Rho_moyen*(20000-Alt_rampe-pos_z)/(20000+Alt_rampe+pos_z)</f>
        <v>1.22378405331523</v>
      </c>
      <c r="W57" s="449" t="n">
        <f aca="false">1/2*Rho*Sref*Cx*vit_xz^2</f>
        <v>4.21807666180956</v>
      </c>
      <c r="X57" s="438"/>
      <c r="Y57" s="454" t="str">
        <f aca="false">IF(AND(pos_z&lt;=0,K56&gt;0),"Impact balistique","") &amp; IF(AND(H58&lt;0,vit_z&gt;=0),"Apogée","") &amp; IF(AND(Poussee=0,Q56&gt;0),"Fin de propulsion","") &amp; IF(AND(L58&gt;L_rampe,pos_xz&lt;=L_rampe),"Sortie de rampe","")</f>
        <v/>
      </c>
      <c r="Z57" s="455" t="str">
        <f aca="false">IF(ABS(t-T_para)&lt;pas/2,"Para","")</f>
        <v/>
      </c>
      <c r="AA57" s="456" t="str">
        <f aca="false">IF(ABS(t-T_satellite)&lt;pas/2,"Satellite","")</f>
        <v/>
      </c>
      <c r="AB57" s="444"/>
      <c r="AC57" s="452" t="e">
        <f aca="false">IF(ABS(t-ROUND(t,0))&lt;0.001,t,NA())</f>
        <v>#N/A</v>
      </c>
      <c r="AD57" s="457" t="e">
        <f aca="false">IF(ABS(t-ROUND(t,0))&lt;0.001,pos_x,NA())</f>
        <v>#N/A</v>
      </c>
      <c r="AE57" s="458" t="n">
        <f aca="false">IF(t&lt;T_para, pos_z, NA())</f>
        <v>9.93102420059173</v>
      </c>
      <c r="AF57" s="444"/>
      <c r="AG57" s="450" t="n">
        <f aca="false">IF(AND(L56&lt;L_rampe,Poussee&lt;Poids*SIN(M56)),0,(-W56+Poussee)/m-Poids*SIN(M56)/m)</f>
        <v>73.873194803764</v>
      </c>
      <c r="AH57" s="449" t="n">
        <f aca="false">IF(AND(L56&lt;L_rampe,Poussee&lt;Poids*SIN(M56)), g*SIN(M56), (-W56+Poussee)/m)</f>
        <v>83.5180851728176</v>
      </c>
    </row>
    <row r="58" customFormat="false" ht="12" hidden="false" customHeight="false" outlineLevel="0" collapsed="false">
      <c r="A58" s="448" t="n">
        <f aca="false">IF(B57+0.01&lt;=T_ini+ROUNDUP(Temps_fin_propu,0), 0.01, IF(K57&gt;0, 0.1, 0.0001))</f>
        <v>0.01</v>
      </c>
      <c r="B58" s="449" t="n">
        <f aca="false">B57+pas</f>
        <v>0.54</v>
      </c>
      <c r="C58" s="432"/>
      <c r="D58" s="450" t="n">
        <f aca="false">IF(AND(L57&lt;L_rampe,Poussee&lt;Poids*SIN(M57)),0,(-W57+Poussee)/m*COS(M57)-U57/m*SIN(M57))</f>
        <v>15.2764653266567</v>
      </c>
      <c r="E58" s="451" t="n">
        <f aca="false">IF(AND(L57&lt;L_rampe,Poussee&lt;Poids*SIN(M57)),0,(-W57+Poussee)/m*SIN(M57)+U57/m*COS(M57)-Poids/m)</f>
        <v>72.1912086938587</v>
      </c>
      <c r="F58" s="449" t="n">
        <f aca="false">SQRT(acc_x^2+acc_z^2)</f>
        <v>73.7898435122125</v>
      </c>
      <c r="G58" s="450" t="n">
        <f aca="false">G57+acc_x*pas</f>
        <v>7.3635214906272</v>
      </c>
      <c r="H58" s="451" t="n">
        <f aca="false">H57+acc_z*pas</f>
        <v>39.4279061515016</v>
      </c>
      <c r="I58" s="449" t="n">
        <f aca="false">SQRT(vit_x^2+vit_z^2)</f>
        <v>40.1096152092556</v>
      </c>
      <c r="J58" s="450" t="n">
        <f aca="false">J57+0.5*(vit_x+G57)*pas*(K57&gt;=0)</f>
        <v>1.85642958654701</v>
      </c>
      <c r="K58" s="451" t="n">
        <f aca="false">K57+0.5*(vit_z+H57)*pas</f>
        <v>10.321693701672</v>
      </c>
      <c r="L58" s="449" t="n">
        <f aca="false">SQRT(pos_x^2+pos_z^2)</f>
        <v>10.4873109842773</v>
      </c>
      <c r="M58" s="450" t="n">
        <f aca="false">IF(AND(L57&gt;L_rampe,G58&gt;0),ATAN2(G58,H58),$M$4)</f>
        <v>1.38616418013034</v>
      </c>
      <c r="N58" s="449" t="n">
        <f aca="false">DEGREES(Beta)</f>
        <v>79.4213572336806</v>
      </c>
      <c r="O58" s="438"/>
      <c r="P58" s="452" t="n">
        <f aca="false">MATCH(t-pas/2-T_ini,CdP_t)</f>
        <v>3</v>
      </c>
      <c r="Q58" s="449" t="n">
        <f aca="false">(INDEX(CdP,2,i_P+1)-INDEX(CdP,2,i_P+0))/(INDEX(CdP,1,i_P+1)-INDEX(CdP,1,i_P+0))*(t-pas/2-T_ini-INDEX(CdP,1,i_P+0))+INDEX(CdP,2,i_P+0)</f>
        <v>793.87</v>
      </c>
      <c r="R58" s="450" t="n">
        <f aca="false">Poussee/(g*ISP)</f>
        <v>0.398406365230741</v>
      </c>
      <c r="S58" s="451" t="n">
        <f aca="false">S57-Débit*pas</f>
        <v>9.46688166131454</v>
      </c>
      <c r="T58" s="449" t="n">
        <f aca="false">m*g</f>
        <v>92.8701090974956</v>
      </c>
      <c r="U58" s="453" t="n">
        <f aca="false">IF(pos_xz&lt;L_rampe,Poids*COS(Beta),0)</f>
        <v>0</v>
      </c>
      <c r="V58" s="450" t="n">
        <f aca="false">Rho_moyen*(20000-Alt_rampe-pos_z)/(20000+Alt_rampe+pos_z)</f>
        <v>1.22373624472629</v>
      </c>
      <c r="W58" s="449" t="n">
        <f aca="false">1/2*Rho*Sref*Cx*vit_xz^2</f>
        <v>4.37744856051492</v>
      </c>
      <c r="X58" s="438"/>
      <c r="Y58" s="454" t="str">
        <f aca="false">IF(AND(pos_z&lt;=0,K57&gt;0),"Impact balistique","") &amp; IF(AND(H59&lt;0,vit_z&gt;=0),"Apogée","") &amp; IF(AND(Poussee=0,Q57&gt;0),"Fin de propulsion","") &amp; IF(AND(L59&gt;L_rampe,pos_xz&lt;=L_rampe),"Sortie de rampe","")</f>
        <v/>
      </c>
      <c r="Z58" s="455" t="str">
        <f aca="false">IF(ABS(t-T_para)&lt;pas/2,"Para","")</f>
        <v/>
      </c>
      <c r="AA58" s="456" t="str">
        <f aca="false">IF(ABS(t-T_satellite)&lt;pas/2,"Satellite","")</f>
        <v/>
      </c>
      <c r="AB58" s="444"/>
      <c r="AC58" s="452" t="e">
        <f aca="false">IF(ABS(t-ROUND(t,0))&lt;0.001,t,NA())</f>
        <v>#N/A</v>
      </c>
      <c r="AD58" s="457" t="e">
        <f aca="false">IF(ABS(t-ROUND(t,0))&lt;0.001,pos_x,NA())</f>
        <v>#N/A</v>
      </c>
      <c r="AE58" s="458" t="n">
        <f aca="false">IF(t&lt;T_para, pos_z, NA())</f>
        <v>10.321693701672</v>
      </c>
      <c r="AF58" s="444"/>
      <c r="AG58" s="450" t="n">
        <f aca="false">IF(AND(L57&lt;L_rampe,Poussee&lt;Poids*SIN(M57)),0,(-W57+Poussee)/m-Poids*SIN(M57)/m)</f>
        <v>73.7679677059134</v>
      </c>
      <c r="AH58" s="449" t="n">
        <f aca="false">IF(AND(L57&lt;L_rampe,Poussee&lt;Poids*SIN(M57)), g*SIN(M57), (-W57+Poussee)/m)</f>
        <v>83.4120412178621</v>
      </c>
    </row>
    <row r="59" customFormat="false" ht="12" hidden="false" customHeight="false" outlineLevel="0" collapsed="false">
      <c r="A59" s="448" t="n">
        <f aca="false">IF(B58+0.01&lt;=T_ini+ROUNDUP(Temps_fin_propu,0), 0.01, IF(K58&gt;0, 0.1, 0.0001))</f>
        <v>0.01</v>
      </c>
      <c r="B59" s="449" t="n">
        <f aca="false">B58+pas</f>
        <v>0.55</v>
      </c>
      <c r="C59" s="432"/>
      <c r="D59" s="450" t="n">
        <f aca="false">IF(AND(L58&lt;L_rampe,Poussee&lt;Poids*SIN(M58)),0,(-W58+Poussee)/m*COS(M58)-U58/m*SIN(M58))</f>
        <v>15.2936480725386</v>
      </c>
      <c r="E59" s="451" t="n">
        <f aca="false">IF(AND(L58&lt;L_rampe,Poussee&lt;Poids*SIN(M58)),0,(-W58+Poussee)/m*SIN(M58)+U58/m*COS(M58)-Poids/m)</f>
        <v>72.0796939033425</v>
      </c>
      <c r="F59" s="449" t="n">
        <f aca="false">SQRT(acc_x^2+acc_z^2)</f>
        <v>73.684312744072</v>
      </c>
      <c r="G59" s="450" t="n">
        <f aca="false">G58+acc_x*pas</f>
        <v>7.51645797135259</v>
      </c>
      <c r="H59" s="451" t="n">
        <f aca="false">H58+acc_z*pas</f>
        <v>40.1487030905351</v>
      </c>
      <c r="I59" s="449" t="n">
        <f aca="false">SQRT(vit_x^2+vit_z^2)</f>
        <v>40.8462421807325</v>
      </c>
      <c r="J59" s="450" t="n">
        <f aca="false">J58+0.5*(vit_x+G58)*pas*(K58&gt;=0)</f>
        <v>1.93082948385691</v>
      </c>
      <c r="K59" s="451" t="n">
        <f aca="false">K58+0.5*(vit_z+H58)*pas</f>
        <v>10.7195767478822</v>
      </c>
      <c r="L59" s="449" t="n">
        <f aca="false">SQRT(pos_x^2+pos_z^2)</f>
        <v>10.8920809834241</v>
      </c>
      <c r="M59" s="450" t="n">
        <f aca="false">IF(AND(L58&gt;L_rampe,G59&gt;0),ATAN2(G59,H59),$M$4)</f>
        <v>1.38572326604135</v>
      </c>
      <c r="N59" s="449" t="n">
        <f aca="false">DEGREES(Beta)</f>
        <v>79.3960947172536</v>
      </c>
      <c r="O59" s="438"/>
      <c r="P59" s="452" t="n">
        <f aca="false">MATCH(t-pas/2-T_ini,CdP_t)</f>
        <v>3</v>
      </c>
      <c r="Q59" s="449" t="n">
        <f aca="false">(INDEX(CdP,2,i_P+1)-INDEX(CdP,2,i_P+0))/(INDEX(CdP,1,i_P+1)-INDEX(CdP,1,i_P+0))*(t-pas/2-T_ini-INDEX(CdP,1,i_P+0))+INDEX(CdP,2,i_P+0)</f>
        <v>792.69</v>
      </c>
      <c r="R59" s="450" t="n">
        <f aca="false">Poussee/(g*ISP)</f>
        <v>0.397814178208971</v>
      </c>
      <c r="S59" s="451" t="n">
        <f aca="false">S58-Débit*pas</f>
        <v>9.46290351953245</v>
      </c>
      <c r="T59" s="449" t="n">
        <f aca="false">m*g</f>
        <v>92.8310835266133</v>
      </c>
      <c r="U59" s="453" t="n">
        <f aca="false">IF(pos_xz&lt;L_rampe,Poids*COS(Beta),0)</f>
        <v>0</v>
      </c>
      <c r="V59" s="450" t="n">
        <f aca="false">Rho_moyen*(20000-Alt_rampe-pos_z)/(20000+Alt_rampe+pos_z)</f>
        <v>1.22368755529097</v>
      </c>
      <c r="W59" s="449" t="n">
        <f aca="false">1/2*Rho*Sref*Cx*vit_xz^2</f>
        <v>4.53953110554661</v>
      </c>
      <c r="X59" s="438"/>
      <c r="Y59" s="454" t="str">
        <f aca="false">IF(AND(pos_z&lt;=0,K58&gt;0),"Impact balistique","") &amp; IF(AND(H60&lt;0,vit_z&gt;=0),"Apogée","") &amp; IF(AND(Poussee=0,Q58&gt;0),"Fin de propulsion","") &amp; IF(AND(L60&gt;L_rampe,pos_xz&lt;=L_rampe),"Sortie de rampe","")</f>
        <v/>
      </c>
      <c r="Z59" s="455" t="str">
        <f aca="false">IF(ABS(t-T_para)&lt;pas/2,"Para","")</f>
        <v/>
      </c>
      <c r="AA59" s="456" t="str">
        <f aca="false">IF(ABS(t-T_satellite)&lt;pas/2,"Satellite","")</f>
        <v/>
      </c>
      <c r="AB59" s="444"/>
      <c r="AC59" s="452" t="e">
        <f aca="false">IF(ABS(t-ROUND(t,0))&lt;0.001,t,NA())</f>
        <v>#N/A</v>
      </c>
      <c r="AD59" s="457" t="e">
        <f aca="false">IF(ABS(t-ROUND(t,0))&lt;0.001,pos_x,NA())</f>
        <v>#N/A</v>
      </c>
      <c r="AE59" s="458" t="n">
        <f aca="false">IF(t&lt;T_para, pos_z, NA())</f>
        <v>10.7195767478822</v>
      </c>
      <c r="AF59" s="444"/>
      <c r="AG59" s="450" t="n">
        <f aca="false">IF(AND(L58&lt;L_rampe,Poussee&lt;Poids*SIN(M58)),0,(-W58+Poussee)/m-Poids*SIN(M58)/m)</f>
        <v>73.6623001115301</v>
      </c>
      <c r="AH59" s="449" t="n">
        <f aca="false">IF(AND(L58&lt;L_rampe,Poussee&lt;Poids*SIN(M58)), g*SIN(M58), (-W58+Poussee)/m)</f>
        <v>83.3055678748413</v>
      </c>
    </row>
    <row r="60" customFormat="false" ht="12" hidden="false" customHeight="false" outlineLevel="0" collapsed="false">
      <c r="A60" s="448" t="n">
        <f aca="false">IF(B59+0.01&lt;=T_ini+ROUNDUP(Temps_fin_propu,0), 0.01, IF(K59&gt;0, 0.1, 0.0001))</f>
        <v>0.01</v>
      </c>
      <c r="B60" s="449" t="n">
        <f aca="false">B59+pas</f>
        <v>0.56</v>
      </c>
      <c r="C60" s="432"/>
      <c r="D60" s="450" t="n">
        <f aca="false">IF(AND(L59&lt;L_rampe,Poussee&lt;Poids*SIN(M59)),0,(-W59+Poussee)/m*COS(M59)-U59/m*SIN(M59))</f>
        <v>15.3100810562426</v>
      </c>
      <c r="E60" s="451" t="n">
        <f aca="false">IF(AND(L59&lt;L_rampe,Poussee&lt;Poids*SIN(M59)),0,(-W59+Poussee)/m*SIN(M59)+U59/m*COS(M59)-Poids/m)</f>
        <v>71.9678667773884</v>
      </c>
      <c r="F60" s="449" t="n">
        <f aca="false">SQRT(acc_x^2+acc_z^2)</f>
        <v>73.5783421288944</v>
      </c>
      <c r="G60" s="450" t="n">
        <f aca="false">G59+acc_x*pas</f>
        <v>7.66955878191502</v>
      </c>
      <c r="H60" s="451" t="n">
        <f aca="false">H59+acc_z*pas</f>
        <v>40.8683817583089</v>
      </c>
      <c r="I60" s="449" t="n">
        <f aca="false">SQRT(vit_x^2+vit_z^2)</f>
        <v>41.5818080349103</v>
      </c>
      <c r="J60" s="450" t="n">
        <f aca="false">J59+0.5*(vit_x+G59)*pas*(K59&gt;=0)</f>
        <v>2.00675956762325</v>
      </c>
      <c r="K60" s="451" t="n">
        <f aca="false">K59+0.5*(vit_z+H59)*pas</f>
        <v>11.1246621721265</v>
      </c>
      <c r="L60" s="449" t="n">
        <f aca="false">SQRT(pos_x^2+pos_z^2)</f>
        <v>11.3042112686462</v>
      </c>
      <c r="M60" s="450" t="n">
        <f aca="false">IF(AND(L59&gt;L_rampe,G60&gt;0),ATAN2(G60,H60),$M$4)</f>
        <v>1.38528912906485</v>
      </c>
      <c r="N60" s="449" t="n">
        <f aca="false">DEGREES(Beta)</f>
        <v>79.3712205007697</v>
      </c>
      <c r="O60" s="438"/>
      <c r="P60" s="452" t="n">
        <f aca="false">MATCH(t-pas/2-T_ini,CdP_t)</f>
        <v>3</v>
      </c>
      <c r="Q60" s="449" t="n">
        <f aca="false">(INDEX(CdP,2,i_P+1)-INDEX(CdP,2,i_P+0))/(INDEX(CdP,1,i_P+1)-INDEX(CdP,1,i_P+0))*(t-pas/2-T_ini-INDEX(CdP,1,i_P+0))+INDEX(CdP,2,i_P+0)</f>
        <v>791.51</v>
      </c>
      <c r="R60" s="450" t="n">
        <f aca="false">Poussee/(g*ISP)</f>
        <v>0.397221991187202</v>
      </c>
      <c r="S60" s="451" t="n">
        <f aca="false">S59-Débit*pas</f>
        <v>9.45893129962057</v>
      </c>
      <c r="T60" s="449" t="n">
        <f aca="false">m*g</f>
        <v>92.7921160492778</v>
      </c>
      <c r="U60" s="453" t="n">
        <f aca="false">IF(pos_xz&lt;L_rampe,Poids*COS(Beta),0)</f>
        <v>0</v>
      </c>
      <c r="V60" s="450" t="n">
        <f aca="false">Rho_moyen*(20000-Alt_rampe-pos_z)/(20000+Alt_rampe+pos_z)</f>
        <v>1.22363798648093</v>
      </c>
      <c r="W60" s="449" t="n">
        <f aca="false">1/2*Rho*Sref*Cx*vit_xz^2</f>
        <v>4.70430992665164</v>
      </c>
      <c r="X60" s="438"/>
      <c r="Y60" s="454" t="str">
        <f aca="false">IF(AND(pos_z&lt;=0,K59&gt;0),"Impact balistique","") &amp; IF(AND(H61&lt;0,vit_z&gt;=0),"Apogée","") &amp; IF(AND(Poussee=0,Q59&gt;0),"Fin de propulsion","") &amp; IF(AND(L61&gt;L_rampe,pos_xz&lt;=L_rampe),"Sortie de rampe","")</f>
        <v/>
      </c>
      <c r="Z60" s="455" t="str">
        <f aca="false">IF(ABS(t-T_para)&lt;pas/2,"Para","")</f>
        <v/>
      </c>
      <c r="AA60" s="456" t="str">
        <f aca="false">IF(ABS(t-T_satellite)&lt;pas/2,"Satellite","")</f>
        <v/>
      </c>
      <c r="AB60" s="444"/>
      <c r="AC60" s="452" t="e">
        <f aca="false">IF(ABS(t-ROUND(t,0))&lt;0.001,t,NA())</f>
        <v>#N/A</v>
      </c>
      <c r="AD60" s="457" t="e">
        <f aca="false">IF(ABS(t-ROUND(t,0))&lt;0.001,pos_x,NA())</f>
        <v>#N/A</v>
      </c>
      <c r="AE60" s="458" t="n">
        <f aca="false">IF(t&lt;T_para, pos_z, NA())</f>
        <v>11.1246621721265</v>
      </c>
      <c r="AF60" s="444"/>
      <c r="AG60" s="450" t="n">
        <f aca="false">IF(AND(L59&lt;L_rampe,Poussee&lt;Poids*SIN(M59)),0,(-W59+Poussee)/m-Poids*SIN(M59)/m)</f>
        <v>73.5561935614004</v>
      </c>
      <c r="AH60" s="449" t="n">
        <f aca="false">IF(AND(L59&lt;L_rampe,Poussee&lt;Poids*SIN(M59)), g*SIN(M59), (-W59+Poussee)/m)</f>
        <v>83.1986663150858</v>
      </c>
    </row>
    <row r="61" customFormat="false" ht="12" hidden="false" customHeight="false" outlineLevel="0" collapsed="false">
      <c r="A61" s="448" t="n">
        <f aca="false">IF(B60+0.01&lt;=T_ini+ROUNDUP(Temps_fin_propu,0), 0.01, IF(K60&gt;0, 0.1, 0.0001))</f>
        <v>0.01</v>
      </c>
      <c r="B61" s="449" t="n">
        <f aca="false">B60+pas</f>
        <v>0.57</v>
      </c>
      <c r="C61" s="432"/>
      <c r="D61" s="450" t="n">
        <f aca="false">IF(AND(L60&lt;L_rampe,Poussee&lt;Poids*SIN(M60)),0,(-W60+Poussee)/m*COS(M60)-U60/m*SIN(M60))</f>
        <v>15.3257861797044</v>
      </c>
      <c r="E61" s="451" t="n">
        <f aca="false">IF(AND(L60&lt;L_rampe,Poussee&lt;Poids*SIN(M60)),0,(-W60+Poussee)/m*SIN(M60)+U60/m*COS(M60)-Poids/m)</f>
        <v>71.8557252585768</v>
      </c>
      <c r="F61" s="449" t="n">
        <f aca="false">SQRT(acc_x^2+acc_z^2)</f>
        <v>73.471933242988</v>
      </c>
      <c r="G61" s="450" t="n">
        <f aca="false">G60+acc_x*pas</f>
        <v>7.82281664371206</v>
      </c>
      <c r="H61" s="451" t="n">
        <f aca="false">H60+acc_z*pas</f>
        <v>41.5869390108947</v>
      </c>
      <c r="I61" s="449" t="n">
        <f aca="false">SQRT(vit_x^2+vit_z^2)</f>
        <v>42.3163083992096</v>
      </c>
      <c r="J61" s="450" t="n">
        <f aca="false">J60+0.5*(vit_x+G60)*pas*(K60&gt;=0)</f>
        <v>2.08422144475138</v>
      </c>
      <c r="K61" s="451" t="n">
        <f aca="false">K60+0.5*(vit_z+H60)*pas</f>
        <v>11.5369387759725</v>
      </c>
      <c r="L61" s="449" t="n">
        <f aca="false">SQRT(pos_x^2+pos_z^2)</f>
        <v>11.7236911999293</v>
      </c>
      <c r="M61" s="450" t="n">
        <f aca="false">IF(AND(L60&gt;L_rampe,G61&gt;0),ATAN2(G61,H61),$M$4)</f>
        <v>1.38486153835755</v>
      </c>
      <c r="N61" s="449" t="n">
        <f aca="false">DEGREES(Beta)</f>
        <v>79.346721357882</v>
      </c>
      <c r="O61" s="438"/>
      <c r="P61" s="452" t="n">
        <f aca="false">MATCH(t-pas/2-T_ini,CdP_t)</f>
        <v>3</v>
      </c>
      <c r="Q61" s="449" t="n">
        <f aca="false">(INDEX(CdP,2,i_P+1)-INDEX(CdP,2,i_P+0))/(INDEX(CdP,1,i_P+1)-INDEX(CdP,1,i_P+0))*(t-pas/2-T_ini-INDEX(CdP,1,i_P+0))+INDEX(CdP,2,i_P+0)</f>
        <v>790.33</v>
      </c>
      <c r="R61" s="450" t="n">
        <f aca="false">Poussee/(g*ISP)</f>
        <v>0.396629804165432</v>
      </c>
      <c r="S61" s="451" t="n">
        <f aca="false">S60-Débit*pas</f>
        <v>9.45496500157892</v>
      </c>
      <c r="T61" s="449" t="n">
        <f aca="false">m*g</f>
        <v>92.7532066654892</v>
      </c>
      <c r="U61" s="453" t="n">
        <f aca="false">IF(pos_xz&lt;L_rampe,Poids*COS(Beta),0)</f>
        <v>0</v>
      </c>
      <c r="V61" s="450" t="n">
        <f aca="false">Rho_moyen*(20000-Alt_rampe-pos_z)/(20000+Alt_rampe+pos_z)</f>
        <v>1.2235875397733</v>
      </c>
      <c r="W61" s="449" t="n">
        <f aca="false">1/2*Rho*Sref*Cx*vit_xz^2</f>
        <v>4.87177059647905</v>
      </c>
      <c r="X61" s="438"/>
      <c r="Y61" s="454" t="str">
        <f aca="false">IF(AND(pos_z&lt;=0,K60&gt;0),"Impact balistique","") &amp; IF(AND(H62&lt;0,vit_z&gt;=0),"Apogée","") &amp; IF(AND(Poussee=0,Q60&gt;0),"Fin de propulsion","") &amp; IF(AND(L62&gt;L_rampe,pos_xz&lt;=L_rampe),"Sortie de rampe","")</f>
        <v/>
      </c>
      <c r="Z61" s="455" t="str">
        <f aca="false">IF(ABS(t-T_para)&lt;pas/2,"Para","")</f>
        <v/>
      </c>
      <c r="AA61" s="456" t="str">
        <f aca="false">IF(ABS(t-T_satellite)&lt;pas/2,"Satellite","")</f>
        <v/>
      </c>
      <c r="AB61" s="444"/>
      <c r="AC61" s="452" t="e">
        <f aca="false">IF(ABS(t-ROUND(t,0))&lt;0.001,t,NA())</f>
        <v>#N/A</v>
      </c>
      <c r="AD61" s="457" t="e">
        <f aca="false">IF(ABS(t-ROUND(t,0))&lt;0.001,pos_x,NA())</f>
        <v>#N/A</v>
      </c>
      <c r="AE61" s="458" t="n">
        <f aca="false">IF(t&lt;T_para, pos_z, NA())</f>
        <v>11.5369387759725</v>
      </c>
      <c r="AF61" s="444"/>
      <c r="AG61" s="450" t="n">
        <f aca="false">IF(AND(L60&lt;L_rampe,Poussee&lt;Poids*SIN(M60)),0,(-W60+Poussee)/m-Poids*SIN(M60)/m)</f>
        <v>73.4496495873348</v>
      </c>
      <c r="AH61" s="449" t="n">
        <f aca="false">IF(AND(L60&lt;L_rampe,Poussee&lt;Poids*SIN(M60)), g*SIN(M60), (-W60+Poussee)/m)</f>
        <v>83.0913377196165</v>
      </c>
    </row>
    <row r="62" customFormat="false" ht="12" hidden="false" customHeight="false" outlineLevel="0" collapsed="false">
      <c r="A62" s="448" t="n">
        <f aca="false">IF(B61+0.01&lt;=T_ini+ROUNDUP(Temps_fin_propu,0), 0.01, IF(K61&gt;0, 0.1, 0.0001))</f>
        <v>0.01</v>
      </c>
      <c r="B62" s="449" t="n">
        <f aca="false">B61+pas</f>
        <v>0.58</v>
      </c>
      <c r="C62" s="432"/>
      <c r="D62" s="450" t="n">
        <f aca="false">IF(AND(L61&lt;L_rampe,Poussee&lt;Poids*SIN(M61)),0,(-W61+Poussee)/m*COS(M61)-U61/m*SIN(M61))</f>
        <v>15.3407842268826</v>
      </c>
      <c r="E62" s="451" t="n">
        <f aca="false">IF(AND(L61&lt;L_rampe,Poussee&lt;Poids*SIN(M61)),0,(-W61+Poussee)/m*SIN(M61)+U61/m*COS(M61)-Poids/m)</f>
        <v>71.7432674583986</v>
      </c>
      <c r="F62" s="449" t="n">
        <f aca="false">SQRT(acc_x^2+acc_z^2)</f>
        <v>73.3650876528004</v>
      </c>
      <c r="G62" s="450" t="n">
        <f aca="false">G61+acc_x*pas</f>
        <v>7.97622448598089</v>
      </c>
      <c r="H62" s="451" t="n">
        <f aca="false">H61+acc_z*pas</f>
        <v>42.3043716854787</v>
      </c>
      <c r="I62" s="449" t="n">
        <f aca="false">SQRT(vit_x^2+vit_z^2)</f>
        <v>43.0497389162105</v>
      </c>
      <c r="J62" s="450" t="n">
        <f aca="false">J61+0.5*(vit_x+G61)*pas*(K61&gt;=0)</f>
        <v>2.16321665039985</v>
      </c>
      <c r="K62" s="451" t="n">
        <f aca="false">K61+0.5*(vit_z+H61)*pas</f>
        <v>11.9563953294543</v>
      </c>
      <c r="L62" s="449" t="n">
        <f aca="false">SQRT(pos_x^2+pos_z^2)</f>
        <v>12.1505100942621</v>
      </c>
      <c r="M62" s="450" t="n">
        <f aca="false">IF(AND(L61&gt;L_rampe,G62&gt;0),ATAN2(G62,H62),$M$4)</f>
        <v>1.38444027481478</v>
      </c>
      <c r="N62" s="449" t="n">
        <f aca="false">DEGREES(Beta)</f>
        <v>79.3225847348185</v>
      </c>
      <c r="O62" s="438"/>
      <c r="P62" s="452" t="n">
        <f aca="false">MATCH(t-pas/2-T_ini,CdP_t)</f>
        <v>3</v>
      </c>
      <c r="Q62" s="449" t="n">
        <f aca="false">(INDEX(CdP,2,i_P+1)-INDEX(CdP,2,i_P+0))/(INDEX(CdP,1,i_P+1)-INDEX(CdP,1,i_P+0))*(t-pas/2-T_ini-INDEX(CdP,1,i_P+0))+INDEX(CdP,2,i_P+0)</f>
        <v>789.15</v>
      </c>
      <c r="R62" s="450" t="n">
        <f aca="false">Poussee/(g*ISP)</f>
        <v>0.396037617143662</v>
      </c>
      <c r="S62" s="451" t="n">
        <f aca="false">S61-Débit*pas</f>
        <v>9.45100462540748</v>
      </c>
      <c r="T62" s="449" t="n">
        <f aca="false">m*g</f>
        <v>92.7143553752474</v>
      </c>
      <c r="U62" s="453" t="n">
        <f aca="false">IF(pos_xz&lt;L_rampe,Poids*COS(Beta),0)</f>
        <v>0</v>
      </c>
      <c r="V62" s="450" t="n">
        <f aca="false">Rho_moyen*(20000-Alt_rampe-pos_z)/(20000+Alt_rampe+pos_z)</f>
        <v>1.22353621665076</v>
      </c>
      <c r="W62" s="449" t="n">
        <f aca="false">1/2*Rho*Sref*Cx*vit_xz^2</f>
        <v>5.04189863126579</v>
      </c>
      <c r="X62" s="438"/>
      <c r="Y62" s="454" t="str">
        <f aca="false">IF(AND(pos_z&lt;=0,K61&gt;0),"Impact balistique","") &amp; IF(AND(H63&lt;0,vit_z&gt;=0),"Apogée","") &amp; IF(AND(Poussee=0,Q61&gt;0),"Fin de propulsion","") &amp; IF(AND(L63&gt;L_rampe,pos_xz&lt;=L_rampe),"Sortie de rampe","")</f>
        <v/>
      </c>
      <c r="Z62" s="455" t="str">
        <f aca="false">IF(ABS(t-T_para)&lt;pas/2,"Para","")</f>
        <v/>
      </c>
      <c r="AA62" s="456" t="str">
        <f aca="false">IF(ABS(t-T_satellite)&lt;pas/2,"Satellite","")</f>
        <v/>
      </c>
      <c r="AB62" s="444"/>
      <c r="AC62" s="452" t="e">
        <f aca="false">IF(ABS(t-ROUND(t,0))&lt;0.001,t,NA())</f>
        <v>#N/A</v>
      </c>
      <c r="AD62" s="457" t="e">
        <f aca="false">IF(ABS(t-ROUND(t,0))&lt;0.001,pos_x,NA())</f>
        <v>#N/A</v>
      </c>
      <c r="AE62" s="458" t="n">
        <f aca="false">IF(t&lt;T_para, pos_z, NA())</f>
        <v>11.9563953294543</v>
      </c>
      <c r="AF62" s="444"/>
      <c r="AG62" s="450" t="n">
        <f aca="false">IF(AND(L61&lt;L_rampe,Poussee&lt;Poids*SIN(M61)),0,(-W61+Poussee)/m-Poids*SIN(M61)/m)</f>
        <v>73.3426697133712</v>
      </c>
      <c r="AH62" s="449" t="n">
        <f aca="false">IF(AND(L61&lt;L_rampe,Poussee&lt;Poids*SIN(M61)), g*SIN(M61), (-W61+Poussee)/m)</f>
        <v>82.9835832790852</v>
      </c>
    </row>
    <row r="63" customFormat="false" ht="12" hidden="false" customHeight="false" outlineLevel="0" collapsed="false">
      <c r="A63" s="448" t="n">
        <f aca="false">IF(B62+0.01&lt;=T_ini+ROUNDUP(Temps_fin_propu,0), 0.01, IF(K62&gt;0, 0.1, 0.0001))</f>
        <v>0.01</v>
      </c>
      <c r="B63" s="449" t="n">
        <f aca="false">B62+pas</f>
        <v>0.59</v>
      </c>
      <c r="C63" s="432"/>
      <c r="D63" s="450" t="n">
        <f aca="false">IF(AND(L62&lt;L_rampe,Poussee&lt;Poids*SIN(M62)),0,(-W62+Poussee)/m*COS(M62)-U62/m*SIN(M62))</f>
        <v>15.3550949403448</v>
      </c>
      <c r="E63" s="451" t="n">
        <f aca="false">IF(AND(L62&lt;L_rampe,Poussee&lt;Poids*SIN(M62)),0,(-W62+Poussee)/m*SIN(M62)+U62/m*COS(M62)-Poids/m)</f>
        <v>71.6304916466287</v>
      </c>
      <c r="F63" s="449" t="n">
        <f aca="false">SQRT(acc_x^2+acc_z^2)</f>
        <v>73.2578069161557</v>
      </c>
      <c r="G63" s="450" t="n">
        <f aca="false">G62+acc_x*pas</f>
        <v>8.12977543538434</v>
      </c>
      <c r="H63" s="451" t="n">
        <f aca="false">H62+acc_z*pas</f>
        <v>43.020676601945</v>
      </c>
      <c r="I63" s="449" t="n">
        <f aca="false">SQRT(vit_x^2+vit_z^2)</f>
        <v>43.7820952435915</v>
      </c>
      <c r="J63" s="450" t="n">
        <f aca="false">J62+0.5*(vit_x+G62)*pas*(K62&gt;=0)</f>
        <v>2.24374665000667</v>
      </c>
      <c r="K63" s="451" t="n">
        <f aca="false">K62+0.5*(vit_z+H62)*pas</f>
        <v>12.3830205708915</v>
      </c>
      <c r="L63" s="449" t="n">
        <f aca="false">SQRT(pos_x^2+pos_z^2)</f>
        <v>12.5846572257069</v>
      </c>
      <c r="M63" s="450" t="n">
        <f aca="false">IF(AND(L62&gt;L_rampe,G63&gt;0),ATAN2(G63,H63),$M$4)</f>
        <v>1.38402513028002</v>
      </c>
      <c r="N63" s="449" t="n">
        <f aca="false">DEGREES(Beta)</f>
        <v>79.298798705089</v>
      </c>
      <c r="O63" s="438"/>
      <c r="P63" s="452" t="n">
        <f aca="false">MATCH(t-pas/2-T_ini,CdP_t)</f>
        <v>3</v>
      </c>
      <c r="Q63" s="449" t="n">
        <f aca="false">(INDEX(CdP,2,i_P+1)-INDEX(CdP,2,i_P+0))/(INDEX(CdP,1,i_P+1)-INDEX(CdP,1,i_P+0))*(t-pas/2-T_ini-INDEX(CdP,1,i_P+0))+INDEX(CdP,2,i_P+0)</f>
        <v>787.97</v>
      </c>
      <c r="R63" s="450" t="n">
        <f aca="false">Poussee/(g*ISP)</f>
        <v>0.395445430121893</v>
      </c>
      <c r="S63" s="451" t="n">
        <f aca="false">S62-Débit*pas</f>
        <v>9.44705017110626</v>
      </c>
      <c r="T63" s="449" t="n">
        <f aca="false">m*g</f>
        <v>92.6755621785525</v>
      </c>
      <c r="U63" s="453" t="n">
        <f aca="false">IF(pos_xz&lt;L_rampe,Poids*COS(Beta),0)</f>
        <v>0</v>
      </c>
      <c r="V63" s="450" t="n">
        <f aca="false">Rho_moyen*(20000-Alt_rampe-pos_z)/(20000+Alt_rampe+pos_z)</f>
        <v>1.22348401860151</v>
      </c>
      <c r="W63" s="449" t="n">
        <f aca="false">1/2*Rho*Sref*Cx*vit_xz^2</f>
        <v>5.21467949152331</v>
      </c>
      <c r="X63" s="438"/>
      <c r="Y63" s="454" t="str">
        <f aca="false">IF(AND(pos_z&lt;=0,K62&gt;0),"Impact balistique","") &amp; IF(AND(H64&lt;0,vit_z&gt;=0),"Apogée","") &amp; IF(AND(Poussee=0,Q62&gt;0),"Fin de propulsion","") &amp; IF(AND(L64&gt;L_rampe,pos_xz&lt;=L_rampe),"Sortie de rampe","")</f>
        <v/>
      </c>
      <c r="Z63" s="455" t="str">
        <f aca="false">IF(ABS(t-T_para)&lt;pas/2,"Para","")</f>
        <v/>
      </c>
      <c r="AA63" s="456" t="str">
        <f aca="false">IF(ABS(t-T_satellite)&lt;pas/2,"Satellite","")</f>
        <v/>
      </c>
      <c r="AB63" s="444"/>
      <c r="AC63" s="452" t="e">
        <f aca="false">IF(ABS(t-ROUND(t,0))&lt;0.001,t,NA())</f>
        <v>#N/A</v>
      </c>
      <c r="AD63" s="457" t="e">
        <f aca="false">IF(ABS(t-ROUND(t,0))&lt;0.001,pos_x,NA())</f>
        <v>#N/A</v>
      </c>
      <c r="AE63" s="458" t="n">
        <f aca="false">IF(t&lt;T_para, pos_z, NA())</f>
        <v>12.3830205708915</v>
      </c>
      <c r="AF63" s="444"/>
      <c r="AG63" s="450" t="n">
        <f aca="false">IF(AND(L62&lt;L_rampe,Poussee&lt;Poids*SIN(M62)),0,(-W62+Poussee)/m-Poids*SIN(M62)/m)</f>
        <v>73.2352554568714</v>
      </c>
      <c r="AH63" s="449" t="n">
        <f aca="false">IF(AND(L62&lt;L_rampe,Poussee&lt;Poids*SIN(M62)), g*SIN(M62), (-W62+Poussee)/m)</f>
        <v>82.8754041937148</v>
      </c>
    </row>
    <row r="64" customFormat="false" ht="12" hidden="false" customHeight="false" outlineLevel="0" collapsed="false">
      <c r="A64" s="448" t="n">
        <f aca="false">IF(B63+0.01&lt;=T_ini+ROUNDUP(Temps_fin_propu,0), 0.01, IF(K63&gt;0, 0.1, 0.0001))</f>
        <v>0.01</v>
      </c>
      <c r="B64" s="449" t="n">
        <f aca="false">B63+pas</f>
        <v>0.6</v>
      </c>
      <c r="C64" s="432"/>
      <c r="D64" s="450" t="n">
        <f aca="false">IF(AND(L63&lt;L_rampe,Poussee&lt;Poids*SIN(M63)),0,(-W63+Poussee)/m*COS(M63)-U63/m*SIN(M63))</f>
        <v>15.368737091378</v>
      </c>
      <c r="E64" s="451" t="n">
        <f aca="false">IF(AND(L63&lt;L_rampe,Poussee&lt;Poids*SIN(M63)),0,(-W63+Poussee)/m*SIN(M63)+U63/m*COS(M63)-Poids/m)</f>
        <v>71.5173962415706</v>
      </c>
      <c r="F64" s="449" t="n">
        <f aca="false">SQRT(acc_x^2+acc_z^2)</f>
        <v>73.1500925833845</v>
      </c>
      <c r="G64" s="450" t="n">
        <f aca="false">G63+acc_x*pas</f>
        <v>8.28346280629812</v>
      </c>
      <c r="H64" s="451" t="n">
        <f aca="false">H63+acc_z*pas</f>
        <v>43.7358505643607</v>
      </c>
      <c r="I64" s="449" t="n">
        <f aca="false">SQRT(vit_x^2+vit_z^2)</f>
        <v>44.5133730540768</v>
      </c>
      <c r="J64" s="450" t="n">
        <f aca="false">J63+0.5*(vit_x+G63)*pas*(K63&gt;=0)</f>
        <v>2.32581284121508</v>
      </c>
      <c r="K64" s="451" t="n">
        <f aca="false">K63+0.5*(vit_z+H63)*pas</f>
        <v>12.816803206723</v>
      </c>
      <c r="L64" s="449" t="n">
        <f aca="false">SQRT(pos_x^2+pos_z^2)</f>
        <v>13.0261218254792</v>
      </c>
      <c r="M64" s="450" t="n">
        <f aca="false">IF(AND(L63&gt;L_rampe,G64&gt;0),ATAN2(G64,H64),$M$4)</f>
        <v>1.38361590682018</v>
      </c>
      <c r="N64" s="449" t="n">
        <f aca="false">DEGREES(Beta)</f>
        <v>79.2753519279627</v>
      </c>
      <c r="O64" s="438"/>
      <c r="P64" s="452" t="n">
        <f aca="false">MATCH(t-pas/2-T_ini,CdP_t)</f>
        <v>3</v>
      </c>
      <c r="Q64" s="449" t="n">
        <f aca="false">(INDEX(CdP,2,i_P+1)-INDEX(CdP,2,i_P+0))/(INDEX(CdP,1,i_P+1)-INDEX(CdP,1,i_P+0))*(t-pas/2-T_ini-INDEX(CdP,1,i_P+0))+INDEX(CdP,2,i_P+0)</f>
        <v>786.79</v>
      </c>
      <c r="R64" s="450" t="n">
        <f aca="false">Poussee/(g*ISP)</f>
        <v>0.394853243100123</v>
      </c>
      <c r="S64" s="451" t="n">
        <f aca="false">S63-Débit*pas</f>
        <v>9.44310163867526</v>
      </c>
      <c r="T64" s="449" t="n">
        <f aca="false">m*g</f>
        <v>92.6368270754043</v>
      </c>
      <c r="U64" s="453" t="n">
        <f aca="false">IF(pos_xz&lt;L_rampe,Poids*COS(Beta),0)</f>
        <v>0</v>
      </c>
      <c r="V64" s="450" t="n">
        <f aca="false">Rho_moyen*(20000-Alt_rampe-pos_z)/(20000+Alt_rampe+pos_z)</f>
        <v>1.22343094711928</v>
      </c>
      <c r="W64" s="449" t="n">
        <f aca="false">1/2*Rho*Sref*Cx*vit_xz^2</f>
        <v>5.39009858272494</v>
      </c>
      <c r="X64" s="438"/>
      <c r="Y64" s="454" t="str">
        <f aca="false">IF(AND(pos_z&lt;=0,K63&gt;0),"Impact balistique","") &amp; IF(AND(H65&lt;0,vit_z&gt;=0),"Apogée","") &amp; IF(AND(Poussee=0,Q63&gt;0),"Fin de propulsion","") &amp; IF(AND(L65&gt;L_rampe,pos_xz&lt;=L_rampe),"Sortie de rampe","")</f>
        <v/>
      </c>
      <c r="Z64" s="455" t="str">
        <f aca="false">IF(ABS(t-T_para)&lt;pas/2,"Para","")</f>
        <v/>
      </c>
      <c r="AA64" s="456" t="str">
        <f aca="false">IF(ABS(t-T_satellite)&lt;pas/2,"Satellite","")</f>
        <v/>
      </c>
      <c r="AB64" s="444"/>
      <c r="AC64" s="452" t="e">
        <f aca="false">IF(ABS(t-ROUND(t,0))&lt;0.001,t,NA())</f>
        <v>#N/A</v>
      </c>
      <c r="AD64" s="457" t="e">
        <f aca="false">IF(ABS(t-ROUND(t,0))&lt;0.001,pos_x,NA())</f>
        <v>#N/A</v>
      </c>
      <c r="AE64" s="458" t="n">
        <f aca="false">IF(t&lt;T_para, pos_z, NA())</f>
        <v>12.816803206723</v>
      </c>
      <c r="AF64" s="444"/>
      <c r="AG64" s="450" t="n">
        <f aca="false">IF(AND(L63&lt;L_rampe,Poussee&lt;Poids*SIN(M63)),0,(-W63+Poussee)/m-Poids*SIN(M63)/m)</f>
        <v>73.1274083295219</v>
      </c>
      <c r="AH64" s="449" t="n">
        <f aca="false">IF(AND(L63&lt;L_rampe,Poussee&lt;Poids*SIN(M63)), g*SIN(M63), (-W63+Poussee)/m)</f>
        <v>82.7668016732393</v>
      </c>
    </row>
    <row r="65" customFormat="false" ht="12" hidden="false" customHeight="false" outlineLevel="0" collapsed="false">
      <c r="A65" s="448" t="n">
        <f aca="false">IF(B64+0.01&lt;=T_ini+ROUNDUP(Temps_fin_propu,0), 0.01, IF(K64&gt;0, 0.1, 0.0001))</f>
        <v>0.01</v>
      </c>
      <c r="B65" s="449" t="n">
        <f aca="false">B64+pas</f>
        <v>0.61</v>
      </c>
      <c r="C65" s="432"/>
      <c r="D65" s="450" t="n">
        <f aca="false">IF(AND(L64&lt;L_rampe,Poussee&lt;Poids*SIN(M64)),0,(-W64+Poussee)/m*COS(M64)-U64/m*SIN(M64))</f>
        <v>15.3817285442698</v>
      </c>
      <c r="E65" s="451" t="n">
        <f aca="false">IF(AND(L64&lt;L_rampe,Poussee&lt;Poids*SIN(M64)),0,(-W64+Poussee)/m*SIN(M64)+U64/m*COS(M64)-Poids/m)</f>
        <v>71.4039798010866</v>
      </c>
      <c r="F65" s="449" t="n">
        <f aca="false">SQRT(acc_x^2+acc_z^2)</f>
        <v>73.0419461983564</v>
      </c>
      <c r="G65" s="450" t="n">
        <f aca="false">G64+acc_x*pas</f>
        <v>8.43728009174081</v>
      </c>
      <c r="H65" s="451" t="n">
        <f aca="false">H64+acc_z*pas</f>
        <v>44.4498903623716</v>
      </c>
      <c r="I65" s="449" t="n">
        <f aca="false">SQRT(vit_x^2+vit_z^2)</f>
        <v>45.2435680353941</v>
      </c>
      <c r="J65" s="450" t="n">
        <f aca="false">J64+0.5*(vit_x+G64)*pas*(K64&gt;=0)</f>
        <v>2.40941655570528</v>
      </c>
      <c r="K65" s="451" t="n">
        <f aca="false">K64+0.5*(vit_z+H64)*pas</f>
        <v>13.2577319113566</v>
      </c>
      <c r="L65" s="449" t="n">
        <f aca="false">SQRT(pos_x^2+pos_z^2)</f>
        <v>13.4748930820363</v>
      </c>
      <c r="M65" s="450" t="n">
        <f aca="false">IF(AND(L64&gt;L_rampe,G65&gt;0),ATAN2(G65,H65),$M$4)</f>
        <v>1.38321241606023</v>
      </c>
      <c r="N65" s="449" t="n">
        <f aca="false">DEGREES(Beta)</f>
        <v>79.2522336103448</v>
      </c>
      <c r="O65" s="438"/>
      <c r="P65" s="452" t="n">
        <f aca="false">MATCH(t-pas/2-T_ini,CdP_t)</f>
        <v>3</v>
      </c>
      <c r="Q65" s="449" t="n">
        <f aca="false">(INDEX(CdP,2,i_P+1)-INDEX(CdP,2,i_P+0))/(INDEX(CdP,1,i_P+1)-INDEX(CdP,1,i_P+0))*(t-pas/2-T_ini-INDEX(CdP,1,i_P+0))+INDEX(CdP,2,i_P+0)</f>
        <v>785.61</v>
      </c>
      <c r="R65" s="450" t="n">
        <f aca="false">Poussee/(g*ISP)</f>
        <v>0.394261056078353</v>
      </c>
      <c r="S65" s="451" t="n">
        <f aca="false">S64-Débit*pas</f>
        <v>9.43915902811448</v>
      </c>
      <c r="T65" s="449" t="n">
        <f aca="false">m*g</f>
        <v>92.5981500658031</v>
      </c>
      <c r="U65" s="453" t="n">
        <f aca="false">IF(pos_xz&lt;L_rampe,Poids*COS(Beta),0)</f>
        <v>0</v>
      </c>
      <c r="V65" s="450" t="n">
        <f aca="false">Rho_moyen*(20000-Alt_rampe-pos_z)/(20000+Alt_rampe+pos_z)</f>
        <v>1.22337700370335</v>
      </c>
      <c r="W65" s="449" t="n">
        <f aca="false">1/2*Rho*Sref*Cx*vit_xz^2</f>
        <v>5.56814125599408</v>
      </c>
      <c r="X65" s="438"/>
      <c r="Y65" s="454" t="str">
        <f aca="false">IF(AND(pos_z&lt;=0,K64&gt;0),"Impact balistique","") &amp; IF(AND(H66&lt;0,vit_z&gt;=0),"Apogée","") &amp; IF(AND(Poussee=0,Q64&gt;0),"Fin de propulsion","") &amp; IF(AND(L66&gt;L_rampe,pos_xz&lt;=L_rampe),"Sortie de rampe","")</f>
        <v/>
      </c>
      <c r="Z65" s="455" t="str">
        <f aca="false">IF(ABS(t-T_para)&lt;pas/2,"Para","")</f>
        <v/>
      </c>
      <c r="AA65" s="456" t="str">
        <f aca="false">IF(ABS(t-T_satellite)&lt;pas/2,"Satellite","")</f>
        <v/>
      </c>
      <c r="AB65" s="444"/>
      <c r="AC65" s="452" t="e">
        <f aca="false">IF(ABS(t-ROUND(t,0))&lt;0.001,t,NA())</f>
        <v>#N/A</v>
      </c>
      <c r="AD65" s="457" t="e">
        <f aca="false">IF(ABS(t-ROUND(t,0))&lt;0.001,pos_x,NA())</f>
        <v>#N/A</v>
      </c>
      <c r="AE65" s="458" t="n">
        <f aca="false">IF(t&lt;T_para, pos_z, NA())</f>
        <v>13.2577319113566</v>
      </c>
      <c r="AF65" s="444"/>
      <c r="AG65" s="450" t="n">
        <f aca="false">IF(AND(L64&lt;L_rampe,Poussee&lt;Poids*SIN(M64)),0,(-W64+Poussee)/m-Poids*SIN(M64)/m)</f>
        <v>73.0191298382475</v>
      </c>
      <c r="AH65" s="449" t="n">
        <f aca="false">IF(AND(L64&lt;L_rampe,Poussee&lt;Poids*SIN(M64)), g*SIN(M64), (-W64+Poussee)/m)</f>
        <v>82.6577769368431</v>
      </c>
    </row>
    <row r="66" customFormat="false" ht="12" hidden="false" customHeight="false" outlineLevel="0" collapsed="false">
      <c r="A66" s="448" t="n">
        <f aca="false">IF(B65+0.01&lt;=T_ini+ROUNDUP(Temps_fin_propu,0), 0.01, IF(K65&gt;0, 0.1, 0.0001))</f>
        <v>0.01</v>
      </c>
      <c r="B66" s="449" t="n">
        <f aca="false">B65+pas</f>
        <v>0.62</v>
      </c>
      <c r="C66" s="432"/>
      <c r="D66" s="450" t="n">
        <f aca="false">IF(AND(L65&lt;L_rampe,Poussee&lt;Poids*SIN(M65)),0,(-W65+Poussee)/m*COS(M65)-U65/m*SIN(M65))</f>
        <v>15.3940863153378</v>
      </c>
      <c r="E66" s="451" t="n">
        <f aca="false">IF(AND(L65&lt;L_rampe,Poussee&lt;Poids*SIN(M65)),0,(-W65+Poussee)/m*SIN(M65)+U65/m*COS(M65)-Poids/m)</f>
        <v>71.2902410143373</v>
      </c>
      <c r="F66" s="449" t="n">
        <f aca="false">SQRT(acc_x^2+acc_z^2)</f>
        <v>72.9333692994254</v>
      </c>
      <c r="G66" s="450" t="n">
        <f aca="false">G65+acc_x*pas</f>
        <v>8.59122095489419</v>
      </c>
      <c r="H66" s="451" t="n">
        <f aca="false">H65+acc_z*pas</f>
        <v>45.1627927725149</v>
      </c>
      <c r="I66" s="449" t="n">
        <f aca="false">SQRT(vit_x^2+vit_z^2)</f>
        <v>45.9726758902388</v>
      </c>
      <c r="J66" s="450" t="n">
        <f aca="false">J65+0.5*(vit_x+G65)*pas*(K65&gt;=0)</f>
        <v>2.49455906093845</v>
      </c>
      <c r="K66" s="451" t="n">
        <f aca="false">K65+0.5*(vit_z+H65)*pas</f>
        <v>13.7057953270311</v>
      </c>
      <c r="L66" s="449" t="n">
        <f aca="false">SQRT(pos_x^2+pos_z^2)</f>
        <v>13.9309601411739</v>
      </c>
      <c r="M66" s="450" t="n">
        <f aca="false">IF(AND(L65&gt;L_rampe,G66&gt;0),ATAN2(G66,H66),$M$4)</f>
        <v>1.38281447857136</v>
      </c>
      <c r="N66" s="449" t="n">
        <f aca="false">DEGREES(Beta)</f>
        <v>79.2294334717224</v>
      </c>
      <c r="O66" s="438"/>
      <c r="P66" s="452" t="n">
        <f aca="false">MATCH(t-pas/2-T_ini,CdP_t)</f>
        <v>3</v>
      </c>
      <c r="Q66" s="449" t="n">
        <f aca="false">(INDEX(CdP,2,i_P+1)-INDEX(CdP,2,i_P+0))/(INDEX(CdP,1,i_P+1)-INDEX(CdP,1,i_P+0))*(t-pas/2-T_ini-INDEX(CdP,1,i_P+0))+INDEX(CdP,2,i_P+0)</f>
        <v>784.43</v>
      </c>
      <c r="R66" s="450" t="n">
        <f aca="false">Poussee/(g*ISP)</f>
        <v>0.393668869056584</v>
      </c>
      <c r="S66" s="451" t="n">
        <f aca="false">S65-Débit*pas</f>
        <v>9.43522233942391</v>
      </c>
      <c r="T66" s="449" t="n">
        <f aca="false">m*g</f>
        <v>92.5595311497486</v>
      </c>
      <c r="U66" s="453" t="n">
        <f aca="false">IF(pos_xz&lt;L_rampe,Poids*COS(Beta),0)</f>
        <v>0</v>
      </c>
      <c r="V66" s="450" t="n">
        <f aca="false">Rho_moyen*(20000-Alt_rampe-pos_z)/(20000+Alt_rampe+pos_z)</f>
        <v>1.22332218985856</v>
      </c>
      <c r="W66" s="449" t="n">
        <f aca="false">1/2*Rho*Sref*Cx*vit_xz^2</f>
        <v>5.74879280879323</v>
      </c>
      <c r="X66" s="438"/>
      <c r="Y66" s="454" t="str">
        <f aca="false">IF(AND(pos_z&lt;=0,K65&gt;0),"Impact balistique","") &amp; IF(AND(H67&lt;0,vit_z&gt;=0),"Apogée","") &amp; IF(AND(Poussee=0,Q65&gt;0),"Fin de propulsion","") &amp; IF(AND(L67&gt;L_rampe,pos_xz&lt;=L_rampe),"Sortie de rampe","")</f>
        <v/>
      </c>
      <c r="Z66" s="455" t="str">
        <f aca="false">IF(ABS(t-T_para)&lt;pas/2,"Para","")</f>
        <v/>
      </c>
      <c r="AA66" s="456" t="str">
        <f aca="false">IF(ABS(t-T_satellite)&lt;pas/2,"Satellite","")</f>
        <v/>
      </c>
      <c r="AB66" s="444"/>
      <c r="AC66" s="452" t="e">
        <f aca="false">IF(ABS(t-ROUND(t,0))&lt;0.001,t,NA())</f>
        <v>#N/A</v>
      </c>
      <c r="AD66" s="457" t="e">
        <f aca="false">IF(ABS(t-ROUND(t,0))&lt;0.001,pos_x,NA())</f>
        <v>#N/A</v>
      </c>
      <c r="AE66" s="458" t="n">
        <f aca="false">IF(t&lt;T_para, pos_z, NA())</f>
        <v>13.7057953270311</v>
      </c>
      <c r="AF66" s="444"/>
      <c r="AG66" s="450" t="n">
        <f aca="false">IF(AND(L65&lt;L_rampe,Poussee&lt;Poids*SIN(M65)),0,(-W65+Poussee)/m-Poids*SIN(M65)/m)</f>
        <v>72.910421486048</v>
      </c>
      <c r="AH66" s="449" t="n">
        <f aca="false">IF(AND(L65&lt;L_rampe,Poussee&lt;Poids*SIN(M65)), g*SIN(M65), (-W65+Poussee)/m)</f>
        <v>82.5483312131</v>
      </c>
    </row>
    <row r="67" customFormat="false" ht="12" hidden="false" customHeight="false" outlineLevel="0" collapsed="false">
      <c r="A67" s="448" t="n">
        <f aca="false">IF(B66+0.01&lt;=T_ini+ROUNDUP(Temps_fin_propu,0), 0.01, IF(K66&gt;0, 0.1, 0.0001))</f>
        <v>0.01</v>
      </c>
      <c r="B67" s="449" t="n">
        <f aca="false">B66+pas</f>
        <v>0.63</v>
      </c>
      <c r="C67" s="432"/>
      <c r="D67" s="450" t="n">
        <f aca="false">IF(AND(L66&lt;L_rampe,Poussee&lt;Poids*SIN(M66)),0,(-W66+Poussee)/m*COS(M66)-U66/m*SIN(M66))</f>
        <v>15.4058266272128</v>
      </c>
      <c r="E67" s="451" t="n">
        <f aca="false">IF(AND(L66&lt;L_rampe,Poussee&lt;Poids*SIN(M66)),0,(-W66+Poussee)/m*SIN(M66)+U66/m*COS(M66)-Poids/m)</f>
        <v>71.1761786941638</v>
      </c>
      <c r="F67" s="449" t="n">
        <f aca="false">SQRT(acc_x^2+acc_z^2)</f>
        <v>72.8243634202955</v>
      </c>
      <c r="G67" s="450" t="n">
        <f aca="false">G66+acc_x*pas</f>
        <v>8.74527922116632</v>
      </c>
      <c r="H67" s="451" t="n">
        <f aca="false">H66+acc_z*pas</f>
        <v>45.8745545594566</v>
      </c>
      <c r="I67" s="449" t="n">
        <f aca="false">SQRT(vit_x^2+vit_z^2)</f>
        <v>46.7006923362462</v>
      </c>
      <c r="J67" s="450" t="n">
        <f aca="false">J66+0.5*(vit_x+G66)*pas*(K66&gt;=0)</f>
        <v>2.58124156181876</v>
      </c>
      <c r="K67" s="451" t="n">
        <f aca="false">K66+0.5*(vit_z+H66)*pas</f>
        <v>14.1609820636909</v>
      </c>
      <c r="L67" s="449" t="n">
        <f aca="false">SQRT(pos_x^2+pos_z^2)</f>
        <v>14.3943121061285</v>
      </c>
      <c r="M67" s="450" t="n">
        <f aca="false">IF(AND(L66&gt;L_rampe,G67&gt;0),ATAN2(G67,H67),$M$4)</f>
        <v>1.38242192330766</v>
      </c>
      <c r="N67" s="449" t="n">
        <f aca="false">DEGREES(Beta)</f>
        <v>79.2069417118869</v>
      </c>
      <c r="O67" s="438"/>
      <c r="P67" s="452" t="n">
        <f aca="false">MATCH(t-pas/2-T_ini,CdP_t)</f>
        <v>3</v>
      </c>
      <c r="Q67" s="449" t="n">
        <f aca="false">(INDEX(CdP,2,i_P+1)-INDEX(CdP,2,i_P+0))/(INDEX(CdP,1,i_P+1)-INDEX(CdP,1,i_P+0))*(t-pas/2-T_ini-INDEX(CdP,1,i_P+0))+INDEX(CdP,2,i_P+0)</f>
        <v>783.25</v>
      </c>
      <c r="R67" s="450" t="n">
        <f aca="false">Poussee/(g*ISP)</f>
        <v>0.393076682034814</v>
      </c>
      <c r="S67" s="451" t="n">
        <f aca="false">S66-Débit*pas</f>
        <v>9.43129157260357</v>
      </c>
      <c r="T67" s="449" t="n">
        <f aca="false">m*g</f>
        <v>92.520970327241</v>
      </c>
      <c r="U67" s="453" t="n">
        <f aca="false">IF(pos_xz&lt;L_rampe,Poids*COS(Beta),0)</f>
        <v>0</v>
      </c>
      <c r="V67" s="450" t="n">
        <f aca="false">Rho_moyen*(20000-Alt_rampe-pos_z)/(20000+Alt_rampe+pos_z)</f>
        <v>1.22326650709529</v>
      </c>
      <c r="W67" s="449" t="n">
        <f aca="false">1/2*Rho*Sref*Cx*vit_xz^2</f>
        <v>5.93203848561398</v>
      </c>
      <c r="X67" s="438"/>
      <c r="Y67" s="454" t="str">
        <f aca="false">IF(AND(pos_z&lt;=0,K66&gt;0),"Impact balistique","") &amp; IF(AND(H68&lt;0,vit_z&gt;=0),"Apogée","") &amp; IF(AND(Poussee=0,Q66&gt;0),"Fin de propulsion","") &amp; IF(AND(L68&gt;L_rampe,pos_xz&lt;=L_rampe),"Sortie de rampe","")</f>
        <v/>
      </c>
      <c r="Z67" s="455" t="str">
        <f aca="false">IF(ABS(t-T_para)&lt;pas/2,"Para","")</f>
        <v/>
      </c>
      <c r="AA67" s="456" t="str">
        <f aca="false">IF(ABS(t-T_satellite)&lt;pas/2,"Satellite","")</f>
        <v/>
      </c>
      <c r="AB67" s="444"/>
      <c r="AC67" s="452" t="e">
        <f aca="false">IF(ABS(t-ROUND(t,0))&lt;0.001,t,NA())</f>
        <v>#N/A</v>
      </c>
      <c r="AD67" s="457" t="e">
        <f aca="false">IF(ABS(t-ROUND(t,0))&lt;0.001,pos_x,NA())</f>
        <v>#N/A</v>
      </c>
      <c r="AE67" s="458" t="n">
        <f aca="false">IF(t&lt;T_para, pos_z, NA())</f>
        <v>14.1609820636909</v>
      </c>
      <c r="AF67" s="444"/>
      <c r="AG67" s="450" t="n">
        <f aca="false">IF(AND(L66&lt;L_rampe,Poussee&lt;Poids*SIN(M66)),0,(-W66+Poussee)/m-Poids*SIN(M66)/m)</f>
        <v>72.8012847727626</v>
      </c>
      <c r="AH67" s="449" t="n">
        <f aca="false">IF(AND(L66&lt;L_rampe,Poussee&lt;Poids*SIN(M66)), g*SIN(M66), (-W66+Poussee)/m)</f>
        <v>82.4384657399127</v>
      </c>
    </row>
    <row r="68" customFormat="false" ht="12" hidden="false" customHeight="false" outlineLevel="0" collapsed="false">
      <c r="A68" s="448" t="n">
        <f aca="false">IF(B67+0.01&lt;=T_ini+ROUNDUP(Temps_fin_propu,0), 0.01, IF(K67&gt;0, 0.1, 0.0001))</f>
        <v>0.01</v>
      </c>
      <c r="B68" s="449" t="n">
        <f aca="false">B67+pas</f>
        <v>0.64</v>
      </c>
      <c r="C68" s="432"/>
      <c r="D68" s="450" t="n">
        <f aca="false">IF(AND(L67&lt;L_rampe,Poussee&lt;Poids*SIN(M67)),0,(-W67+Poussee)/m*COS(M67)-U67/m*SIN(M67))</f>
        <v>15.416964958831</v>
      </c>
      <c r="E68" s="451" t="n">
        <f aca="false">IF(AND(L67&lt;L_rampe,Poussee&lt;Poids*SIN(M67)),0,(-W67+Poussee)/m*SIN(M67)+U67/m*COS(M67)-Poids/m)</f>
        <v>71.0617917700517</v>
      </c>
      <c r="F68" s="449" t="n">
        <f aca="false">SQRT(acc_x^2+acc_z^2)</f>
        <v>72.7149300908143</v>
      </c>
      <c r="G68" s="450" t="n">
        <f aca="false">G67+acc_x*pas</f>
        <v>8.89944887075463</v>
      </c>
      <c r="H68" s="451" t="n">
        <f aca="false">H67+acc_z*pas</f>
        <v>46.5851724771571</v>
      </c>
      <c r="I68" s="449" t="n">
        <f aca="false">SQRT(vit_x^2+vit_z^2)</f>
        <v>47.4276131059708</v>
      </c>
      <c r="J68" s="450" t="n">
        <f aca="false">J67+0.5*(vit_x+G67)*pas*(K67&gt;=0)</f>
        <v>2.66946520227836</v>
      </c>
      <c r="K68" s="451" t="n">
        <f aca="false">K67+0.5*(vit_z+H67)*pas</f>
        <v>14.623280698874</v>
      </c>
      <c r="L68" s="449" t="n">
        <f aca="false">SQRT(pos_x^2+pos_z^2)</f>
        <v>14.8649380376857</v>
      </c>
      <c r="M68" s="450" t="n">
        <f aca="false">IF(AND(L67&gt;L_rampe,G68&gt;0),ATAN2(G68,H68),$M$4)</f>
        <v>1.38203458708667</v>
      </c>
      <c r="N68" s="449" t="n">
        <f aca="false">DEGREES(Beta)</f>
        <v>79.1847489811716</v>
      </c>
      <c r="O68" s="438"/>
      <c r="P68" s="452" t="n">
        <f aca="false">MATCH(t-pas/2-T_ini,CdP_t)</f>
        <v>3</v>
      </c>
      <c r="Q68" s="449" t="n">
        <f aca="false">(INDEX(CdP,2,i_P+1)-INDEX(CdP,2,i_P+0))/(INDEX(CdP,1,i_P+1)-INDEX(CdP,1,i_P+0))*(t-pas/2-T_ini-INDEX(CdP,1,i_P+0))+INDEX(CdP,2,i_P+0)</f>
        <v>782.07</v>
      </c>
      <c r="R68" s="450" t="n">
        <f aca="false">Poussee/(g*ISP)</f>
        <v>0.392484495013044</v>
      </c>
      <c r="S68" s="451" t="n">
        <f aca="false">S67-Débit*pas</f>
        <v>9.42736672765344</v>
      </c>
      <c r="T68" s="449" t="n">
        <f aca="false">m*g</f>
        <v>92.4824675982802</v>
      </c>
      <c r="U68" s="453" t="n">
        <f aca="false">IF(pos_xz&lt;L_rampe,Poids*COS(Beta),0)</f>
        <v>0</v>
      </c>
      <c r="V68" s="450" t="n">
        <f aca="false">Rho_moyen*(20000-Alt_rampe-pos_z)/(20000+Alt_rampe+pos_z)</f>
        <v>1.2232099569295</v>
      </c>
      <c r="W68" s="449" t="n">
        <f aca="false">1/2*Rho*Sref*Cx*vit_xz^2</f>
        <v>6.11786347866784</v>
      </c>
      <c r="X68" s="438"/>
      <c r="Y68" s="454" t="str">
        <f aca="false">IF(AND(pos_z&lt;=0,K67&gt;0),"Impact balistique","") &amp; IF(AND(H69&lt;0,vit_z&gt;=0),"Apogée","") &amp; IF(AND(Poussee=0,Q67&gt;0),"Fin de propulsion","") &amp; IF(AND(L69&gt;L_rampe,pos_xz&lt;=L_rampe),"Sortie de rampe","")</f>
        <v/>
      </c>
      <c r="Z68" s="455" t="str">
        <f aca="false">IF(ABS(t-T_para)&lt;pas/2,"Para","")</f>
        <v/>
      </c>
      <c r="AA68" s="456" t="str">
        <f aca="false">IF(ABS(t-T_satellite)&lt;pas/2,"Satellite","")</f>
        <v/>
      </c>
      <c r="AB68" s="444"/>
      <c r="AC68" s="452" t="e">
        <f aca="false">IF(ABS(t-ROUND(t,0))&lt;0.001,t,NA())</f>
        <v>#N/A</v>
      </c>
      <c r="AD68" s="457" t="e">
        <f aca="false">IF(ABS(t-ROUND(t,0))&lt;0.001,pos_x,NA())</f>
        <v>#N/A</v>
      </c>
      <c r="AE68" s="458" t="n">
        <f aca="false">IF(t&lt;T_para, pos_z, NA())</f>
        <v>14.623280698874</v>
      </c>
      <c r="AF68" s="444"/>
      <c r="AG68" s="450" t="n">
        <f aca="false">IF(AND(L67&lt;L_rampe,Poussee&lt;Poids*SIN(M67)),0,(-W67+Poussee)/m-Poids*SIN(M67)/m)</f>
        <v>72.6917211957711</v>
      </c>
      <c r="AH68" s="449" t="n">
        <f aca="false">IF(AND(L67&lt;L_rampe,Poussee&lt;Poids*SIN(M67)), g*SIN(M67), (-W67+Poussee)/m)</f>
        <v>82.3281817644506</v>
      </c>
    </row>
    <row r="69" customFormat="false" ht="12" hidden="false" customHeight="false" outlineLevel="0" collapsed="false">
      <c r="A69" s="448" t="n">
        <f aca="false">IF(B68+0.01&lt;=T_ini+ROUNDUP(Temps_fin_propu,0), 0.01, IF(K68&gt;0, 0.1, 0.0001))</f>
        <v>0.01</v>
      </c>
      <c r="B69" s="449" t="n">
        <f aca="false">B68+pas</f>
        <v>0.65</v>
      </c>
      <c r="C69" s="432"/>
      <c r="D69" s="450" t="n">
        <f aca="false">IF(AND(L68&lt;L_rampe,Poussee&lt;Poids*SIN(M68)),0,(-W68+Poussee)/m*COS(M68)-U68/m*SIN(M68))</f>
        <v>15.4275160915354</v>
      </c>
      <c r="E69" s="451" t="n">
        <f aca="false">IF(AND(L68&lt;L_rampe,Poussee&lt;Poids*SIN(M68)),0,(-W68+Poussee)/m*SIN(M68)+U68/m*COS(M68)-Poids/m)</f>
        <v>70.9470792816242</v>
      </c>
      <c r="F69" s="449" t="n">
        <f aca="false">SQRT(acc_x^2+acc_z^2)</f>
        <v>72.6050708377015</v>
      </c>
      <c r="G69" s="450" t="n">
        <f aca="false">G68+acc_x*pas</f>
        <v>9.05372403166999</v>
      </c>
      <c r="H69" s="451" t="n">
        <f aca="false">H68+acc_z*pas</f>
        <v>47.2946432699733</v>
      </c>
      <c r="I69" s="449" t="n">
        <f aca="false">SQRT(vit_x^2+vit_z^2)</f>
        <v>48.153433946871</v>
      </c>
      <c r="J69" s="450" t="n">
        <f aca="false">J68+0.5*(vit_x+G68)*pas*(K68&gt;=0)</f>
        <v>2.75923106679048</v>
      </c>
      <c r="K69" s="451" t="n">
        <f aca="false">K68+0.5*(vit_z+H68)*pas</f>
        <v>15.0926797776097</v>
      </c>
      <c r="L69" s="449" t="n">
        <f aca="false">SQRT(pos_x^2+pos_z^2)</f>
        <v>15.342826954294</v>
      </c>
      <c r="M69" s="450" t="n">
        <f aca="false">IF(AND(L68&gt;L_rampe,G69&gt;0),ATAN2(G69,H69),$M$4)</f>
        <v>1.38165231410976</v>
      </c>
      <c r="N69" s="449" t="n">
        <f aca="false">DEGREES(Beta)</f>
        <v>79.1628463529728</v>
      </c>
      <c r="O69" s="438"/>
      <c r="P69" s="452" t="n">
        <f aca="false">MATCH(t-pas/2-T_ini,CdP_t)</f>
        <v>3</v>
      </c>
      <c r="Q69" s="449" t="n">
        <f aca="false">(INDEX(CdP,2,i_P+1)-INDEX(CdP,2,i_P+0))/(INDEX(CdP,1,i_P+1)-INDEX(CdP,1,i_P+0))*(t-pas/2-T_ini-INDEX(CdP,1,i_P+0))+INDEX(CdP,2,i_P+0)</f>
        <v>780.89</v>
      </c>
      <c r="R69" s="450" t="n">
        <f aca="false">Poussee/(g*ISP)</f>
        <v>0.391892307991275</v>
      </c>
      <c r="S69" s="451" t="n">
        <f aca="false">S68-Débit*pas</f>
        <v>9.42344780457352</v>
      </c>
      <c r="T69" s="449" t="n">
        <f aca="false">m*g</f>
        <v>92.4440229628663</v>
      </c>
      <c r="U69" s="453" t="n">
        <f aca="false">IF(pos_xz&lt;L_rampe,Poids*COS(Beta),0)</f>
        <v>0</v>
      </c>
      <c r="V69" s="450" t="n">
        <f aca="false">Rho_moyen*(20000-Alt_rampe-pos_z)/(20000+Alt_rampe+pos_z)</f>
        <v>1.22315254088269</v>
      </c>
      <c r="W69" s="449" t="n">
        <f aca="false">1/2*Rho*Sref*Cx*vit_xz^2</f>
        <v>6.30625292857805</v>
      </c>
      <c r="X69" s="438"/>
      <c r="Y69" s="454" t="str">
        <f aca="false">IF(AND(pos_z&lt;=0,K68&gt;0),"Impact balistique","") &amp; IF(AND(H70&lt;0,vit_z&gt;=0),"Apogée","") &amp; IF(AND(Poussee=0,Q68&gt;0),"Fin de propulsion","") &amp; IF(AND(L70&gt;L_rampe,pos_xz&lt;=L_rampe),"Sortie de rampe","")</f>
        <v/>
      </c>
      <c r="Z69" s="455" t="str">
        <f aca="false">IF(ABS(t-T_para)&lt;pas/2,"Para","")</f>
        <v/>
      </c>
      <c r="AA69" s="456" t="str">
        <f aca="false">IF(ABS(t-T_satellite)&lt;pas/2,"Satellite","")</f>
        <v/>
      </c>
      <c r="AB69" s="444"/>
      <c r="AC69" s="452" t="e">
        <f aca="false">IF(ABS(t-ROUND(t,0))&lt;0.001,t,NA())</f>
        <v>#N/A</v>
      </c>
      <c r="AD69" s="457" t="e">
        <f aca="false">IF(ABS(t-ROUND(t,0))&lt;0.001,pos_x,NA())</f>
        <v>#N/A</v>
      </c>
      <c r="AE69" s="458" t="n">
        <f aca="false">IF(t&lt;T_para, pos_z, NA())</f>
        <v>15.0926797776097</v>
      </c>
      <c r="AF69" s="444"/>
      <c r="AG69" s="450" t="n">
        <f aca="false">IF(AND(L68&lt;L_rampe,Poussee&lt;Poids*SIN(M68)),0,(-W68+Poussee)/m-Poids*SIN(M68)/m)</f>
        <v>72.5817322506368</v>
      </c>
      <c r="AH69" s="449" t="n">
        <f aca="false">IF(AND(L68&lt;L_rampe,Poussee&lt;Poids*SIN(M68)), g*SIN(M68), (-W68+Poussee)/m)</f>
        <v>82.2174805430884</v>
      </c>
    </row>
    <row r="70" customFormat="false" ht="12" hidden="false" customHeight="false" outlineLevel="0" collapsed="false">
      <c r="A70" s="448" t="n">
        <f aca="false">IF(B69+0.01&lt;=T_ini+ROUNDUP(Temps_fin_propu,0), 0.01, IF(K69&gt;0, 0.1, 0.0001))</f>
        <v>0.01</v>
      </c>
      <c r="B70" s="449" t="n">
        <f aca="false">B69+pas</f>
        <v>0.66</v>
      </c>
      <c r="C70" s="432"/>
      <c r="D70" s="450" t="n">
        <f aca="false">IF(AND(L69&lt;L_rampe,Poussee&lt;Poids*SIN(M69)),0,(-W69+Poussee)/m*COS(M69)-U69/m*SIN(M69))</f>
        <v>15.4374941516472</v>
      </c>
      <c r="E70" s="451" t="n">
        <f aca="false">IF(AND(L69&lt;L_rampe,Poussee&lt;Poids*SIN(M69)),0,(-W69+Poussee)/m*SIN(M69)+U69/m*COS(M69)-Poids/m)</f>
        <v>70.8320403726158</v>
      </c>
      <c r="F70" s="449" t="n">
        <f aca="false">SQRT(acc_x^2+acc_z^2)</f>
        <v>72.4947871852178</v>
      </c>
      <c r="G70" s="450" t="n">
        <f aca="false">G69+acc_x*pas</f>
        <v>9.20809897318646</v>
      </c>
      <c r="H70" s="451" t="n">
        <f aca="false">H69+acc_z*pas</f>
        <v>48.0029636736995</v>
      </c>
      <c r="I70" s="449" t="n">
        <f aca="false">SQRT(vit_x^2+vit_z^2)</f>
        <v>48.8781506213002</v>
      </c>
      <c r="J70" s="450" t="n">
        <f aca="false">J69+0.5*(vit_x+G69)*pas*(K69&gt;=0)</f>
        <v>2.85054018181477</v>
      </c>
      <c r="K70" s="451" t="n">
        <f aca="false">K69+0.5*(vit_z+H69)*pas</f>
        <v>15.569167812328</v>
      </c>
      <c r="L70" s="449" t="n">
        <f aca="false">SQRT(pos_x^2+pos_z^2)</f>
        <v>15.8279678321815</v>
      </c>
      <c r="M70" s="450" t="n">
        <f aca="false">IF(AND(L69&gt;L_rampe,G70&gt;0),ATAN2(G70,H70),$M$4)</f>
        <v>1.38127495551877</v>
      </c>
      <c r="N70" s="449" t="n">
        <f aca="false">DEGREES(Beta)</f>
        <v>79.141225298346</v>
      </c>
      <c r="O70" s="438"/>
      <c r="P70" s="452" t="n">
        <f aca="false">MATCH(t-pas/2-T_ini,CdP_t)</f>
        <v>3</v>
      </c>
      <c r="Q70" s="449" t="n">
        <f aca="false">(INDEX(CdP,2,i_P+1)-INDEX(CdP,2,i_P+0))/(INDEX(CdP,1,i_P+1)-INDEX(CdP,1,i_P+0))*(t-pas/2-T_ini-INDEX(CdP,1,i_P+0))+INDEX(CdP,2,i_P+0)</f>
        <v>779.71</v>
      </c>
      <c r="R70" s="450" t="n">
        <f aca="false">Poussee/(g*ISP)</f>
        <v>0.391300120969505</v>
      </c>
      <c r="S70" s="451" t="n">
        <f aca="false">S69-Débit*pas</f>
        <v>9.41953480336383</v>
      </c>
      <c r="T70" s="449" t="n">
        <f aca="false">m*g</f>
        <v>92.4056364209992</v>
      </c>
      <c r="U70" s="453" t="n">
        <f aca="false">IF(pos_xz&lt;L_rampe,Poids*COS(Beta),0)</f>
        <v>0</v>
      </c>
      <c r="V70" s="450" t="n">
        <f aca="false">Rho_moyen*(20000-Alt_rampe-pos_z)/(20000+Alt_rampe+pos_z)</f>
        <v>1.22309426048191</v>
      </c>
      <c r="W70" s="449" t="n">
        <f aca="false">1/2*Rho*Sref*Cx*vit_xz^2</f>
        <v>6.4971919250723</v>
      </c>
      <c r="X70" s="438"/>
      <c r="Y70" s="454" t="str">
        <f aca="false">IF(AND(pos_z&lt;=0,K69&gt;0),"Impact balistique","") &amp; IF(AND(H71&lt;0,vit_z&gt;=0),"Apogée","") &amp; IF(AND(Poussee=0,Q69&gt;0),"Fin de propulsion","") &amp; IF(AND(L71&gt;L_rampe,pos_xz&lt;=L_rampe),"Sortie de rampe","")</f>
        <v/>
      </c>
      <c r="Z70" s="455" t="str">
        <f aca="false">IF(ABS(t-T_para)&lt;pas/2,"Para","")</f>
        <v/>
      </c>
      <c r="AA70" s="456" t="str">
        <f aca="false">IF(ABS(t-T_satellite)&lt;pas/2,"Satellite","")</f>
        <v/>
      </c>
      <c r="AB70" s="444"/>
      <c r="AC70" s="452" t="e">
        <f aca="false">IF(ABS(t-ROUND(t,0))&lt;0.001,t,NA())</f>
        <v>#N/A</v>
      </c>
      <c r="AD70" s="457" t="e">
        <f aca="false">IF(ABS(t-ROUND(t,0))&lt;0.001,pos_x,NA())</f>
        <v>#N/A</v>
      </c>
      <c r="AE70" s="458" t="n">
        <f aca="false">IF(t&lt;T_para, pos_z, NA())</f>
        <v>15.569167812328</v>
      </c>
      <c r="AF70" s="444"/>
      <c r="AG70" s="450" t="n">
        <f aca="false">IF(AND(L69&lt;L_rampe,Poussee&lt;Poids*SIN(M69)),0,(-W69+Poussee)/m-Poids*SIN(M69)/m)</f>
        <v>72.4713194316956</v>
      </c>
      <c r="AH70" s="449" t="n">
        <f aca="false">IF(AND(L69&lt;L_rampe,Poussee&lt;Poids*SIN(M69)), g*SIN(M69), (-W69+Poussee)/m)</f>
        <v>82.1063633413436</v>
      </c>
    </row>
    <row r="71" customFormat="false" ht="12" hidden="false" customHeight="false" outlineLevel="0" collapsed="false">
      <c r="A71" s="448" t="n">
        <f aca="false">IF(B70+0.01&lt;=T_ini+ROUNDUP(Temps_fin_propu,0), 0.01, IF(K70&gt;0, 0.1, 0.0001))</f>
        <v>0.01</v>
      </c>
      <c r="B71" s="449" t="n">
        <f aca="false">B70+pas</f>
        <v>0.67</v>
      </c>
      <c r="C71" s="432"/>
      <c r="D71" s="450" t="n">
        <f aca="false">IF(AND(L70&lt;L_rampe,Poussee&lt;Poids*SIN(M70)),0,(-W70+Poussee)/m*COS(M70)-U70/m*SIN(M70))</f>
        <v>15.4469126498269</v>
      </c>
      <c r="E71" s="451" t="n">
        <f aca="false">IF(AND(L70&lt;L_rampe,Poussee&lt;Poids*SIN(M70)),0,(-W70+Poussee)/m*SIN(M70)+U70/m*COS(M70)-Poids/m)</f>
        <v>70.7166742852844</v>
      </c>
      <c r="F71" s="449" t="n">
        <f aca="false">SQRT(acc_x^2+acc_z^2)</f>
        <v>72.3840806557794</v>
      </c>
      <c r="G71" s="450" t="n">
        <f aca="false">G70+acc_x*pas</f>
        <v>9.36256809968472</v>
      </c>
      <c r="H71" s="451" t="n">
        <f aca="false">H70+acc_z*pas</f>
        <v>48.7101304165523</v>
      </c>
      <c r="I71" s="449" t="n">
        <f aca="false">SQRT(vit_x^2+vit_z^2)</f>
        <v>49.6017589065022</v>
      </c>
      <c r="J71" s="450" t="n">
        <f aca="false">J70+0.5*(vit_x+G70)*pas*(K70&gt;=0)</f>
        <v>2.94339351717912</v>
      </c>
      <c r="K71" s="451" t="n">
        <f aca="false">K70+0.5*(vit_z+H70)*pas</f>
        <v>16.0527332827793</v>
      </c>
      <c r="L71" s="449" t="n">
        <f aca="false">SQRT(pos_x^2+pos_z^2)</f>
        <v>16.3203496054779</v>
      </c>
      <c r="M71" s="450" t="n">
        <f aca="false">IF(AND(L70&gt;L_rampe,G71&gt;0),ATAN2(G71,H71),$M$4)</f>
        <v>1.38090236898559</v>
      </c>
      <c r="N71" s="449" t="n">
        <f aca="false">DEGREES(Beta)</f>
        <v>79.1198776624917</v>
      </c>
      <c r="O71" s="438"/>
      <c r="P71" s="452" t="n">
        <f aca="false">MATCH(t-pas/2-T_ini,CdP_t)</f>
        <v>3</v>
      </c>
      <c r="Q71" s="449" t="n">
        <f aca="false">(INDEX(CdP,2,i_P+1)-INDEX(CdP,2,i_P+0))/(INDEX(CdP,1,i_P+1)-INDEX(CdP,1,i_P+0))*(t-pas/2-T_ini-INDEX(CdP,1,i_P+0))+INDEX(CdP,2,i_P+0)</f>
        <v>778.53</v>
      </c>
      <c r="R71" s="450" t="n">
        <f aca="false">Poussee/(g*ISP)</f>
        <v>0.390707933947735</v>
      </c>
      <c r="S71" s="451" t="n">
        <f aca="false">S70-Débit*pas</f>
        <v>9.41562772402435</v>
      </c>
      <c r="T71" s="449" t="n">
        <f aca="false">m*g</f>
        <v>92.3673079726789</v>
      </c>
      <c r="U71" s="453" t="n">
        <f aca="false">IF(pos_xz&lt;L_rampe,Poids*COS(Beta),0)</f>
        <v>0</v>
      </c>
      <c r="V71" s="450" t="n">
        <f aca="false">Rho_moyen*(20000-Alt_rampe-pos_z)/(20000+Alt_rampe+pos_z)</f>
        <v>1.22303511725979</v>
      </c>
      <c r="W71" s="449" t="n">
        <f aca="false">1/2*Rho*Sref*Cx*vit_xz^2</f>
        <v>6.69066550767643</v>
      </c>
      <c r="X71" s="438"/>
      <c r="Y71" s="454" t="str">
        <f aca="false">IF(AND(pos_z&lt;=0,K70&gt;0),"Impact balistique","") &amp; IF(AND(H72&lt;0,vit_z&gt;=0),"Apogée","") &amp; IF(AND(Poussee=0,Q70&gt;0),"Fin de propulsion","") &amp; IF(AND(L72&gt;L_rampe,pos_xz&lt;=L_rampe),"Sortie de rampe","")</f>
        <v/>
      </c>
      <c r="Z71" s="455" t="str">
        <f aca="false">IF(ABS(t-T_para)&lt;pas/2,"Para","")</f>
        <v/>
      </c>
      <c r="AA71" s="456" t="str">
        <f aca="false">IF(ABS(t-T_satellite)&lt;pas/2,"Satellite","")</f>
        <v/>
      </c>
      <c r="AB71" s="444"/>
      <c r="AC71" s="452" t="e">
        <f aca="false">IF(ABS(t-ROUND(t,0))&lt;0.001,t,NA())</f>
        <v>#N/A</v>
      </c>
      <c r="AD71" s="457" t="e">
        <f aca="false">IF(ABS(t-ROUND(t,0))&lt;0.001,pos_x,NA())</f>
        <v>#N/A</v>
      </c>
      <c r="AE71" s="458" t="n">
        <f aca="false">IF(t&lt;T_para, pos_z, NA())</f>
        <v>16.0527332827793</v>
      </c>
      <c r="AF71" s="444"/>
      <c r="AG71" s="450" t="n">
        <f aca="false">IF(AND(L70&lt;L_rampe,Poussee&lt;Poids*SIN(M70)),0,(-W70+Poussee)/m-Poids*SIN(M70)/m)</f>
        <v>72.3604842325974</v>
      </c>
      <c r="AH71" s="449" t="n">
        <f aca="false">IF(AND(L70&lt;L_rampe,Poussee&lt;Poids*SIN(M70)), g*SIN(M70), (-W70+Poussee)/m)</f>
        <v>81.9948314338146</v>
      </c>
    </row>
    <row r="72" customFormat="false" ht="12" hidden="false" customHeight="false" outlineLevel="0" collapsed="false">
      <c r="A72" s="448" t="n">
        <f aca="false">IF(B71+0.01&lt;=T_ini+ROUNDUP(Temps_fin_propu,0), 0.01, IF(K71&gt;0, 0.1, 0.0001))</f>
        <v>0.01</v>
      </c>
      <c r="B72" s="449" t="n">
        <f aca="false">B71+pas</f>
        <v>0.68</v>
      </c>
      <c r="C72" s="432"/>
      <c r="D72" s="450" t="n">
        <f aca="false">IF(AND(L71&lt;L_rampe,Poussee&lt;Poids*SIN(M71)),0,(-W71+Poussee)/m*COS(M71)-U71/m*SIN(M71))</f>
        <v>15.4557845175129</v>
      </c>
      <c r="E72" s="451" t="n">
        <f aca="false">IF(AND(L71&lt;L_rampe,Poussee&lt;Poids*SIN(M71)),0,(-W71+Poussee)/m*SIN(M71)+U71/m*COS(M71)-Poids/m)</f>
        <v>70.6009803552228</v>
      </c>
      <c r="F72" s="449" t="n">
        <f aca="false">SQRT(acc_x^2+acc_z^2)</f>
        <v>72.2729527705236</v>
      </c>
      <c r="G72" s="450" t="n">
        <f aca="false">G71+acc_x*pas</f>
        <v>9.51712594485985</v>
      </c>
      <c r="H72" s="451" t="n">
        <f aca="false">H71+acc_z*pas</f>
        <v>49.4161402201045</v>
      </c>
      <c r="I72" s="449" t="n">
        <f aca="false">SQRT(vit_x^2+vit_z^2)</f>
        <v>50.3242545946123</v>
      </c>
      <c r="J72" s="450" t="n">
        <f aca="false">J71+0.5*(vit_x+G71)*pas*(K71&gt;=0)</f>
        <v>3.03779198740185</v>
      </c>
      <c r="K72" s="451" t="n">
        <f aca="false">K71+0.5*(vit_z+H71)*pas</f>
        <v>16.5433646359626</v>
      </c>
      <c r="L72" s="449" t="n">
        <f aca="false">SQRT(pos_x^2+pos_z^2)</f>
        <v>16.8199611663386</v>
      </c>
      <c r="M72" s="450" t="n">
        <f aca="false">IF(AND(L71&gt;L_rampe,G72&gt;0),ATAN2(G72,H72),$M$4)</f>
        <v>1.38053441833185</v>
      </c>
      <c r="N72" s="449" t="n">
        <f aca="false">DEGREES(Beta)</f>
        <v>79.0987956429631</v>
      </c>
      <c r="O72" s="438"/>
      <c r="P72" s="452" t="n">
        <f aca="false">MATCH(t-pas/2-T_ini,CdP_t)</f>
        <v>3</v>
      </c>
      <c r="Q72" s="449" t="n">
        <f aca="false">(INDEX(CdP,2,i_P+1)-INDEX(CdP,2,i_P+0))/(INDEX(CdP,1,i_P+1)-INDEX(CdP,1,i_P+0))*(t-pas/2-T_ini-INDEX(CdP,1,i_P+0))+INDEX(CdP,2,i_P+0)</f>
        <v>777.35</v>
      </c>
      <c r="R72" s="450" t="n">
        <f aca="false">Poussee/(g*ISP)</f>
        <v>0.390115746925966</v>
      </c>
      <c r="S72" s="451" t="n">
        <f aca="false">S71-Débit*pas</f>
        <v>9.41172656655509</v>
      </c>
      <c r="T72" s="449" t="n">
        <f aca="false">m*g</f>
        <v>92.3290376179054</v>
      </c>
      <c r="U72" s="453" t="n">
        <f aca="false">IF(pos_xz&lt;L_rampe,Poids*COS(Beta),0)</f>
        <v>0</v>
      </c>
      <c r="V72" s="450" t="n">
        <f aca="false">Rho_moyen*(20000-Alt_rampe-pos_z)/(20000+Alt_rampe+pos_z)</f>
        <v>1.2229751127545</v>
      </c>
      <c r="W72" s="449" t="n">
        <f aca="false">1/2*Rho*Sref*Cx*vit_xz^2</f>
        <v>6.88665866640905</v>
      </c>
      <c r="X72" s="438"/>
      <c r="Y72" s="454" t="str">
        <f aca="false">IF(AND(pos_z&lt;=0,K71&gt;0),"Impact balistique","") &amp; IF(AND(H73&lt;0,vit_z&gt;=0),"Apogée","") &amp; IF(AND(Poussee=0,Q71&gt;0),"Fin de propulsion","") &amp; IF(AND(L73&gt;L_rampe,pos_xz&lt;=L_rampe),"Sortie de rampe","")</f>
        <v/>
      </c>
      <c r="Z72" s="455" t="str">
        <f aca="false">IF(ABS(t-T_para)&lt;pas/2,"Para","")</f>
        <v/>
      </c>
      <c r="AA72" s="456" t="str">
        <f aca="false">IF(ABS(t-T_satellite)&lt;pas/2,"Satellite","")</f>
        <v/>
      </c>
      <c r="AB72" s="444"/>
      <c r="AC72" s="452" t="e">
        <f aca="false">IF(ABS(t-ROUND(t,0))&lt;0.001,t,NA())</f>
        <v>#N/A</v>
      </c>
      <c r="AD72" s="457" t="e">
        <f aca="false">IF(ABS(t-ROUND(t,0))&lt;0.001,pos_x,NA())</f>
        <v>#N/A</v>
      </c>
      <c r="AE72" s="458" t="n">
        <f aca="false">IF(t&lt;T_para, pos_z, NA())</f>
        <v>16.5433646359626</v>
      </c>
      <c r="AF72" s="444"/>
      <c r="AG72" s="450" t="n">
        <f aca="false">IF(AND(L71&lt;L_rampe,Poussee&lt;Poids*SIN(M71)),0,(-W71+Poussee)/m-Poids*SIN(M71)/m)</f>
        <v>72.2492281468034</v>
      </c>
      <c r="AH72" s="449" t="n">
        <f aca="false">IF(AND(L71&lt;L_rampe,Poussee&lt;Poids*SIN(M71)), g*SIN(M71), (-W71+Poussee)/m)</f>
        <v>81.8828861041171</v>
      </c>
    </row>
    <row r="73" customFormat="false" ht="12" hidden="false" customHeight="false" outlineLevel="0" collapsed="false">
      <c r="A73" s="448" t="n">
        <f aca="false">IF(B72+0.01&lt;=T_ini+ROUNDUP(Temps_fin_propu,0), 0.01, IF(K72&gt;0, 0.1, 0.0001))</f>
        <v>0.01</v>
      </c>
      <c r="B73" s="449" t="n">
        <f aca="false">B72+pas</f>
        <v>0.69</v>
      </c>
      <c r="C73" s="432"/>
      <c r="D73" s="450" t="n">
        <f aca="false">IF(AND(L72&lt;L_rampe,Poussee&lt;Poids*SIN(M72)),0,(-W72+Poussee)/m*COS(M72)-U72/m*SIN(M72))</f>
        <v>15.4641221406954</v>
      </c>
      <c r="E73" s="451" t="n">
        <f aca="false">IF(AND(L72&lt;L_rampe,Poussee&lt;Poids*SIN(M72)),0,(-W72+Poussee)/m*SIN(M72)+U72/m*COS(M72)-Poids/m)</f>
        <v>70.4849580065351</v>
      </c>
      <c r="F73" s="449" t="n">
        <f aca="false">SQRT(acc_x^2+acc_z^2)</f>
        <v>72.1614050498281</v>
      </c>
      <c r="G73" s="450" t="n">
        <f aca="false">G72+acc_x*pas</f>
        <v>9.67176716626681</v>
      </c>
      <c r="H73" s="451" t="n">
        <f aca="false">H72+acc_z*pas</f>
        <v>50.1209898001699</v>
      </c>
      <c r="I73" s="449" t="n">
        <f aca="false">SQRT(vit_x^2+vit_z^2)</f>
        <v>51.0456334926623</v>
      </c>
      <c r="J73" s="450" t="n">
        <f aca="false">J72+0.5*(vit_x+G72)*pas*(K72&gt;=0)</f>
        <v>3.13373645295748</v>
      </c>
      <c r="K73" s="451" t="n">
        <f aca="false">K72+0.5*(vit_z+H72)*pas</f>
        <v>17.0410502860639</v>
      </c>
      <c r="L73" s="449" t="n">
        <f aca="false">SQRT(pos_x^2+pos_z^2)</f>
        <v>17.3267913650726</v>
      </c>
      <c r="M73" s="450" t="n">
        <f aca="false">IF(AND(L72&gt;L_rampe,G73&gt;0),ATAN2(G73,H73),$M$4)</f>
        <v>1.38017097317599</v>
      </c>
      <c r="N73" s="449" t="n">
        <f aca="false">DEGREES(Beta)</f>
        <v>79.0779717694476</v>
      </c>
      <c r="O73" s="438"/>
      <c r="P73" s="452" t="n">
        <f aca="false">MATCH(t-pas/2-T_ini,CdP_t)</f>
        <v>3</v>
      </c>
      <c r="Q73" s="449" t="n">
        <f aca="false">(INDEX(CdP,2,i_P+1)-INDEX(CdP,2,i_P+0))/(INDEX(CdP,1,i_P+1)-INDEX(CdP,1,i_P+0))*(t-pas/2-T_ini-INDEX(CdP,1,i_P+0))+INDEX(CdP,2,i_P+0)</f>
        <v>776.17</v>
      </c>
      <c r="R73" s="450" t="n">
        <f aca="false">Poussee/(g*ISP)</f>
        <v>0.389523559904196</v>
      </c>
      <c r="S73" s="451" t="n">
        <f aca="false">S72-Débit*pas</f>
        <v>9.40783133095605</v>
      </c>
      <c r="T73" s="449" t="n">
        <f aca="false">m*g</f>
        <v>92.2908253566788</v>
      </c>
      <c r="U73" s="453" t="n">
        <f aca="false">IF(pos_xz&lt;L_rampe,Poids*COS(Beta),0)</f>
        <v>0</v>
      </c>
      <c r="V73" s="450" t="n">
        <f aca="false">Rho_moyen*(20000-Alt_rampe-pos_z)/(20000+Alt_rampe+pos_z)</f>
        <v>1.22291424850976</v>
      </c>
      <c r="W73" s="449" t="n">
        <f aca="false">1/2*Rho*Sref*Cx*vit_xz^2</f>
        <v>7.08515634247715</v>
      </c>
      <c r="X73" s="438"/>
      <c r="Y73" s="454" t="str">
        <f aca="false">IF(AND(pos_z&lt;=0,K72&gt;0),"Impact balistique","") &amp; IF(AND(H74&lt;0,vit_z&gt;=0),"Apogée","") &amp; IF(AND(Poussee=0,Q72&gt;0),"Fin de propulsion","") &amp; IF(AND(L74&gt;L_rampe,pos_xz&lt;=L_rampe),"Sortie de rampe","")</f>
        <v/>
      </c>
      <c r="Z73" s="455" t="str">
        <f aca="false">IF(ABS(t-T_para)&lt;pas/2,"Para","")</f>
        <v/>
      </c>
      <c r="AA73" s="456" t="str">
        <f aca="false">IF(ABS(t-T_satellite)&lt;pas/2,"Satellite","")</f>
        <v/>
      </c>
      <c r="AB73" s="444"/>
      <c r="AC73" s="452" t="e">
        <f aca="false">IF(ABS(t-ROUND(t,0))&lt;0.001,t,NA())</f>
        <v>#N/A</v>
      </c>
      <c r="AD73" s="457" t="e">
        <f aca="false">IF(ABS(t-ROUND(t,0))&lt;0.001,pos_x,NA())</f>
        <v>#N/A</v>
      </c>
      <c r="AE73" s="458" t="n">
        <f aca="false">IF(t&lt;T_para, pos_z, NA())</f>
        <v>17.0410502860639</v>
      </c>
      <c r="AF73" s="444"/>
      <c r="AG73" s="450" t="n">
        <f aca="false">IF(AND(L72&lt;L_rampe,Poussee&lt;Poids*SIN(M72)),0,(-W72+Poussee)/m-Poids*SIN(M72)/m)</f>
        <v>72.1375526680422</v>
      </c>
      <c r="AH73" s="449" t="n">
        <f aca="false">IF(AND(L72&lt;L_rampe,Poussee&lt;Poids*SIN(M72)), g*SIN(M72), (-W72+Poussee)/m)</f>
        <v>81.7705286448215</v>
      </c>
    </row>
    <row r="74" customFormat="false" ht="12" hidden="false" customHeight="false" outlineLevel="0" collapsed="false">
      <c r="A74" s="448" t="n">
        <f aca="false">IF(B73+0.01&lt;=T_ini+ROUNDUP(Temps_fin_propu,0), 0.01, IF(K73&gt;0, 0.1, 0.0001))</f>
        <v>0.01</v>
      </c>
      <c r="B74" s="449" t="n">
        <f aca="false">B73+pas</f>
        <v>0.7</v>
      </c>
      <c r="C74" s="432"/>
      <c r="D74" s="450" t="n">
        <f aca="false">IF(AND(L73&lt;L_rampe,Poussee&lt;Poids*SIN(M73)),0,(-W73+Poussee)/m*COS(M73)-U73/m*SIN(M73))</f>
        <v>15.4719373912561</v>
      </c>
      <c r="E74" s="451" t="n">
        <f aca="false">IF(AND(L73&lt;L_rampe,Poussee&lt;Poids*SIN(M73)),0,(-W73+Poussee)/m*SIN(M73)+U73/m*COS(M73)-Poids/m)</f>
        <v>70.3686067473477</v>
      </c>
      <c r="F74" s="449" t="n">
        <f aca="false">SQRT(acc_x^2+acc_z^2)</f>
        <v>72.0494390137899</v>
      </c>
      <c r="G74" s="450" t="n">
        <f aca="false">G73+acc_x*pas</f>
        <v>9.82648654017937</v>
      </c>
      <c r="H74" s="451" t="n">
        <f aca="false">H73+acc_z*pas</f>
        <v>50.8246758676434</v>
      </c>
      <c r="I74" s="449" t="n">
        <f aca="false">SQRT(vit_x^2+vit_z^2)</f>
        <v>51.7658914225896</v>
      </c>
      <c r="J74" s="450" t="n">
        <f aca="false">J73+0.5*(vit_x+G73)*pas*(K73&gt;=0)</f>
        <v>3.23122772148971</v>
      </c>
      <c r="K74" s="451" t="n">
        <f aca="false">K73+0.5*(vit_z+H73)*pas</f>
        <v>17.545778614403</v>
      </c>
      <c r="L74" s="449" t="n">
        <f aca="false">SQRT(pos_x^2+pos_z^2)</f>
        <v>17.8408290102721</v>
      </c>
      <c r="M74" s="450" t="n">
        <f aca="false">IF(AND(L73&gt;L_rampe,G74&gt;0),ATAN2(G74,H74),$M$4)</f>
        <v>1.37981190860548</v>
      </c>
      <c r="N74" s="449" t="n">
        <f aca="false">DEGREES(Beta)</f>
        <v>79.057398884985</v>
      </c>
      <c r="O74" s="438"/>
      <c r="P74" s="452" t="n">
        <f aca="false">MATCH(t-pas/2-T_ini,CdP_t)</f>
        <v>3</v>
      </c>
      <c r="Q74" s="449" t="n">
        <f aca="false">(INDEX(CdP,2,i_P+1)-INDEX(CdP,2,i_P+0))/(INDEX(CdP,1,i_P+1)-INDEX(CdP,1,i_P+0))*(t-pas/2-T_ini-INDEX(CdP,1,i_P+0))+INDEX(CdP,2,i_P+0)</f>
        <v>774.99</v>
      </c>
      <c r="R74" s="450" t="n">
        <f aca="false">Poussee/(g*ISP)</f>
        <v>0.388931372882426</v>
      </c>
      <c r="S74" s="451" t="n">
        <f aca="false">S73-Débit*pas</f>
        <v>9.40394201722723</v>
      </c>
      <c r="T74" s="449" t="n">
        <f aca="false">m*g</f>
        <v>92.2526711889991</v>
      </c>
      <c r="U74" s="453" t="n">
        <f aca="false">IF(pos_xz&lt;L_rampe,Poids*COS(Beta),0)</f>
        <v>0</v>
      </c>
      <c r="V74" s="450" t="n">
        <f aca="false">Rho_moyen*(20000-Alt_rampe-pos_z)/(20000+Alt_rampe+pos_z)</f>
        <v>1.22285252607484</v>
      </c>
      <c r="W74" s="449" t="n">
        <f aca="false">1/2*Rho*Sref*Cx*vit_xz^2</f>
        <v>7.28614342897265</v>
      </c>
      <c r="X74" s="438"/>
      <c r="Y74" s="454" t="str">
        <f aca="false">IF(AND(pos_z&lt;=0,K73&gt;0),"Impact balistique","") &amp; IF(AND(H75&lt;0,vit_z&gt;=0),"Apogée","") &amp; IF(AND(Poussee=0,Q73&gt;0),"Fin de propulsion","") &amp; IF(AND(L75&gt;L_rampe,pos_xz&lt;=L_rampe),"Sortie de rampe","")</f>
        <v/>
      </c>
      <c r="Z74" s="455" t="str">
        <f aca="false">IF(ABS(t-T_para)&lt;pas/2,"Para","")</f>
        <v/>
      </c>
      <c r="AA74" s="456" t="str">
        <f aca="false">IF(ABS(t-T_satellite)&lt;pas/2,"Satellite","")</f>
        <v/>
      </c>
      <c r="AB74" s="444"/>
      <c r="AC74" s="452" t="e">
        <f aca="false">IF(ABS(t-ROUND(t,0))&lt;0.001,t,NA())</f>
        <v>#N/A</v>
      </c>
      <c r="AD74" s="457" t="e">
        <f aca="false">IF(ABS(t-ROUND(t,0))&lt;0.001,pos_x,NA())</f>
        <v>#N/A</v>
      </c>
      <c r="AE74" s="458" t="n">
        <f aca="false">IF(t&lt;T_para, pos_z, NA())</f>
        <v>17.545778614403</v>
      </c>
      <c r="AF74" s="444"/>
      <c r="AG74" s="450" t="n">
        <f aca="false">IF(AND(L73&lt;L_rampe,Poussee&lt;Poids*SIN(M73)),0,(-W73+Poussee)/m-Poids*SIN(M73)/m)</f>
        <v>72.0254592907299</v>
      </c>
      <c r="AH74" s="449" t="n">
        <f aca="false">IF(AND(L73&lt;L_rampe,Poussee&lt;Poids*SIN(M73)), g*SIN(M73), (-W73+Poussee)/m)</f>
        <v>81.6577603573891</v>
      </c>
    </row>
    <row r="75" customFormat="false" ht="12" hidden="false" customHeight="false" outlineLevel="0" collapsed="false">
      <c r="A75" s="448" t="n">
        <f aca="false">IF(B74+0.01&lt;=T_ini+ROUNDUP(Temps_fin_propu,0), 0.01, IF(K74&gt;0, 0.1, 0.0001))</f>
        <v>0.01</v>
      </c>
      <c r="B75" s="449" t="n">
        <f aca="false">B74+pas</f>
        <v>0.71</v>
      </c>
      <c r="C75" s="432"/>
      <c r="D75" s="450" t="n">
        <f aca="false">IF(AND(L74&lt;L_rampe,Poussee&lt;Poids*SIN(M74)),0,(-W74+Poussee)/m*COS(M74)-U74/m*SIN(M74))</f>
        <v>15.4792416560833</v>
      </c>
      <c r="E75" s="451" t="n">
        <f aca="false">IF(AND(L74&lt;L_rampe,Poussee&lt;Poids*SIN(M74)),0,(-W74+Poussee)/m*SIN(M74)+U74/m*COS(M74)-Poids/m)</f>
        <v>70.251926165626</v>
      </c>
      <c r="F75" s="449" t="n">
        <f aca="false">SQRT(acc_x^2+acc_z^2)</f>
        <v>71.9370561826657</v>
      </c>
      <c r="G75" s="450" t="n">
        <f aca="false">G74+acc_x*pas</f>
        <v>9.9812789567402</v>
      </c>
      <c r="H75" s="451" t="n">
        <f aca="false">H74+acc_z*pas</f>
        <v>51.5271951292996</v>
      </c>
      <c r="I75" s="449" t="n">
        <f aca="false">SQRT(vit_x^2+vit_z^2)</f>
        <v>52.4850242212499</v>
      </c>
      <c r="J75" s="450" t="n">
        <f aca="false">J74+0.5*(vit_x+G74)*pas*(K74&gt;=0)</f>
        <v>3.33026654897431</v>
      </c>
      <c r="K75" s="451" t="n">
        <f aca="false">K74+0.5*(vit_z+H74)*pas</f>
        <v>18.0575379693877</v>
      </c>
      <c r="L75" s="449" t="n">
        <f aca="false">SQRT(pos_x^2+pos_z^2)</f>
        <v>18.3620628689452</v>
      </c>
      <c r="M75" s="450" t="n">
        <f aca="false">IF(AND(L74&gt;L_rampe,G75&gt;0),ATAN2(G75,H75),$M$4)</f>
        <v>1.37945710487205</v>
      </c>
      <c r="N75" s="449" t="n">
        <f aca="false">DEGREES(Beta)</f>
        <v>79.0370701285036</v>
      </c>
      <c r="O75" s="438"/>
      <c r="P75" s="452" t="n">
        <f aca="false">MATCH(t-pas/2-T_ini,CdP_t)</f>
        <v>3</v>
      </c>
      <c r="Q75" s="449" t="n">
        <f aca="false">(INDEX(CdP,2,i_P+1)-INDEX(CdP,2,i_P+0))/(INDEX(CdP,1,i_P+1)-INDEX(CdP,1,i_P+0))*(t-pas/2-T_ini-INDEX(CdP,1,i_P+0))+INDEX(CdP,2,i_P+0)</f>
        <v>773.81</v>
      </c>
      <c r="R75" s="450" t="n">
        <f aca="false">Poussee/(g*ISP)</f>
        <v>0.388339185860657</v>
      </c>
      <c r="S75" s="451" t="n">
        <f aca="false">S74-Débit*pas</f>
        <v>9.40005862536862</v>
      </c>
      <c r="T75" s="449" t="n">
        <f aca="false">m*g</f>
        <v>92.2145751148662</v>
      </c>
      <c r="U75" s="453" t="n">
        <f aca="false">IF(pos_xz&lt;L_rampe,Poids*COS(Beta),0)</f>
        <v>0</v>
      </c>
      <c r="V75" s="450" t="n">
        <f aca="false">Rho_moyen*(20000-Alt_rampe-pos_z)/(20000+Alt_rampe+pos_z)</f>
        <v>1.22278994700454</v>
      </c>
      <c r="W75" s="449" t="n">
        <f aca="false">1/2*Rho*Sref*Cx*vit_xz^2</f>
        <v>7.48960477156987</v>
      </c>
      <c r="X75" s="438"/>
      <c r="Y75" s="454" t="str">
        <f aca="false">IF(AND(pos_z&lt;=0,K74&gt;0),"Impact balistique","") &amp; IF(AND(H76&lt;0,vit_z&gt;=0),"Apogée","") &amp; IF(AND(Poussee=0,Q74&gt;0),"Fin de propulsion","") &amp; IF(AND(L76&gt;L_rampe,pos_xz&lt;=L_rampe),"Sortie de rampe","")</f>
        <v/>
      </c>
      <c r="Z75" s="455" t="str">
        <f aca="false">IF(ABS(t-T_para)&lt;pas/2,"Para","")</f>
        <v/>
      </c>
      <c r="AA75" s="456" t="str">
        <f aca="false">IF(ABS(t-T_satellite)&lt;pas/2,"Satellite","")</f>
        <v/>
      </c>
      <c r="AB75" s="444"/>
      <c r="AC75" s="452" t="e">
        <f aca="false">IF(ABS(t-ROUND(t,0))&lt;0.001,t,NA())</f>
        <v>#N/A</v>
      </c>
      <c r="AD75" s="457" t="e">
        <f aca="false">IF(ABS(t-ROUND(t,0))&lt;0.001,pos_x,NA())</f>
        <v>#N/A</v>
      </c>
      <c r="AE75" s="458" t="n">
        <f aca="false">IF(t&lt;T_para, pos_z, NA())</f>
        <v>18.0575379693877</v>
      </c>
      <c r="AF75" s="444"/>
      <c r="AG75" s="450" t="n">
        <f aca="false">IF(AND(L74&lt;L_rampe,Poussee&lt;Poids*SIN(M74)),0,(-W74+Poussee)/m-Poids*SIN(M74)/m)</f>
        <v>71.9129495103557</v>
      </c>
      <c r="AH75" s="449" t="n">
        <f aca="false">IF(AND(L74&lt;L_rampe,Poussee&lt;Poids*SIN(M74)), g*SIN(M74), (-W74+Poussee)/m)</f>
        <v>81.5445825521081</v>
      </c>
    </row>
    <row r="76" customFormat="false" ht="12" hidden="false" customHeight="false" outlineLevel="0" collapsed="false">
      <c r="A76" s="448" t="n">
        <f aca="false">IF(B75+0.01&lt;=T_ini+ROUNDUP(Temps_fin_propu,0), 0.01, IF(K75&gt;0, 0.1, 0.0001))</f>
        <v>0.01</v>
      </c>
      <c r="B76" s="449" t="n">
        <f aca="false">B75+pas</f>
        <v>0.72</v>
      </c>
      <c r="C76" s="432"/>
      <c r="D76" s="450" t="n">
        <f aca="false">IF(AND(L75&lt;L_rampe,Poussee&lt;Poids*SIN(M75)),0,(-W75+Poussee)/m*COS(M75)-U75/m*SIN(M75))</f>
        <v>15.4860458641488</v>
      </c>
      <c r="E76" s="451" t="n">
        <f aca="false">IF(AND(L75&lt;L_rampe,Poussee&lt;Poids*SIN(M75)),0,(-W75+Poussee)/m*SIN(M75)+U75/m*COS(M75)-Poids/m)</f>
        <v>70.1349159252715</v>
      </c>
      <c r="F76" s="449" t="n">
        <f aca="false">SQRT(acc_x^2+acc_z^2)</f>
        <v>71.8242580772779</v>
      </c>
      <c r="G76" s="450" t="n">
        <f aca="false">G75+acc_x*pas</f>
        <v>10.1361394153817</v>
      </c>
      <c r="H76" s="451" t="n">
        <f aca="false">H75+acc_z*pas</f>
        <v>52.2285442885524</v>
      </c>
      <c r="I76" s="449" t="n">
        <f aca="false">SQRT(vit_x^2+vit_z^2)</f>
        <v>53.2030277404334</v>
      </c>
      <c r="J76" s="450" t="n">
        <f aca="false">J75+0.5*(vit_x+G75)*pas*(K75&gt;=0)</f>
        <v>3.43085364083492</v>
      </c>
      <c r="K76" s="451" t="n">
        <f aca="false">K75+0.5*(vit_z+H75)*pas</f>
        <v>18.576316666477</v>
      </c>
      <c r="L76" s="449" t="n">
        <f aca="false">SQRT(pos_x^2+pos_z^2)</f>
        <v>18.8904816666506</v>
      </c>
      <c r="M76" s="450" t="n">
        <f aca="false">IF(AND(L75&gt;L_rampe,G76&gt;0),ATAN2(G76,H76),$M$4)</f>
        <v>1.37910644710785</v>
      </c>
      <c r="N76" s="449" t="n">
        <f aca="false">DEGREES(Beta)</f>
        <v>79.016978918562</v>
      </c>
      <c r="O76" s="438"/>
      <c r="P76" s="452" t="n">
        <f aca="false">MATCH(t-pas/2-T_ini,CdP_t)</f>
        <v>3</v>
      </c>
      <c r="Q76" s="449" t="n">
        <f aca="false">(INDEX(CdP,2,i_P+1)-INDEX(CdP,2,i_P+0))/(INDEX(CdP,1,i_P+1)-INDEX(CdP,1,i_P+0))*(t-pas/2-T_ini-INDEX(CdP,1,i_P+0))+INDEX(CdP,2,i_P+0)</f>
        <v>772.63</v>
      </c>
      <c r="R76" s="450" t="n">
        <f aca="false">Poussee/(g*ISP)</f>
        <v>0.387746998838887</v>
      </c>
      <c r="S76" s="451" t="n">
        <f aca="false">S75-Débit*pas</f>
        <v>9.39618115538023</v>
      </c>
      <c r="T76" s="449" t="n">
        <f aca="false">m*g</f>
        <v>92.1765371342801</v>
      </c>
      <c r="U76" s="453" t="n">
        <f aca="false">IF(pos_xz&lt;L_rampe,Poids*COS(Beta),0)</f>
        <v>0</v>
      </c>
      <c r="V76" s="450" t="n">
        <f aca="false">Rho_moyen*(20000-Alt_rampe-pos_z)/(20000+Alt_rampe+pos_z)</f>
        <v>1.22272651285921</v>
      </c>
      <c r="W76" s="449" t="n">
        <f aca="false">1/2*Rho*Sref*Cx*vit_xz^2</f>
        <v>7.69552516922392</v>
      </c>
      <c r="X76" s="438"/>
      <c r="Y76" s="454" t="str">
        <f aca="false">IF(AND(pos_z&lt;=0,K75&gt;0),"Impact balistique","") &amp; IF(AND(H77&lt;0,vit_z&gt;=0),"Apogée","") &amp; IF(AND(Poussee=0,Q75&gt;0),"Fin de propulsion","") &amp; IF(AND(L77&gt;L_rampe,pos_xz&lt;=L_rampe),"Sortie de rampe","")</f>
        <v/>
      </c>
      <c r="Z76" s="455" t="str">
        <f aca="false">IF(ABS(t-T_para)&lt;pas/2,"Para","")</f>
        <v/>
      </c>
      <c r="AA76" s="456" t="str">
        <f aca="false">IF(ABS(t-T_satellite)&lt;pas/2,"Satellite","")</f>
        <v/>
      </c>
      <c r="AB76" s="444"/>
      <c r="AC76" s="452" t="e">
        <f aca="false">IF(ABS(t-ROUND(t,0))&lt;0.001,t,NA())</f>
        <v>#N/A</v>
      </c>
      <c r="AD76" s="457" t="e">
        <f aca="false">IF(ABS(t-ROUND(t,0))&lt;0.001,pos_x,NA())</f>
        <v>#N/A</v>
      </c>
      <c r="AE76" s="458" t="n">
        <f aca="false">IF(t&lt;T_para, pos_z, NA())</f>
        <v>18.576316666477</v>
      </c>
      <c r="AF76" s="444"/>
      <c r="AG76" s="450" t="n">
        <f aca="false">IF(AND(L75&lt;L_rampe,Poussee&lt;Poids*SIN(M75)),0,(-W75+Poussee)/m-Poids*SIN(M75)/m)</f>
        <v>71.800024823837</v>
      </c>
      <c r="AH76" s="449" t="n">
        <f aca="false">IF(AND(L75&lt;L_rampe,Poussee&lt;Poids*SIN(M75)), g*SIN(M75), (-W75+Poussee)/m)</f>
        <v>81.4309965480298</v>
      </c>
    </row>
    <row r="77" customFormat="false" ht="12" hidden="false" customHeight="false" outlineLevel="0" collapsed="false">
      <c r="A77" s="448" t="n">
        <f aca="false">IF(B76+0.01&lt;=T_ini+ROUNDUP(Temps_fin_propu,0), 0.01, IF(K76&gt;0, 0.1, 0.0001))</f>
        <v>0.01</v>
      </c>
      <c r="B77" s="449" t="n">
        <f aca="false">B76+pas</f>
        <v>0.73</v>
      </c>
      <c r="C77" s="432"/>
      <c r="D77" s="450" t="n">
        <f aca="false">IF(AND(L76&lt;L_rampe,Poussee&lt;Poids*SIN(M76)),0,(-W76+Poussee)/m*COS(M76)-U76/m*SIN(M76))</f>
        <v>15.4923605117166</v>
      </c>
      <c r="E77" s="451" t="n">
        <f aca="false">IF(AND(L76&lt;L_rampe,Poussee&lt;Poids*SIN(M76)),0,(-W76+Poussee)/m*SIN(M76)+U76/m*COS(M76)-Poids/m)</f>
        <v>70.017575762477</v>
      </c>
      <c r="F77" s="449" t="n">
        <f aca="false">SQRT(acc_x^2+acc_z^2)</f>
        <v>71.711046219388</v>
      </c>
      <c r="G77" s="450" t="n">
        <f aca="false">G76+acc_x*pas</f>
        <v>10.2910630204989</v>
      </c>
      <c r="H77" s="451" t="n">
        <f aca="false">H76+acc_z*pas</f>
        <v>52.9287200461771</v>
      </c>
      <c r="I77" s="449" t="n">
        <f aca="false">SQRT(vit_x^2+vit_z^2)</f>
        <v>53.9198978468846</v>
      </c>
      <c r="J77" s="450" t="n">
        <f aca="false">J76+0.5*(vit_x+G76)*pas*(K76&gt;=0)</f>
        <v>3.53298965301432</v>
      </c>
      <c r="K77" s="451" t="n">
        <f aca="false">K76+0.5*(vit_z+H76)*pas</f>
        <v>19.1021029881506</v>
      </c>
      <c r="L77" s="449" t="n">
        <f aca="false">SQRT(pos_x^2+pos_z^2)</f>
        <v>19.4260740876333</v>
      </c>
      <c r="M77" s="450" t="n">
        <f aca="false">IF(AND(L76&gt;L_rampe,G77&gt;0),ATAN2(G77,H77),$M$4)</f>
        <v>1.37875982506115</v>
      </c>
      <c r="N77" s="449" t="n">
        <f aca="false">DEGREES(Beta)</f>
        <v>78.9971189381994</v>
      </c>
      <c r="O77" s="438"/>
      <c r="P77" s="452" t="n">
        <f aca="false">MATCH(t-pas/2-T_ini,CdP_t)</f>
        <v>3</v>
      </c>
      <c r="Q77" s="449" t="n">
        <f aca="false">(INDEX(CdP,2,i_P+1)-INDEX(CdP,2,i_P+0))/(INDEX(CdP,1,i_P+1)-INDEX(CdP,1,i_P+0))*(t-pas/2-T_ini-INDEX(CdP,1,i_P+0))+INDEX(CdP,2,i_P+0)</f>
        <v>771.45</v>
      </c>
      <c r="R77" s="450" t="n">
        <f aca="false">Poussee/(g*ISP)</f>
        <v>0.387154811817117</v>
      </c>
      <c r="S77" s="451" t="n">
        <f aca="false">S76-Débit*pas</f>
        <v>9.39230960726206</v>
      </c>
      <c r="T77" s="449" t="n">
        <f aca="false">m*g</f>
        <v>92.1385572472408</v>
      </c>
      <c r="U77" s="453" t="n">
        <f aca="false">IF(pos_xz&lt;L_rampe,Poids*COS(Beta),0)</f>
        <v>0</v>
      </c>
      <c r="V77" s="450" t="n">
        <f aca="false">Rho_moyen*(20000-Alt_rampe-pos_z)/(20000+Alt_rampe+pos_z)</f>
        <v>1.2226622252047</v>
      </c>
      <c r="W77" s="449" t="n">
        <f aca="false">1/2*Rho*Sref*Cx*vit_xz^2</f>
        <v>7.90388937487003</v>
      </c>
      <c r="X77" s="438"/>
      <c r="Y77" s="454" t="str">
        <f aca="false">IF(AND(pos_z&lt;=0,K76&gt;0),"Impact balistique","") &amp; IF(AND(H78&lt;0,vit_z&gt;=0),"Apogée","") &amp; IF(AND(Poussee=0,Q76&gt;0),"Fin de propulsion","") &amp; IF(AND(L78&gt;L_rampe,pos_xz&lt;=L_rampe),"Sortie de rampe","")</f>
        <v/>
      </c>
      <c r="Z77" s="455" t="str">
        <f aca="false">IF(ABS(t-T_para)&lt;pas/2,"Para","")</f>
        <v/>
      </c>
      <c r="AA77" s="456" t="str">
        <f aca="false">IF(ABS(t-T_satellite)&lt;pas/2,"Satellite","")</f>
        <v/>
      </c>
      <c r="AB77" s="444"/>
      <c r="AC77" s="452" t="e">
        <f aca="false">IF(ABS(t-ROUND(t,0))&lt;0.001,t,NA())</f>
        <v>#N/A</v>
      </c>
      <c r="AD77" s="457" t="e">
        <f aca="false">IF(ABS(t-ROUND(t,0))&lt;0.001,pos_x,NA())</f>
        <v>#N/A</v>
      </c>
      <c r="AE77" s="458" t="n">
        <f aca="false">IF(t&lt;T_para, pos_z, NA())</f>
        <v>19.1021029881506</v>
      </c>
      <c r="AF77" s="444"/>
      <c r="AG77" s="450" t="n">
        <f aca="false">IF(AND(L76&lt;L_rampe,Poussee&lt;Poids*SIN(M76)),0,(-W76+Poussee)/m-Poids*SIN(M76)/m)</f>
        <v>71.6866867298452</v>
      </c>
      <c r="AH77" s="449" t="n">
        <f aca="false">IF(AND(L76&lt;L_rampe,Poussee&lt;Poids*SIN(M76)), g*SIN(M76), (-W76+Poussee)/m)</f>
        <v>81.3170036729035</v>
      </c>
    </row>
    <row r="78" customFormat="false" ht="12" hidden="false" customHeight="false" outlineLevel="0" collapsed="false">
      <c r="A78" s="448" t="n">
        <f aca="false">IF(B77+0.01&lt;=T_ini+ROUNDUP(Temps_fin_propu,0), 0.01, IF(K77&gt;0, 0.1, 0.0001))</f>
        <v>0.01</v>
      </c>
      <c r="B78" s="449" t="n">
        <f aca="false">B77+pas</f>
        <v>0.74</v>
      </c>
      <c r="C78" s="432"/>
      <c r="D78" s="450" t="n">
        <f aca="false">IF(AND(L77&lt;L_rampe,Poussee&lt;Poids*SIN(M77)),0,(-W77+Poussee)/m*COS(M77)-U77/m*SIN(M77))</f>
        <v>15.4981956858374</v>
      </c>
      <c r="E78" s="451" t="n">
        <f aca="false">IF(AND(L77&lt;L_rampe,Poussee&lt;Poids*SIN(M77)),0,(-W77+Poussee)/m*SIN(M77)+U77/m*COS(M77)-Poids/m)</f>
        <v>69.8999054823195</v>
      </c>
      <c r="F78" s="449" t="n">
        <f aca="false">SQRT(acc_x^2+acc_z^2)</f>
        <v>71.5974221320412</v>
      </c>
      <c r="G78" s="450" t="n">
        <f aca="false">G77+acc_x*pas</f>
        <v>10.4460449773572</v>
      </c>
      <c r="H78" s="451" t="n">
        <f aca="false">H77+acc_z*pas</f>
        <v>53.6277191010003</v>
      </c>
      <c r="I78" s="449" t="n">
        <f aca="false">SQRT(vit_x^2+vit_z^2)</f>
        <v>54.6356304223239</v>
      </c>
      <c r="J78" s="450" t="n">
        <f aca="false">J77+0.5*(vit_x+G77)*pas*(K77&gt;=0)</f>
        <v>3.6366751930036</v>
      </c>
      <c r="K78" s="451" t="n">
        <f aca="false">K77+0.5*(vit_z+H77)*pas</f>
        <v>19.6348851838865</v>
      </c>
      <c r="L78" s="449" t="n">
        <f aca="false">SQRT(pos_x^2+pos_z^2)</f>
        <v>19.9688287749636</v>
      </c>
      <c r="M78" s="450" t="n">
        <f aca="false">IF(AND(L77&gt;L_rampe,G78&gt;0),ATAN2(G78,H78),$M$4)</f>
        <v>1.37841713284957</v>
      </c>
      <c r="N78" s="449" t="n">
        <f aca="false">DEGREES(Beta)</f>
        <v>78.9774841208039</v>
      </c>
      <c r="O78" s="438"/>
      <c r="P78" s="452" t="n">
        <f aca="false">MATCH(t-pas/2-T_ini,CdP_t)</f>
        <v>3</v>
      </c>
      <c r="Q78" s="449" t="n">
        <f aca="false">(INDEX(CdP,2,i_P+1)-INDEX(CdP,2,i_P+0))/(INDEX(CdP,1,i_P+1)-INDEX(CdP,1,i_P+0))*(t-pas/2-T_ini-INDEX(CdP,1,i_P+0))+INDEX(CdP,2,i_P+0)</f>
        <v>770.27</v>
      </c>
      <c r="R78" s="450" t="n">
        <f aca="false">Poussee/(g*ISP)</f>
        <v>0.386562624795348</v>
      </c>
      <c r="S78" s="451" t="n">
        <f aca="false">S77-Débit*pas</f>
        <v>9.3884439810141</v>
      </c>
      <c r="T78" s="449" t="n">
        <f aca="false">m*g</f>
        <v>92.1006354537484</v>
      </c>
      <c r="U78" s="453" t="n">
        <f aca="false">IF(pos_xz&lt;L_rampe,Poids*COS(Beta),0)</f>
        <v>0</v>
      </c>
      <c r="V78" s="450" t="n">
        <f aca="false">Rho_moyen*(20000-Alt_rampe-pos_z)/(20000+Alt_rampe+pos_z)</f>
        <v>1.22259708561238</v>
      </c>
      <c r="W78" s="449" t="n">
        <f aca="false">1/2*Rho*Sref*Cx*vit_xz^2</f>
        <v>8.11468209612378</v>
      </c>
      <c r="X78" s="438"/>
      <c r="Y78" s="454" t="str">
        <f aca="false">IF(AND(pos_z&lt;=0,K77&gt;0),"Impact balistique","") &amp; IF(AND(H79&lt;0,vit_z&gt;=0),"Apogée","") &amp; IF(AND(Poussee=0,Q77&gt;0),"Fin de propulsion","") &amp; IF(AND(L79&gt;L_rampe,pos_xz&lt;=L_rampe),"Sortie de rampe","")</f>
        <v/>
      </c>
      <c r="Z78" s="455" t="str">
        <f aca="false">IF(ABS(t-T_para)&lt;pas/2,"Para","")</f>
        <v/>
      </c>
      <c r="AA78" s="456" t="str">
        <f aca="false">IF(ABS(t-T_satellite)&lt;pas/2,"Satellite","")</f>
        <v/>
      </c>
      <c r="AB78" s="444"/>
      <c r="AC78" s="452" t="e">
        <f aca="false">IF(ABS(t-ROUND(t,0))&lt;0.001,t,NA())</f>
        <v>#N/A</v>
      </c>
      <c r="AD78" s="457" t="e">
        <f aca="false">IF(ABS(t-ROUND(t,0))&lt;0.001,pos_x,NA())</f>
        <v>#N/A</v>
      </c>
      <c r="AE78" s="458" t="n">
        <f aca="false">IF(t&lt;T_para, pos_z, NA())</f>
        <v>19.6348851838865</v>
      </c>
      <c r="AF78" s="444"/>
      <c r="AG78" s="450" t="n">
        <f aca="false">IF(AND(L77&lt;L_rampe,Poussee&lt;Poids*SIN(M77)),0,(-W77+Poussee)/m-Poids*SIN(M77)/m)</f>
        <v>71.5729367291056</v>
      </c>
      <c r="AH78" s="449" t="n">
        <f aca="false">IF(AND(L77&lt;L_rampe,Poussee&lt;Poids*SIN(M77)), g*SIN(M77), (-W77+Poussee)/m)</f>
        <v>81.2026052631122</v>
      </c>
    </row>
    <row r="79" customFormat="false" ht="12" hidden="false" customHeight="false" outlineLevel="0" collapsed="false">
      <c r="A79" s="448" t="n">
        <f aca="false">IF(B78+0.01&lt;=T_ini+ROUNDUP(Temps_fin_propu,0), 0.01, IF(K78&gt;0, 0.1, 0.0001))</f>
        <v>0.01</v>
      </c>
      <c r="B79" s="449" t="n">
        <f aca="false">B78+pas</f>
        <v>0.75</v>
      </c>
      <c r="C79" s="432"/>
      <c r="D79" s="450" t="n">
        <f aca="false">IF(AND(L78&lt;L_rampe,Poussee&lt;Poids*SIN(M78)),0,(-W78+Poussee)/m*COS(M78)-U78/m*SIN(M78))</f>
        <v>15.5035610862651</v>
      </c>
      <c r="E79" s="451" t="n">
        <f aca="false">IF(AND(L78&lt;L_rampe,Poussee&lt;Poids*SIN(M78)),0,(-W78+Poussee)/m*SIN(M78)+U78/m*COS(M78)-Poids/m)</f>
        <v>69.7819049555699</v>
      </c>
      <c r="F79" s="449" t="n">
        <f aca="false">SQRT(acc_x^2+acc_z^2)</f>
        <v>71.483387339883</v>
      </c>
      <c r="G79" s="450" t="n">
        <f aca="false">G78+acc_x*pas</f>
        <v>10.6010805882199</v>
      </c>
      <c r="H79" s="451" t="n">
        <f aca="false">H78+acc_z*pas</f>
        <v>54.325538150556</v>
      </c>
      <c r="I79" s="449" t="n">
        <f aca="false">SQRT(vit_x^2+vit_z^2)</f>
        <v>55.3502213634729</v>
      </c>
      <c r="J79" s="450" t="n">
        <f aca="false">J78+0.5*(vit_x+G78)*pas*(K78&gt;=0)</f>
        <v>3.74191082083149</v>
      </c>
      <c r="K79" s="451" t="n">
        <f aca="false">K78+0.5*(vit_z+H78)*pas</f>
        <v>20.1746514701443</v>
      </c>
      <c r="L79" s="449" t="n">
        <f aca="false">SQRT(pos_x^2+pos_z^2)</f>
        <v>20.5187343306757</v>
      </c>
      <c r="M79" s="450" t="n">
        <f aca="false">IF(AND(L78&gt;L_rampe,G79&gt;0),ATAN2(G79,H79),$M$4)</f>
        <v>1.37807826872988</v>
      </c>
      <c r="N79" s="449" t="n">
        <f aca="false">DEGREES(Beta)</f>
        <v>78.9580686369172</v>
      </c>
      <c r="O79" s="438"/>
      <c r="P79" s="452" t="n">
        <f aca="false">MATCH(t-pas/2-T_ini,CdP_t)</f>
        <v>3</v>
      </c>
      <c r="Q79" s="449" t="n">
        <f aca="false">(INDEX(CdP,2,i_P+1)-INDEX(CdP,2,i_P+0))/(INDEX(CdP,1,i_P+1)-INDEX(CdP,1,i_P+0))*(t-pas/2-T_ini-INDEX(CdP,1,i_P+0))+INDEX(CdP,2,i_P+0)</f>
        <v>769.09</v>
      </c>
      <c r="R79" s="450" t="n">
        <f aca="false">Poussee/(g*ISP)</f>
        <v>0.385970437773578</v>
      </c>
      <c r="S79" s="451" t="n">
        <f aca="false">S78-Débit*pas</f>
        <v>9.38458427663637</v>
      </c>
      <c r="T79" s="449" t="n">
        <f aca="false">m*g</f>
        <v>92.0627717538028</v>
      </c>
      <c r="U79" s="453" t="n">
        <f aca="false">IF(pos_xz&lt;L_rampe,Poids*COS(Beta),0)</f>
        <v>0</v>
      </c>
      <c r="V79" s="450" t="n">
        <f aca="false">Rho_moyen*(20000-Alt_rampe-pos_z)/(20000+Alt_rampe+pos_z)</f>
        <v>1.22253109565914</v>
      </c>
      <c r="W79" s="449" t="n">
        <f aca="false">1/2*Rho*Sref*Cx*vit_xz^2</f>
        <v>8.32788799598218</v>
      </c>
      <c r="X79" s="438"/>
      <c r="Y79" s="454" t="str">
        <f aca="false">IF(AND(pos_z&lt;=0,K78&gt;0),"Impact balistique","") &amp; IF(AND(H80&lt;0,vit_z&gt;=0),"Apogée","") &amp; IF(AND(Poussee=0,Q78&gt;0),"Fin de propulsion","") &amp; IF(AND(L80&gt;L_rampe,pos_xz&lt;=L_rampe),"Sortie de rampe","")</f>
        <v/>
      </c>
      <c r="Z79" s="455" t="str">
        <f aca="false">IF(ABS(t-T_para)&lt;pas/2,"Para","")</f>
        <v/>
      </c>
      <c r="AA79" s="456" t="str">
        <f aca="false">IF(ABS(t-T_satellite)&lt;pas/2,"Satellite","")</f>
        <v/>
      </c>
      <c r="AB79" s="444"/>
      <c r="AC79" s="452" t="e">
        <f aca="false">IF(ABS(t-ROUND(t,0))&lt;0.001,t,NA())</f>
        <v>#N/A</v>
      </c>
      <c r="AD79" s="457" t="e">
        <f aca="false">IF(ABS(t-ROUND(t,0))&lt;0.001,pos_x,NA())</f>
        <v>#N/A</v>
      </c>
      <c r="AE79" s="458" t="n">
        <f aca="false">IF(t&lt;T_para, pos_z, NA())</f>
        <v>20.1746514701443</v>
      </c>
      <c r="AF79" s="444"/>
      <c r="AG79" s="450" t="n">
        <f aca="false">IF(AND(L78&lt;L_rampe,Poussee&lt;Poids*SIN(M78)),0,(-W78+Poussee)/m-Poids*SIN(M78)/m)</f>
        <v>71.4587763246728</v>
      </c>
      <c r="AH79" s="449" t="n">
        <f aca="false">IF(AND(L78&lt;L_rampe,Poussee&lt;Poids*SIN(M78)), g*SIN(M78), (-W78+Poussee)/m)</f>
        <v>81.0878026636067</v>
      </c>
    </row>
    <row r="80" customFormat="false" ht="12" hidden="false" customHeight="false" outlineLevel="0" collapsed="false">
      <c r="A80" s="448" t="n">
        <f aca="false">IF(B79+0.01&lt;=T_ini+ROUNDUP(Temps_fin_propu,0), 0.01, IF(K79&gt;0, 0.1, 0.0001))</f>
        <v>0.01</v>
      </c>
      <c r="B80" s="449" t="n">
        <f aca="false">B79+pas</f>
        <v>0.760000000000001</v>
      </c>
      <c r="C80" s="432"/>
      <c r="D80" s="450" t="n">
        <f aca="false">IF(AND(L79&lt;L_rampe,Poussee&lt;Poids*SIN(M79)),0,(-W79+Poussee)/m*COS(M79)-U79/m*SIN(M79))</f>
        <v>15.5084660459242</v>
      </c>
      <c r="E80" s="451" t="n">
        <f aca="false">IF(AND(L79&lt;L_rampe,Poussee&lt;Poids*SIN(M79)),0,(-W79+Poussee)/m*SIN(M79)+U79/m*COS(M79)-Poids/m)</f>
        <v>69.6635741157054</v>
      </c>
      <c r="F80" s="449" t="n">
        <f aca="false">SQRT(acc_x^2+acc_z^2)</f>
        <v>71.3689433694514</v>
      </c>
      <c r="G80" s="450" t="n">
        <f aca="false">G79+acc_x*pas</f>
        <v>10.7561652486791</v>
      </c>
      <c r="H80" s="451" t="n">
        <f aca="false">H79+acc_z*pas</f>
        <v>55.0221738917131</v>
      </c>
      <c r="I80" s="449" t="n">
        <f aca="false">SQRT(vit_x^2+vit_z^2)</f>
        <v>56.0636665820815</v>
      </c>
      <c r="J80" s="450" t="n">
        <f aca="false">J79+0.5*(vit_x+G79)*pas*(K79&gt;=0)</f>
        <v>3.84869705001598</v>
      </c>
      <c r="K80" s="451" t="n">
        <f aca="false">K79+0.5*(vit_z+H79)*pas</f>
        <v>20.7213900303556</v>
      </c>
      <c r="L80" s="449" t="n">
        <f aca="false">SQRT(pos_x^2+pos_z^2)</f>
        <v>21.0757793159096</v>
      </c>
      <c r="M80" s="450" t="n">
        <f aca="false">IF(AND(L79&gt;L_rampe,G80&gt;0),ATAN2(G80,H80),$M$4)</f>
        <v>1.37774313488272</v>
      </c>
      <c r="N80" s="449" t="n">
        <f aca="false">DEGREES(Beta)</f>
        <v>78.9388668819029</v>
      </c>
      <c r="O80" s="438"/>
      <c r="P80" s="452" t="n">
        <f aca="false">MATCH(t-pas/2-T_ini,CdP_t)</f>
        <v>3</v>
      </c>
      <c r="Q80" s="449" t="n">
        <f aca="false">(INDEX(CdP,2,i_P+1)-INDEX(CdP,2,i_P+0))/(INDEX(CdP,1,i_P+1)-INDEX(CdP,1,i_P+0))*(t-pas/2-T_ini-INDEX(CdP,1,i_P+0))+INDEX(CdP,2,i_P+0)</f>
        <v>767.91</v>
      </c>
      <c r="R80" s="450" t="n">
        <f aca="false">Poussee/(g*ISP)</f>
        <v>0.385378250751808</v>
      </c>
      <c r="S80" s="451" t="n">
        <f aca="false">S79-Débit*pas</f>
        <v>9.38073049412885</v>
      </c>
      <c r="T80" s="449" t="n">
        <f aca="false">m*g</f>
        <v>92.024966147404</v>
      </c>
      <c r="U80" s="453" t="n">
        <f aca="false">IF(pos_xz&lt;L_rampe,Poids*COS(Beta),0)</f>
        <v>0</v>
      </c>
      <c r="V80" s="450" t="n">
        <f aca="false">Rho_moyen*(20000-Alt_rampe-pos_z)/(20000+Alt_rampe+pos_z)</f>
        <v>1.22246425692734</v>
      </c>
      <c r="W80" s="449" t="n">
        <f aca="false">1/2*Rho*Sref*Cx*vit_xz^2</f>
        <v>8.54349169352558</v>
      </c>
      <c r="X80" s="438"/>
      <c r="Y80" s="454" t="str">
        <f aca="false">IF(AND(pos_z&lt;=0,K79&gt;0),"Impact balistique","") &amp; IF(AND(H81&lt;0,vit_z&gt;=0),"Apogée","") &amp; IF(AND(Poussee=0,Q79&gt;0),"Fin de propulsion","") &amp; IF(AND(L81&gt;L_rampe,pos_xz&lt;=L_rampe),"Sortie de rampe","")</f>
        <v/>
      </c>
      <c r="Z80" s="455" t="str">
        <f aca="false">IF(ABS(t-T_para)&lt;pas/2,"Para","")</f>
        <v/>
      </c>
      <c r="AA80" s="456" t="str">
        <f aca="false">IF(ABS(t-T_satellite)&lt;pas/2,"Satellite","")</f>
        <v/>
      </c>
      <c r="AB80" s="444"/>
      <c r="AC80" s="452" t="e">
        <f aca="false">IF(ABS(t-ROUND(t,0))&lt;0.001,t,NA())</f>
        <v>#N/A</v>
      </c>
      <c r="AD80" s="457" t="e">
        <f aca="false">IF(ABS(t-ROUND(t,0))&lt;0.001,pos_x,NA())</f>
        <v>#N/A</v>
      </c>
      <c r="AE80" s="458" t="n">
        <f aca="false">IF(t&lt;T_para, pos_z, NA())</f>
        <v>20.7213900303556</v>
      </c>
      <c r="AF80" s="444"/>
      <c r="AG80" s="450" t="n">
        <f aca="false">IF(AND(L79&lt;L_rampe,Poussee&lt;Poids*SIN(M79)),0,(-W79+Poussee)/m-Poids*SIN(M79)/m)</f>
        <v>71.3442070221846</v>
      </c>
      <c r="AH80" s="449" t="n">
        <f aca="false">IF(AND(L79&lt;L_rampe,Poussee&lt;Poids*SIN(M79)), g*SIN(M79), (-W79+Poussee)/m)</f>
        <v>80.9725972278406</v>
      </c>
    </row>
    <row r="81" customFormat="false" ht="12" hidden="false" customHeight="false" outlineLevel="0" collapsed="false">
      <c r="A81" s="448" t="n">
        <f aca="false">IF(B80+0.01&lt;=T_ini+ROUNDUP(Temps_fin_propu,0), 0.01, IF(K80&gt;0, 0.1, 0.0001))</f>
        <v>0.01</v>
      </c>
      <c r="B81" s="449" t="n">
        <f aca="false">B80+pas</f>
        <v>0.770000000000001</v>
      </c>
      <c r="C81" s="432"/>
      <c r="D81" s="450" t="n">
        <f aca="false">IF(AND(L80&lt;L_rampe,Poussee&lt;Poids*SIN(M80)),0,(-W80+Poussee)/m*COS(M80)-U80/m*SIN(M80))</f>
        <v>15.5129195500396</v>
      </c>
      <c r="E81" s="451" t="n">
        <f aca="false">IF(AND(L80&lt;L_rampe,Poussee&lt;Poids*SIN(M80)),0,(-W80+Poussee)/m*SIN(M80)+U80/m*COS(M80)-Poids/m)</f>
        <v>69.5449129561069</v>
      </c>
      <c r="F81" s="449" t="n">
        <f aca="false">SQRT(acc_x^2+acc_z^2)</f>
        <v>71.2540917494461</v>
      </c>
      <c r="G81" s="450" t="n">
        <f aca="false">G80+acc_x*pas</f>
        <v>10.9112944441795</v>
      </c>
      <c r="H81" s="451" t="n">
        <f aca="false">H80+acc_z*pas</f>
        <v>55.7176230212741</v>
      </c>
      <c r="I81" s="449" t="n">
        <f aca="false">SQRT(vit_x^2+vit_z^2)</f>
        <v>56.7759620049577</v>
      </c>
      <c r="J81" s="450" t="n">
        <f aca="false">J80+0.5*(vit_x+G80)*pas*(K80&gt;=0)</f>
        <v>3.95703434848027</v>
      </c>
      <c r="K81" s="451" t="n">
        <f aca="false">K80+0.5*(vit_z+H80)*pas</f>
        <v>21.2750890149206</v>
      </c>
      <c r="L81" s="449" t="n">
        <f aca="false">SQRT(pos_x^2+pos_z^2)</f>
        <v>21.6399522510528</v>
      </c>
      <c r="M81" s="450" t="n">
        <f aca="false">IF(AND(L80&gt;L_rampe,G81&gt;0),ATAN2(G81,H81),$M$4)</f>
        <v>1.37741163721126</v>
      </c>
      <c r="N81" s="449" t="n">
        <f aca="false">DEGREES(Beta)</f>
        <v>78.91987346441</v>
      </c>
      <c r="O81" s="438"/>
      <c r="P81" s="452" t="n">
        <f aca="false">MATCH(t-pas/2-T_ini,CdP_t)</f>
        <v>3</v>
      </c>
      <c r="Q81" s="449" t="n">
        <f aca="false">(INDEX(CdP,2,i_P+1)-INDEX(CdP,2,i_P+0))/(INDEX(CdP,1,i_P+1)-INDEX(CdP,1,i_P+0))*(t-pas/2-T_ini-INDEX(CdP,1,i_P+0))+INDEX(CdP,2,i_P+0)</f>
        <v>766.73</v>
      </c>
      <c r="R81" s="450" t="n">
        <f aca="false">Poussee/(g*ISP)</f>
        <v>0.384786063730039</v>
      </c>
      <c r="S81" s="451" t="n">
        <f aca="false">S80-Débit*pas</f>
        <v>9.37688263349155</v>
      </c>
      <c r="T81" s="449" t="n">
        <f aca="false">m*g</f>
        <v>91.9872186345521</v>
      </c>
      <c r="U81" s="453" t="n">
        <f aca="false">IF(pos_xz&lt;L_rampe,Poids*COS(Beta),0)</f>
        <v>0</v>
      </c>
      <c r="V81" s="450" t="n">
        <f aca="false">Rho_moyen*(20000-Alt_rampe-pos_z)/(20000+Alt_rampe+pos_z)</f>
        <v>1.22239657100485</v>
      </c>
      <c r="W81" s="449" t="n">
        <f aca="false">1/2*Rho*Sref*Cx*vit_xz^2</f>
        <v>8.7614777646205</v>
      </c>
      <c r="X81" s="438"/>
      <c r="Y81" s="454" t="str">
        <f aca="false">IF(AND(pos_z&lt;=0,K80&gt;0),"Impact balistique","") &amp; IF(AND(H82&lt;0,vit_z&gt;=0),"Apogée","") &amp; IF(AND(Poussee=0,Q80&gt;0),"Fin de propulsion","") &amp; IF(AND(L82&gt;L_rampe,pos_xz&lt;=L_rampe),"Sortie de rampe","")</f>
        <v/>
      </c>
      <c r="Z81" s="455" t="str">
        <f aca="false">IF(ABS(t-T_para)&lt;pas/2,"Para","")</f>
        <v/>
      </c>
      <c r="AA81" s="456" t="str">
        <f aca="false">IF(ABS(t-T_satellite)&lt;pas/2,"Satellite","")</f>
        <v/>
      </c>
      <c r="AB81" s="444"/>
      <c r="AC81" s="452" t="e">
        <f aca="false">IF(ABS(t-ROUND(t,0))&lt;0.001,t,NA())</f>
        <v>#N/A</v>
      </c>
      <c r="AD81" s="457" t="e">
        <f aca="false">IF(ABS(t-ROUND(t,0))&lt;0.001,pos_x,NA())</f>
        <v>#N/A</v>
      </c>
      <c r="AE81" s="458" t="n">
        <f aca="false">IF(t&lt;T_para, pos_z, NA())</f>
        <v>21.2750890149206</v>
      </c>
      <c r="AF81" s="444"/>
      <c r="AG81" s="450" t="n">
        <f aca="false">IF(AND(L80&lt;L_rampe,Poussee&lt;Poids*SIN(M80)),0,(-W80+Poussee)/m-Poids*SIN(M80)/m)</f>
        <v>71.2292303300935</v>
      </c>
      <c r="AH81" s="449" t="n">
        <f aca="false">IF(AND(L80&lt;L_rampe,Poussee&lt;Poids*SIN(M80)), g*SIN(M80), (-W80+Poussee)/m)</f>
        <v>80.8569903177041</v>
      </c>
    </row>
    <row r="82" customFormat="false" ht="12" hidden="false" customHeight="false" outlineLevel="0" collapsed="false">
      <c r="A82" s="448" t="n">
        <f aca="false">IF(B81+0.01&lt;=T_ini+ROUNDUP(Temps_fin_propu,0), 0.01, IF(K81&gt;0, 0.1, 0.0001))</f>
        <v>0.01</v>
      </c>
      <c r="B82" s="449" t="n">
        <f aca="false">B81+pas</f>
        <v>0.780000000000001</v>
      </c>
      <c r="C82" s="432"/>
      <c r="D82" s="450" t="n">
        <f aca="false">IF(AND(L81&lt;L_rampe,Poussee&lt;Poids*SIN(M81)),0,(-W81+Poussee)/m*COS(M81)-U81/m*SIN(M81))</f>
        <v>15.516930254034</v>
      </c>
      <c r="E82" s="451" t="n">
        <f aca="false">IF(AND(L81&lt;L_rampe,Poussee&lt;Poids*SIN(M81)),0,(-W81+Poussee)/m*SIN(M81)+U81/m*COS(M81)-Poids/m)</f>
        <v>69.4259215274279</v>
      </c>
      <c r="F82" s="449" t="n">
        <f aca="false">SQRT(acc_x^2+acc_z^2)</f>
        <v>71.1388340109755</v>
      </c>
      <c r="G82" s="450" t="n">
        <f aca="false">G81+acc_x*pas</f>
        <v>11.0664637467199</v>
      </c>
      <c r="H82" s="451" t="n">
        <f aca="false">H81+acc_z*pas</f>
        <v>56.4118822365484</v>
      </c>
      <c r="I82" s="449" t="n">
        <f aca="false">SQRT(vit_x^2+vit_z^2)</f>
        <v>57.4871035739989</v>
      </c>
      <c r="J82" s="450" t="n">
        <f aca="false">J81+0.5*(vit_x+G81)*pas*(K81&gt;=0)</f>
        <v>4.06692313943477</v>
      </c>
      <c r="K82" s="451" t="n">
        <f aca="false">K81+0.5*(vit_z+H81)*pas</f>
        <v>21.8357365412097</v>
      </c>
      <c r="L82" s="449" t="n">
        <f aca="false">SQRT(pos_x^2+pos_z^2)</f>
        <v>22.2112416158843</v>
      </c>
      <c r="M82" s="450" t="n">
        <f aca="false">IF(AND(L81&gt;L_rampe,G82&gt;0),ATAN2(G82,H82),$M$4)</f>
        <v>1.37708368515269</v>
      </c>
      <c r="N82" s="449" t="n">
        <f aca="false">DEGREES(Beta)</f>
        <v>78.9010831955716</v>
      </c>
      <c r="O82" s="438"/>
      <c r="P82" s="452" t="n">
        <f aca="false">MATCH(t-pas/2-T_ini,CdP_t)</f>
        <v>3</v>
      </c>
      <c r="Q82" s="449" t="n">
        <f aca="false">(INDEX(CdP,2,i_P+1)-INDEX(CdP,2,i_P+0))/(INDEX(CdP,1,i_P+1)-INDEX(CdP,1,i_P+0))*(t-pas/2-T_ini-INDEX(CdP,1,i_P+0))+INDEX(CdP,2,i_P+0)</f>
        <v>765.55</v>
      </c>
      <c r="R82" s="450" t="n">
        <f aca="false">Poussee/(g*ISP)</f>
        <v>0.384193876708269</v>
      </c>
      <c r="S82" s="451" t="n">
        <f aca="false">S81-Débit*pas</f>
        <v>9.37304069472447</v>
      </c>
      <c r="T82" s="449" t="n">
        <f aca="false">m*g</f>
        <v>91.949529215247</v>
      </c>
      <c r="U82" s="453" t="n">
        <f aca="false">IF(pos_xz&lt;L_rampe,Poids*COS(Beta),0)</f>
        <v>0</v>
      </c>
      <c r="V82" s="450" t="n">
        <f aca="false">Rho_moyen*(20000-Alt_rampe-pos_z)/(20000+Alt_rampe+pos_z)</f>
        <v>1.22232803948499</v>
      </c>
      <c r="W82" s="449" t="n">
        <f aca="false">1/2*Rho*Sref*Cx*vit_xz^2</f>
        <v>8.98183074262314</v>
      </c>
      <c r="X82" s="438"/>
      <c r="Y82" s="454" t="str">
        <f aca="false">IF(AND(pos_z&lt;=0,K81&gt;0),"Impact balistique","") &amp; IF(AND(H83&lt;0,vit_z&gt;=0),"Apogée","") &amp; IF(AND(Poussee=0,Q81&gt;0),"Fin de propulsion","") &amp; IF(AND(L83&gt;L_rampe,pos_xz&lt;=L_rampe),"Sortie de rampe","")</f>
        <v/>
      </c>
      <c r="Z82" s="455" t="str">
        <f aca="false">IF(ABS(t-T_para)&lt;pas/2,"Para","")</f>
        <v/>
      </c>
      <c r="AA82" s="456" t="str">
        <f aca="false">IF(ABS(t-T_satellite)&lt;pas/2,"Satellite","")</f>
        <v/>
      </c>
      <c r="AB82" s="444"/>
      <c r="AC82" s="452" t="e">
        <f aca="false">IF(ABS(t-ROUND(t,0))&lt;0.001,t,NA())</f>
        <v>#N/A</v>
      </c>
      <c r="AD82" s="457" t="e">
        <f aca="false">IF(ABS(t-ROUND(t,0))&lt;0.001,pos_x,NA())</f>
        <v>#N/A</v>
      </c>
      <c r="AE82" s="458" t="n">
        <f aca="false">IF(t&lt;T_para, pos_z, NA())</f>
        <v>21.8357365412097</v>
      </c>
      <c r="AF82" s="444"/>
      <c r="AG82" s="450" t="n">
        <f aca="false">IF(AND(L81&lt;L_rampe,Poussee&lt;Poids*SIN(M81)),0,(-W81+Poussee)/m-Poids*SIN(M81)/m)</f>
        <v>71.113847759881</v>
      </c>
      <c r="AH82" s="449" t="n">
        <f aca="false">IF(AND(L81&lt;L_rampe,Poussee&lt;Poids*SIN(M81)), g*SIN(M81), (-W81+Poussee)/m)</f>
        <v>80.7409833034579</v>
      </c>
    </row>
    <row r="83" customFormat="false" ht="12" hidden="false" customHeight="false" outlineLevel="0" collapsed="false">
      <c r="A83" s="448" t="n">
        <f aca="false">IF(B82+0.01&lt;=T_ini+ROUNDUP(Temps_fin_propu,0), 0.01, IF(K82&gt;0, 0.1, 0.0001))</f>
        <v>0.01</v>
      </c>
      <c r="B83" s="449" t="n">
        <f aca="false">B82+pas</f>
        <v>0.790000000000001</v>
      </c>
      <c r="C83" s="432"/>
      <c r="D83" s="450" t="n">
        <f aca="false">IF(AND(L82&lt;L_rampe,Poussee&lt;Poids*SIN(M82)),0,(-W82+Poussee)/m*COS(M82)-U82/m*SIN(M82))</f>
        <v>15.5205065002869</v>
      </c>
      <c r="E83" s="451" t="n">
        <f aca="false">IF(AND(L82&lt;L_rampe,Poussee&lt;Poids*SIN(M82)),0,(-W82+Poussee)/m*SIN(M82)+U82/m*COS(M82)-Poids/m)</f>
        <v>69.3065999351223</v>
      </c>
      <c r="F83" s="449" t="n">
        <f aca="false">SQRT(acc_x^2+acc_z^2)</f>
        <v>71.0231716877847</v>
      </c>
      <c r="G83" s="450" t="n">
        <f aca="false">G82+acc_x*pas</f>
        <v>11.2216688117227</v>
      </c>
      <c r="H83" s="451" t="n">
        <f aca="false">H82+acc_z*pas</f>
        <v>57.1049482358996</v>
      </c>
      <c r="I83" s="449" t="n">
        <f aca="false">SQRT(vit_x^2+vit_z^2)</f>
        <v>58.1970872462254</v>
      </c>
      <c r="J83" s="450" t="n">
        <f aca="false">J82+0.5*(vit_x+G82)*pas*(K82&gt;=0)</f>
        <v>4.17836380222698</v>
      </c>
      <c r="K83" s="451" t="n">
        <f aca="false">K82+0.5*(vit_z+H82)*pas</f>
        <v>22.4033206935719</v>
      </c>
      <c r="L83" s="449" t="n">
        <f aca="false">SQRT(pos_x^2+pos_z^2)</f>
        <v>22.7896358497188</v>
      </c>
      <c r="M83" s="450" t="n">
        <f aca="false">IF(AND(L82&gt;L_rampe,G83&gt;0),ATAN2(G83,H83),$M$4)</f>
        <v>1.37675919150155</v>
      </c>
      <c r="N83" s="449" t="n">
        <f aca="false">DEGREES(Beta)</f>
        <v>78.8824910788824</v>
      </c>
      <c r="O83" s="438"/>
      <c r="P83" s="452" t="n">
        <f aca="false">MATCH(t-pas/2-T_ini,CdP_t)</f>
        <v>3</v>
      </c>
      <c r="Q83" s="449" t="n">
        <f aca="false">(INDEX(CdP,2,i_P+1)-INDEX(CdP,2,i_P+0))/(INDEX(CdP,1,i_P+1)-INDEX(CdP,1,i_P+0))*(t-pas/2-T_ini-INDEX(CdP,1,i_P+0))+INDEX(CdP,2,i_P+0)</f>
        <v>764.37</v>
      </c>
      <c r="R83" s="450" t="n">
        <f aca="false">Poussee/(g*ISP)</f>
        <v>0.383601689686499</v>
      </c>
      <c r="S83" s="451" t="n">
        <f aca="false">S82-Débit*pas</f>
        <v>9.3692046778276</v>
      </c>
      <c r="T83" s="449" t="n">
        <f aca="false">m*g</f>
        <v>91.9118978894888</v>
      </c>
      <c r="U83" s="453" t="n">
        <f aca="false">IF(pos_xz&lt;L_rampe,Poids*COS(Beta),0)</f>
        <v>0</v>
      </c>
      <c r="V83" s="450" t="n">
        <f aca="false">Rho_moyen*(20000-Alt_rampe-pos_z)/(20000+Alt_rampe+pos_z)</f>
        <v>1.22225866396655</v>
      </c>
      <c r="W83" s="449" t="n">
        <f aca="false">1/2*Rho*Sref*Cx*vit_xz^2</f>
        <v>9.2045351190838</v>
      </c>
      <c r="X83" s="438"/>
      <c r="Y83" s="454" t="str">
        <f aca="false">IF(AND(pos_z&lt;=0,K82&gt;0),"Impact balistique","") &amp; IF(AND(H84&lt;0,vit_z&gt;=0),"Apogée","") &amp; IF(AND(Poussee=0,Q82&gt;0),"Fin de propulsion","") &amp; IF(AND(L84&gt;L_rampe,pos_xz&lt;=L_rampe),"Sortie de rampe","")</f>
        <v/>
      </c>
      <c r="Z83" s="455" t="str">
        <f aca="false">IF(ABS(t-T_para)&lt;pas/2,"Para","")</f>
        <v/>
      </c>
      <c r="AA83" s="456" t="str">
        <f aca="false">IF(ABS(t-T_satellite)&lt;pas/2,"Satellite","")</f>
        <v/>
      </c>
      <c r="AB83" s="444"/>
      <c r="AC83" s="452" t="e">
        <f aca="false">IF(ABS(t-ROUND(t,0))&lt;0.001,t,NA())</f>
        <v>#N/A</v>
      </c>
      <c r="AD83" s="457" t="e">
        <f aca="false">IF(ABS(t-ROUND(t,0))&lt;0.001,pos_x,NA())</f>
        <v>#N/A</v>
      </c>
      <c r="AE83" s="458" t="n">
        <f aca="false">IF(t&lt;T_para, pos_z, NA())</f>
        <v>22.4033206935719</v>
      </c>
      <c r="AF83" s="444"/>
      <c r="AG83" s="450" t="n">
        <f aca="false">IF(AND(L82&lt;L_rampe,Poussee&lt;Poids*SIN(M82)),0,(-W82+Poussee)/m-Poids*SIN(M82)/m)</f>
        <v>70.9980608262525</v>
      </c>
      <c r="AH83" s="449" t="n">
        <f aca="false">IF(AND(L82&lt;L_rampe,Poussee&lt;Poids*SIN(M82)), g*SIN(M82), (-W82+Poussee)/m)</f>
        <v>80.6245775636663</v>
      </c>
    </row>
    <row r="84" customFormat="false" ht="12" hidden="false" customHeight="false" outlineLevel="0" collapsed="false">
      <c r="A84" s="448" t="n">
        <f aca="false">IF(B83+0.01&lt;=T_ini+ROUNDUP(Temps_fin_propu,0), 0.01, IF(K83&gt;0, 0.1, 0.0001))</f>
        <v>0.01</v>
      </c>
      <c r="B84" s="449" t="n">
        <f aca="false">B83+pas</f>
        <v>0.800000000000001</v>
      </c>
      <c r="C84" s="432"/>
      <c r="D84" s="450" t="n">
        <f aca="false">IF(AND(L83&lt;L_rampe,Poussee&lt;Poids*SIN(M83)),0,(-W83+Poussee)/m*COS(M83)-U83/m*SIN(M83))</f>
        <v>15.5236563338416</v>
      </c>
      <c r="E84" s="451" t="n">
        <f aca="false">IF(AND(L83&lt;L_rampe,Poussee&lt;Poids*SIN(M83)),0,(-W83+Poussee)/m*SIN(M83)+U83/m*COS(M83)-Poids/m)</f>
        <v>69.1869483371192</v>
      </c>
      <c r="F84" s="449" t="n">
        <f aca="false">SQRT(acc_x^2+acc_z^2)</f>
        <v>70.9071063164646</v>
      </c>
      <c r="G84" s="450" t="n">
        <f aca="false">G83+acc_x*pas</f>
        <v>11.3769053750611</v>
      </c>
      <c r="H84" s="451" t="n">
        <f aca="false">H83+acc_z*pas</f>
        <v>57.7968177192708</v>
      </c>
      <c r="I84" s="449" t="n">
        <f aca="false">SQRT(vit_x^2+vit_z^2)</f>
        <v>58.9059089938158</v>
      </c>
      <c r="J84" s="450" t="n">
        <f aca="false">J83+0.5*(vit_x+G83)*pas*(K83&gt;=0)</f>
        <v>4.2913566731609</v>
      </c>
      <c r="K84" s="451" t="n">
        <f aca="false">K83+0.5*(vit_z+H83)*pas</f>
        <v>22.9778295233478</v>
      </c>
      <c r="L84" s="449" t="n">
        <f aca="false">SQRT(pos_x^2+pos_z^2)</f>
        <v>23.3751233515529</v>
      </c>
      <c r="M84" s="450" t="n">
        <f aca="false">IF(AND(L83&gt;L_rampe,G84&gt;0),ATAN2(G84,H84),$M$4)</f>
        <v>1.37643807224401</v>
      </c>
      <c r="N84" s="449" t="n">
        <f aca="false">DEGREES(Beta)</f>
        <v>78.864092300705</v>
      </c>
      <c r="O84" s="438"/>
      <c r="P84" s="452" t="n">
        <f aca="false">MATCH(t-pas/2-T_ini,CdP_t)</f>
        <v>3</v>
      </c>
      <c r="Q84" s="449" t="n">
        <f aca="false">(INDEX(CdP,2,i_P+1)-INDEX(CdP,2,i_P+0))/(INDEX(CdP,1,i_P+1)-INDEX(CdP,1,i_P+0))*(t-pas/2-T_ini-INDEX(CdP,1,i_P+0))+INDEX(CdP,2,i_P+0)</f>
        <v>763.19</v>
      </c>
      <c r="R84" s="450" t="n">
        <f aca="false">Poussee/(g*ISP)</f>
        <v>0.38300950266473</v>
      </c>
      <c r="S84" s="451" t="n">
        <f aca="false">S83-Débit*pas</f>
        <v>9.36537458280096</v>
      </c>
      <c r="T84" s="449" t="n">
        <f aca="false">m*g</f>
        <v>91.8743246572774</v>
      </c>
      <c r="U84" s="453" t="n">
        <f aca="false">IF(pos_xz&lt;L_rampe,Poids*COS(Beta),0)</f>
        <v>0</v>
      </c>
      <c r="V84" s="450" t="n">
        <f aca="false">Rho_moyen*(20000-Alt_rampe-pos_z)/(20000+Alt_rampe+pos_z)</f>
        <v>1.22218844605375</v>
      </c>
      <c r="W84" s="449" t="n">
        <f aca="false">1/2*Rho*Sref*Cx*vit_xz^2</f>
        <v>9.42957534445189</v>
      </c>
      <c r="X84" s="438"/>
      <c r="Y84" s="454" t="str">
        <f aca="false">IF(AND(pos_z&lt;=0,K83&gt;0),"Impact balistique","") &amp; IF(AND(H85&lt;0,vit_z&gt;=0),"Apogée","") &amp; IF(AND(Poussee=0,Q83&gt;0),"Fin de propulsion","") &amp; IF(AND(L85&gt;L_rampe,pos_xz&lt;=L_rampe),"Sortie de rampe","")</f>
        <v/>
      </c>
      <c r="Z84" s="455" t="str">
        <f aca="false">IF(ABS(t-T_para)&lt;pas/2,"Para","")</f>
        <v/>
      </c>
      <c r="AA84" s="456" t="str">
        <f aca="false">IF(ABS(t-T_satellite)&lt;pas/2,"Satellite","")</f>
        <v/>
      </c>
      <c r="AB84" s="444"/>
      <c r="AC84" s="452" t="e">
        <f aca="false">IF(ABS(t-ROUND(t,0))&lt;0.001,t,NA())</f>
        <v>#N/A</v>
      </c>
      <c r="AD84" s="457" t="e">
        <f aca="false">IF(ABS(t-ROUND(t,0))&lt;0.001,pos_x,NA())</f>
        <v>#N/A</v>
      </c>
      <c r="AE84" s="458" t="n">
        <f aca="false">IF(t&lt;T_para, pos_z, NA())</f>
        <v>22.9778295233478</v>
      </c>
      <c r="AF84" s="444"/>
      <c r="AG84" s="450" t="n">
        <f aca="false">IF(AND(L83&lt;L_rampe,Poussee&lt;Poids*SIN(M83)),0,(-W83+Poussee)/m-Poids*SIN(M83)/m)</f>
        <v>70.8818710473174</v>
      </c>
      <c r="AH84" s="449" t="n">
        <f aca="false">IF(AND(L83&lt;L_rampe,Poussee&lt;Poids*SIN(M83)), g*SIN(M83), (-W83+Poussee)/m)</f>
        <v>80.5077744851309</v>
      </c>
    </row>
    <row r="85" customFormat="false" ht="12" hidden="false" customHeight="false" outlineLevel="0" collapsed="false">
      <c r="A85" s="448" t="n">
        <f aca="false">IF(B84+0.01&lt;=T_ini+ROUNDUP(Temps_fin_propu,0), 0.01, IF(K84&gt;0, 0.1, 0.0001))</f>
        <v>0.01</v>
      </c>
      <c r="B85" s="449" t="n">
        <f aca="false">B84+pas</f>
        <v>0.810000000000001</v>
      </c>
      <c r="C85" s="432"/>
      <c r="D85" s="450" t="n">
        <f aca="false">IF(AND(L84&lt;L_rampe,Poussee&lt;Poids*SIN(M84)),0,(-W84+Poussee)/m*COS(M84)-U84/m*SIN(M84))</f>
        <v>15.526387517138</v>
      </c>
      <c r="E85" s="451" t="n">
        <f aca="false">IF(AND(L84&lt;L_rampe,Poussee&lt;Poids*SIN(M84)),0,(-W84+Poussee)/m*SIN(M84)+U84/m*COS(M84)-Poids/m)</f>
        <v>69.066966941633</v>
      </c>
      <c r="F85" s="449" t="n">
        <f aca="false">SQRT(acc_x^2+acc_z^2)</f>
        <v>70.7906394366442</v>
      </c>
      <c r="G85" s="450" t="n">
        <f aca="false">G84+acc_x*pas</f>
        <v>11.5321692502325</v>
      </c>
      <c r="H85" s="451" t="n">
        <f aca="false">H84+acc_z*pas</f>
        <v>58.4874873886872</v>
      </c>
      <c r="I85" s="449" t="n">
        <f aca="false">SQRT(vit_x^2+vit_z^2)</f>
        <v>59.6135648041438</v>
      </c>
      <c r="J85" s="450" t="n">
        <f aca="false">J84+0.5*(vit_x+G84)*pas*(K84&gt;=0)</f>
        <v>4.40590204628737</v>
      </c>
      <c r="K85" s="451" t="n">
        <f aca="false">K84+0.5*(vit_z+H84)*pas</f>
        <v>23.5592510488876</v>
      </c>
      <c r="L85" s="449" t="n">
        <f aca="false">SQRT(pos_x^2+pos_z^2)</f>
        <v>23.9676924802116</v>
      </c>
      <c r="M85" s="450" t="n">
        <f aca="false">IF(AND(L84&gt;L_rampe,G85&gt;0),ATAN2(G85,H85),$M$4)</f>
        <v>1.37612024640235</v>
      </c>
      <c r="N85" s="449" t="n">
        <f aca="false">DEGREES(Beta)</f>
        <v>78.8458822213574</v>
      </c>
      <c r="O85" s="438"/>
      <c r="P85" s="452" t="n">
        <f aca="false">MATCH(t-pas/2-T_ini,CdP_t)</f>
        <v>3</v>
      </c>
      <c r="Q85" s="449" t="n">
        <f aca="false">(INDEX(CdP,2,i_P+1)-INDEX(CdP,2,i_P+0))/(INDEX(CdP,1,i_P+1)-INDEX(CdP,1,i_P+0))*(t-pas/2-T_ini-INDEX(CdP,1,i_P+0))+INDEX(CdP,2,i_P+0)</f>
        <v>762.01</v>
      </c>
      <c r="R85" s="450" t="n">
        <f aca="false">Poussee/(g*ISP)</f>
        <v>0.38241731564296</v>
      </c>
      <c r="S85" s="451" t="n">
        <f aca="false">S84-Débit*pas</f>
        <v>9.36155040964453</v>
      </c>
      <c r="T85" s="449" t="n">
        <f aca="false">m*g</f>
        <v>91.8368095186128</v>
      </c>
      <c r="U85" s="453" t="n">
        <f aca="false">IF(pos_xz&lt;L_rampe,Poids*COS(Beta),0)</f>
        <v>0</v>
      </c>
      <c r="V85" s="450" t="n">
        <f aca="false">Rho_moyen*(20000-Alt_rampe-pos_z)/(20000+Alt_rampe+pos_z)</f>
        <v>1.22211738735626</v>
      </c>
      <c r="W85" s="449" t="n">
        <f aca="false">1/2*Rho*Sref*Cx*vit_xz^2</f>
        <v>9.65693582878183</v>
      </c>
      <c r="X85" s="438"/>
      <c r="Y85" s="454" t="str">
        <f aca="false">IF(AND(pos_z&lt;=0,K84&gt;0),"Impact balistique","") &amp; IF(AND(H86&lt;0,vit_z&gt;=0),"Apogée","") &amp; IF(AND(Poussee=0,Q84&gt;0),"Fin de propulsion","") &amp; IF(AND(L86&gt;L_rampe,pos_xz&lt;=L_rampe),"Sortie de rampe","")</f>
        <v/>
      </c>
      <c r="Z85" s="455" t="str">
        <f aca="false">IF(ABS(t-T_para)&lt;pas/2,"Para","")</f>
        <v/>
      </c>
      <c r="AA85" s="456" t="str">
        <f aca="false">IF(ABS(t-T_satellite)&lt;pas/2,"Satellite","")</f>
        <v/>
      </c>
      <c r="AB85" s="444"/>
      <c r="AC85" s="452" t="e">
        <f aca="false">IF(ABS(t-ROUND(t,0))&lt;0.001,t,NA())</f>
        <v>#N/A</v>
      </c>
      <c r="AD85" s="457" t="e">
        <f aca="false">IF(ABS(t-ROUND(t,0))&lt;0.001,pos_x,NA())</f>
        <v>#N/A</v>
      </c>
      <c r="AE85" s="458" t="n">
        <f aca="false">IF(t&lt;T_para, pos_z, NA())</f>
        <v>23.5592510488876</v>
      </c>
      <c r="AF85" s="444"/>
      <c r="AG85" s="450" t="n">
        <f aca="false">IF(AND(L84&lt;L_rampe,Poussee&lt;Poids*SIN(M84)),0,(-W84+Poussee)/m-Poids*SIN(M84)/m)</f>
        <v>70.7652799447523</v>
      </c>
      <c r="AH85" s="449" t="n">
        <f aca="false">IF(AND(L84&lt;L_rampe,Poussee&lt;Poids*SIN(M84)), g*SIN(M84), (-W84+Poussee)/m)</f>
        <v>80.3905754628228</v>
      </c>
    </row>
    <row r="86" customFormat="false" ht="12" hidden="false" customHeight="false" outlineLevel="0" collapsed="false">
      <c r="A86" s="448" t="n">
        <f aca="false">IF(B85+0.01&lt;=T_ini+ROUNDUP(Temps_fin_propu,0), 0.01, IF(K85&gt;0, 0.1, 0.0001))</f>
        <v>0.01</v>
      </c>
      <c r="B86" s="449" t="n">
        <f aca="false">B85+pas</f>
        <v>0.820000000000001</v>
      </c>
      <c r="C86" s="432"/>
      <c r="D86" s="450" t="n">
        <f aca="false">IF(AND(L85&lt;L_rampe,Poussee&lt;Poids*SIN(M85)),0,(-W85+Poussee)/m*COS(M85)-U85/m*SIN(M85))</f>
        <v>15.5287075438437</v>
      </c>
      <c r="E86" s="451" t="n">
        <f aca="false">IF(AND(L85&lt;L_rampe,Poussee&lt;Poids*SIN(M85)),0,(-W85+Poussee)/m*SIN(M85)+U85/m*COS(M85)-Poids/m)</f>
        <v>68.9466560051014</v>
      </c>
      <c r="F86" s="449" t="n">
        <f aca="false">SQRT(acc_x^2+acc_z^2)</f>
        <v>70.6737725911672</v>
      </c>
      <c r="G86" s="450" t="n">
        <f aca="false">G85+acc_x*pas</f>
        <v>11.687456325671</v>
      </c>
      <c r="H86" s="451" t="n">
        <f aca="false">H85+acc_z*pas</f>
        <v>59.1769539487382</v>
      </c>
      <c r="I86" s="449" t="n">
        <f aca="false">SQRT(vit_x^2+vit_z^2)</f>
        <v>60.3200506798158</v>
      </c>
      <c r="J86" s="450" t="n">
        <f aca="false">J85+0.5*(vit_x+G85)*pas*(K85&gt;=0)</f>
        <v>4.52200017416689</v>
      </c>
      <c r="K86" s="451" t="n">
        <f aca="false">K85+0.5*(vit_z+H85)*pas</f>
        <v>24.1475732555747</v>
      </c>
      <c r="L86" s="449" t="n">
        <f aca="false">SQRT(pos_x^2+pos_z^2)</f>
        <v>24.5673315544955</v>
      </c>
      <c r="M86" s="450" t="n">
        <f aca="false">IF(AND(L85&gt;L_rampe,G86&gt;0),ATAN2(G86,H86),$M$4)</f>
        <v>1.3758056358888</v>
      </c>
      <c r="N86" s="449" t="n">
        <f aca="false">DEGREES(Beta)</f>
        <v>78.8278563667405</v>
      </c>
      <c r="O86" s="438"/>
      <c r="P86" s="452" t="n">
        <f aca="false">MATCH(t-pas/2-T_ini,CdP_t)</f>
        <v>3</v>
      </c>
      <c r="Q86" s="449" t="n">
        <f aca="false">(INDEX(CdP,2,i_P+1)-INDEX(CdP,2,i_P+0))/(INDEX(CdP,1,i_P+1)-INDEX(CdP,1,i_P+0))*(t-pas/2-T_ini-INDEX(CdP,1,i_P+0))+INDEX(CdP,2,i_P+0)</f>
        <v>760.83</v>
      </c>
      <c r="R86" s="450" t="n">
        <f aca="false">Poussee/(g*ISP)</f>
        <v>0.381825128621191</v>
      </c>
      <c r="S86" s="451" t="n">
        <f aca="false">S85-Débit*pas</f>
        <v>9.35773215835831</v>
      </c>
      <c r="T86" s="449" t="n">
        <f aca="false">m*g</f>
        <v>91.7993524734951</v>
      </c>
      <c r="U86" s="453" t="n">
        <f aca="false">IF(pos_xz&lt;L_rampe,Poids*COS(Beta),0)</f>
        <v>0</v>
      </c>
      <c r="V86" s="450" t="n">
        <f aca="false">Rho_moyen*(20000-Alt_rampe-pos_z)/(20000+Alt_rampe+pos_z)</f>
        <v>1.22204548948914</v>
      </c>
      <c r="W86" s="449" t="n">
        <f aca="false">1/2*Rho*Sref*Cx*vit_xz^2</f>
        <v>9.88660094243948</v>
      </c>
      <c r="X86" s="438"/>
      <c r="Y86" s="454" t="str">
        <f aca="false">IF(AND(pos_z&lt;=0,K85&gt;0),"Impact balistique","") &amp; IF(AND(H87&lt;0,vit_z&gt;=0),"Apogée","") &amp; IF(AND(Poussee=0,Q85&gt;0),"Fin de propulsion","") &amp; IF(AND(L87&gt;L_rampe,pos_xz&lt;=L_rampe),"Sortie de rampe","")</f>
        <v/>
      </c>
      <c r="Z86" s="455" t="str">
        <f aca="false">IF(ABS(t-T_para)&lt;pas/2,"Para","")</f>
        <v/>
      </c>
      <c r="AA86" s="456" t="str">
        <f aca="false">IF(ABS(t-T_satellite)&lt;pas/2,"Satellite","")</f>
        <v/>
      </c>
      <c r="AB86" s="444"/>
      <c r="AC86" s="452" t="e">
        <f aca="false">IF(ABS(t-ROUND(t,0))&lt;0.001,t,NA())</f>
        <v>#N/A</v>
      </c>
      <c r="AD86" s="457" t="e">
        <f aca="false">IF(ABS(t-ROUND(t,0))&lt;0.001,pos_x,NA())</f>
        <v>#N/A</v>
      </c>
      <c r="AE86" s="458" t="n">
        <f aca="false">IF(t&lt;T_para, pos_z, NA())</f>
        <v>24.1475732555747</v>
      </c>
      <c r="AF86" s="444"/>
      <c r="AG86" s="450" t="n">
        <f aca="false">IF(AND(L85&lt;L_rampe,Poussee&lt;Poids*SIN(M85)),0,(-W85+Poussee)/m-Poids*SIN(M85)/m)</f>
        <v>70.6482890439516</v>
      </c>
      <c r="AH86" s="449" t="n">
        <f aca="false">IF(AND(L85&lt;L_rampe,Poussee&lt;Poids*SIN(M85)), g*SIN(M85), (-W85+Poussee)/m)</f>
        <v>80.2729818998155</v>
      </c>
    </row>
    <row r="87" customFormat="false" ht="12" hidden="false" customHeight="false" outlineLevel="0" collapsed="false">
      <c r="A87" s="448" t="n">
        <f aca="false">IF(B86+0.01&lt;=T_ini+ROUNDUP(Temps_fin_propu,0), 0.01, IF(K86&gt;0, 0.1, 0.0001))</f>
        <v>0.01</v>
      </c>
      <c r="B87" s="449" t="n">
        <f aca="false">B86+pas</f>
        <v>0.830000000000001</v>
      </c>
      <c r="C87" s="432"/>
      <c r="D87" s="450" t="n">
        <f aca="false">IF(AND(L86&lt;L_rampe,Poussee&lt;Poids*SIN(M86)),0,(-W86+Poussee)/m*COS(M86)-U86/m*SIN(M86))</f>
        <v>15.5306236518495</v>
      </c>
      <c r="E87" s="451" t="n">
        <f aca="false">IF(AND(L86&lt;L_rampe,Poussee&lt;Poids*SIN(M86)),0,(-W86+Poussee)/m*SIN(M86)+U86/m*COS(M86)-Poids/m)</f>
        <v>68.8260158302386</v>
      </c>
      <c r="F87" s="449" t="n">
        <f aca="false">SQRT(acc_x^2+acc_z^2)</f>
        <v>70.5565073262534</v>
      </c>
      <c r="G87" s="450" t="n">
        <f aca="false">G86+acc_x*pas</f>
        <v>11.8427625621895</v>
      </c>
      <c r="H87" s="451" t="n">
        <f aca="false">H86+acc_z*pas</f>
        <v>59.8652141070406</v>
      </c>
      <c r="I87" s="449" t="n">
        <f aca="false">SQRT(vit_x^2+vit_z^2)</f>
        <v>61.0253626387112</v>
      </c>
      <c r="J87" s="450" t="n">
        <f aca="false">J86+0.5*(vit_x+G86)*pas*(K86&gt;=0)</f>
        <v>4.63965126860619</v>
      </c>
      <c r="K87" s="451" t="n">
        <f aca="false">K86+0.5*(vit_z+H86)*pas</f>
        <v>24.7427840958536</v>
      </c>
      <c r="L87" s="449" t="n">
        <f aca="false">SQRT(pos_x^2+pos_z^2)</f>
        <v>25.1740288533303</v>
      </c>
      <c r="M87" s="450" t="n">
        <f aca="false">IF(AND(L86&gt;L_rampe,G87&gt;0),ATAN2(G87,H87),$M$4)</f>
        <v>1.37549416536818</v>
      </c>
      <c r="N87" s="449" t="n">
        <f aca="false">DEGREES(Beta)</f>
        <v>78.8100104204665</v>
      </c>
      <c r="O87" s="438"/>
      <c r="P87" s="452" t="n">
        <f aca="false">MATCH(t-pas/2-T_ini,CdP_t)</f>
        <v>3</v>
      </c>
      <c r="Q87" s="449" t="n">
        <f aca="false">(INDEX(CdP,2,i_P+1)-INDEX(CdP,2,i_P+0))/(INDEX(CdP,1,i_P+1)-INDEX(CdP,1,i_P+0))*(t-pas/2-T_ini-INDEX(CdP,1,i_P+0))+INDEX(CdP,2,i_P+0)</f>
        <v>759.65</v>
      </c>
      <c r="R87" s="450" t="n">
        <f aca="false">Poussee/(g*ISP)</f>
        <v>0.381232941599421</v>
      </c>
      <c r="S87" s="451" t="n">
        <f aca="false">S86-Débit*pas</f>
        <v>9.35391982894232</v>
      </c>
      <c r="T87" s="449" t="n">
        <f aca="false">m*g</f>
        <v>91.7619535219242</v>
      </c>
      <c r="U87" s="453" t="n">
        <f aca="false">IF(pos_xz&lt;L_rampe,Poids*COS(Beta),0)</f>
        <v>0</v>
      </c>
      <c r="V87" s="450" t="n">
        <f aca="false">Rho_moyen*(20000-Alt_rampe-pos_z)/(20000+Alt_rampe+pos_z)</f>
        <v>1.22197275407288</v>
      </c>
      <c r="W87" s="449" t="n">
        <f aca="false">1/2*Rho*Sref*Cx*vit_xz^2</f>
        <v>10.1185550168093</v>
      </c>
      <c r="X87" s="438"/>
      <c r="Y87" s="454" t="str">
        <f aca="false">IF(AND(pos_z&lt;=0,K86&gt;0),"Impact balistique","") &amp; IF(AND(H88&lt;0,vit_z&gt;=0),"Apogée","") &amp; IF(AND(Poussee=0,Q86&gt;0),"Fin de propulsion","") &amp; IF(AND(L88&gt;L_rampe,pos_xz&lt;=L_rampe),"Sortie de rampe","")</f>
        <v/>
      </c>
      <c r="Z87" s="455" t="str">
        <f aca="false">IF(ABS(t-T_para)&lt;pas/2,"Para","")</f>
        <v/>
      </c>
      <c r="AA87" s="456" t="str">
        <f aca="false">IF(ABS(t-T_satellite)&lt;pas/2,"Satellite","")</f>
        <v/>
      </c>
      <c r="AB87" s="444"/>
      <c r="AC87" s="452" t="e">
        <f aca="false">IF(ABS(t-ROUND(t,0))&lt;0.001,t,NA())</f>
        <v>#N/A</v>
      </c>
      <c r="AD87" s="457" t="e">
        <f aca="false">IF(ABS(t-ROUND(t,0))&lt;0.001,pos_x,NA())</f>
        <v>#N/A</v>
      </c>
      <c r="AE87" s="458" t="n">
        <f aca="false">IF(t&lt;T_para, pos_z, NA())</f>
        <v>24.7427840958536</v>
      </c>
      <c r="AF87" s="444"/>
      <c r="AG87" s="450" t="n">
        <f aca="false">IF(AND(L86&lt;L_rampe,Poussee&lt;Poids*SIN(M86)),0,(-W86+Poussee)/m-Poids*SIN(M86)/m)</f>
        <v>70.5308998741639</v>
      </c>
      <c r="AH87" s="449" t="n">
        <f aca="false">IF(AND(L86&lt;L_rampe,Poussee&lt;Poids*SIN(M86)), g*SIN(M86), (-W86+Poussee)/m)</f>
        <v>80.1549952072167</v>
      </c>
    </row>
    <row r="88" customFormat="false" ht="12" hidden="false" customHeight="false" outlineLevel="0" collapsed="false">
      <c r="A88" s="448" t="n">
        <f aca="false">IF(B87+0.01&lt;=T_ini+ROUNDUP(Temps_fin_propu,0), 0.01, IF(K87&gt;0, 0.1, 0.0001))</f>
        <v>0.01</v>
      </c>
      <c r="B88" s="449" t="n">
        <f aca="false">B87+pas</f>
        <v>0.840000000000001</v>
      </c>
      <c r="C88" s="432"/>
      <c r="D88" s="450" t="n">
        <f aca="false">IF(AND(L87&lt;L_rampe,Poussee&lt;Poids*SIN(M87)),0,(-W87+Poussee)/m*COS(M87)-U87/m*SIN(M87))</f>
        <v>15.5321428354878</v>
      </c>
      <c r="E88" s="451" t="n">
        <f aca="false">IF(AND(L87&lt;L_rampe,Poussee&lt;Poids*SIN(M87)),0,(-W87+Poussee)/m*SIN(M87)+U87/m*COS(M87)-Poids/m)</f>
        <v>68.7050467641993</v>
      </c>
      <c r="F88" s="449" t="n">
        <f aca="false">SQRT(acc_x^2+acc_z^2)</f>
        <v>70.438845191647</v>
      </c>
      <c r="G88" s="450" t="n">
        <f aca="false">G87+acc_x*pas</f>
        <v>11.9980839905443</v>
      </c>
      <c r="H88" s="451" t="n">
        <f aca="false">H87+acc_z*pas</f>
        <v>60.5522645746826</v>
      </c>
      <c r="I88" s="449" t="n">
        <f aca="false">SQRT(vit_x^2+vit_z^2)</f>
        <v>61.7294967140225</v>
      </c>
      <c r="J88" s="450" t="n">
        <f aca="false">J87+0.5*(vit_x+G87)*pas*(K87&gt;=0)</f>
        <v>4.75885550136986</v>
      </c>
      <c r="K88" s="451" t="n">
        <f aca="false">K87+0.5*(vit_z+H87)*pas</f>
        <v>25.3448714892622</v>
      </c>
      <c r="L88" s="449" t="n">
        <f aca="false">SQRT(pos_x^2+pos_z^2)</f>
        <v>25.787772615915</v>
      </c>
      <c r="M88" s="450" t="n">
        <f aca="false">IF(AND(L87&gt;L_rampe,G88&gt;0),ATAN2(G88,H88),$M$4)</f>
        <v>1.37518576212861</v>
      </c>
      <c r="N88" s="449" t="n">
        <f aca="false">DEGREES(Beta)</f>
        <v>78.7923402164509</v>
      </c>
      <c r="O88" s="438"/>
      <c r="P88" s="452" t="n">
        <f aca="false">MATCH(t-pas/2-T_ini,CdP_t)</f>
        <v>3</v>
      </c>
      <c r="Q88" s="449" t="n">
        <f aca="false">(INDEX(CdP,2,i_P+1)-INDEX(CdP,2,i_P+0))/(INDEX(CdP,1,i_P+1)-INDEX(CdP,1,i_P+0))*(t-pas/2-T_ini-INDEX(CdP,1,i_P+0))+INDEX(CdP,2,i_P+0)</f>
        <v>758.47</v>
      </c>
      <c r="R88" s="450" t="n">
        <f aca="false">Poussee/(g*ISP)</f>
        <v>0.380640754577651</v>
      </c>
      <c r="S88" s="451" t="n">
        <f aca="false">S87-Débit*pas</f>
        <v>9.35011342139654</v>
      </c>
      <c r="T88" s="449" t="n">
        <f aca="false">m*g</f>
        <v>91.7246126639001</v>
      </c>
      <c r="U88" s="453" t="n">
        <f aca="false">IF(pos_xz&lt;L_rampe,Poids*COS(Beta),0)</f>
        <v>0</v>
      </c>
      <c r="V88" s="450" t="n">
        <f aca="false">Rho_moyen*(20000-Alt_rampe-pos_z)/(20000+Alt_rampe+pos_z)</f>
        <v>1.22189918273332</v>
      </c>
      <c r="W88" s="449" t="n">
        <f aca="false">1/2*Rho*Sref*Cx*vit_xz^2</f>
        <v>10.3527823450021</v>
      </c>
      <c r="X88" s="438"/>
      <c r="Y88" s="454" t="str">
        <f aca="false">IF(AND(pos_z&lt;=0,K87&gt;0),"Impact balistique","") &amp; IF(AND(H89&lt;0,vit_z&gt;=0),"Apogée","") &amp; IF(AND(Poussee=0,Q87&gt;0),"Fin de propulsion","") &amp; IF(AND(L89&gt;L_rampe,pos_xz&lt;=L_rampe),"Sortie de rampe","")</f>
        <v/>
      </c>
      <c r="Z88" s="455" t="str">
        <f aca="false">IF(ABS(t-T_para)&lt;pas/2,"Para","")</f>
        <v/>
      </c>
      <c r="AA88" s="456" t="str">
        <f aca="false">IF(ABS(t-T_satellite)&lt;pas/2,"Satellite","")</f>
        <v/>
      </c>
      <c r="AB88" s="444"/>
      <c r="AC88" s="452" t="e">
        <f aca="false">IF(ABS(t-ROUND(t,0))&lt;0.001,t,NA())</f>
        <v>#N/A</v>
      </c>
      <c r="AD88" s="457" t="e">
        <f aca="false">IF(ABS(t-ROUND(t,0))&lt;0.001,pos_x,NA())</f>
        <v>#N/A</v>
      </c>
      <c r="AE88" s="458" t="n">
        <f aca="false">IF(t&lt;T_para, pos_z, NA())</f>
        <v>25.3448714892622</v>
      </c>
      <c r="AF88" s="444"/>
      <c r="AG88" s="450" t="n">
        <f aca="false">IF(AND(L87&lt;L_rampe,Poussee&lt;Poids*SIN(M87)),0,(-W87+Poussee)/m-Poids*SIN(M87)/m)</f>
        <v>70.4131139686165</v>
      </c>
      <c r="AH88" s="449" t="n">
        <f aca="false">IF(AND(L87&lt;L_rampe,Poussee&lt;Poids*SIN(M87)), g*SIN(M87), (-W87+Poussee)/m)</f>
        <v>80.0366168041003</v>
      </c>
    </row>
    <row r="89" customFormat="false" ht="12" hidden="false" customHeight="false" outlineLevel="0" collapsed="false">
      <c r="A89" s="448" t="n">
        <f aca="false">IF(B88+0.01&lt;=T_ini+ROUNDUP(Temps_fin_propu,0), 0.01, IF(K88&gt;0, 0.1, 0.0001))</f>
        <v>0.01</v>
      </c>
      <c r="B89" s="449" t="n">
        <f aca="false">B88+pas</f>
        <v>0.850000000000001</v>
      </c>
      <c r="C89" s="432"/>
      <c r="D89" s="450" t="n">
        <f aca="false">IF(AND(L88&lt;L_rampe,Poussee&lt;Poids*SIN(M88)),0,(-W88+Poussee)/m*COS(M88)-U88/m*SIN(M88))</f>
        <v>15.5332718570306</v>
      </c>
      <c r="E89" s="451" t="n">
        <f aca="false">IF(AND(L88&lt;L_rampe,Poussee&lt;Poids*SIN(M88)),0,(-W88+Poussee)/m*SIN(M88)+U88/m*COS(M88)-Poids/m)</f>
        <v>68.5837491968429</v>
      </c>
      <c r="F89" s="449" t="n">
        <f aca="false">SQRT(acc_x^2+acc_z^2)</f>
        <v>70.3207877407518</v>
      </c>
      <c r="G89" s="450" t="n">
        <f aca="false">G88+acc_x*pas</f>
        <v>12.1534167091146</v>
      </c>
      <c r="H89" s="451" t="n">
        <f aca="false">H88+acc_z*pas</f>
        <v>61.238102066651</v>
      </c>
      <c r="I89" s="449" t="n">
        <f aca="false">SQRT(vit_x^2+vit_z^2)</f>
        <v>62.4324489542974</v>
      </c>
      <c r="J89" s="450" t="n">
        <f aca="false">J88+0.5*(vit_x+G88)*pas*(K88&gt;=0)</f>
        <v>4.87961300486815</v>
      </c>
      <c r="K89" s="451" t="n">
        <f aca="false">K88+0.5*(vit_z+H88)*pas</f>
        <v>25.9538233224689</v>
      </c>
      <c r="L89" s="449" t="n">
        <f aca="false">SQRT(pos_x^2+pos_z^2)</f>
        <v>26.4085510418729</v>
      </c>
      <c r="M89" s="450" t="n">
        <f aca="false">IF(AND(L88&gt;L_rampe,G89&gt;0),ATAN2(G89,H89),$M$4)</f>
        <v>1.37488035595976</v>
      </c>
      <c r="N89" s="449" t="n">
        <f aca="false">DEGREES(Beta)</f>
        <v>78.7748417319386</v>
      </c>
      <c r="O89" s="438"/>
      <c r="P89" s="452" t="n">
        <f aca="false">MATCH(t-pas/2-T_ini,CdP_t)</f>
        <v>3</v>
      </c>
      <c r="Q89" s="449" t="n">
        <f aca="false">(INDEX(CdP,2,i_P+1)-INDEX(CdP,2,i_P+0))/(INDEX(CdP,1,i_P+1)-INDEX(CdP,1,i_P+0))*(t-pas/2-T_ini-INDEX(CdP,1,i_P+0))+INDEX(CdP,2,i_P+0)</f>
        <v>757.29</v>
      </c>
      <c r="R89" s="450" t="n">
        <f aca="false">Poussee/(g*ISP)</f>
        <v>0.380048567555882</v>
      </c>
      <c r="S89" s="451" t="n">
        <f aca="false">S88-Débit*pas</f>
        <v>9.34631293572098</v>
      </c>
      <c r="T89" s="449" t="n">
        <f aca="false">m*g</f>
        <v>91.6873298994229</v>
      </c>
      <c r="U89" s="453" t="n">
        <f aca="false">IF(pos_xz&lt;L_rampe,Poids*COS(Beta),0)</f>
        <v>0</v>
      </c>
      <c r="V89" s="450" t="n">
        <f aca="false">Rho_moyen*(20000-Alt_rampe-pos_z)/(20000+Alt_rampe+pos_z)</f>
        <v>1.2218247771017</v>
      </c>
      <c r="W89" s="449" t="n">
        <f aca="false">1/2*Rho*Sref*Cx*vit_xz^2</f>
        <v>10.5892671825633</v>
      </c>
      <c r="X89" s="438"/>
      <c r="Y89" s="454" t="str">
        <f aca="false">IF(AND(pos_z&lt;=0,K88&gt;0),"Impact balistique","") &amp; IF(AND(H90&lt;0,vit_z&gt;=0),"Apogée","") &amp; IF(AND(Poussee=0,Q88&gt;0),"Fin de propulsion","") &amp; IF(AND(L90&gt;L_rampe,pos_xz&lt;=L_rampe),"Sortie de rampe","")</f>
        <v/>
      </c>
      <c r="Z89" s="455" t="str">
        <f aca="false">IF(ABS(t-T_para)&lt;pas/2,"Para","")</f>
        <v/>
      </c>
      <c r="AA89" s="456" t="str">
        <f aca="false">IF(ABS(t-T_satellite)&lt;pas/2,"Satellite","")</f>
        <v/>
      </c>
      <c r="AB89" s="444"/>
      <c r="AC89" s="452" t="e">
        <f aca="false">IF(ABS(t-ROUND(t,0))&lt;0.001,t,NA())</f>
        <v>#N/A</v>
      </c>
      <c r="AD89" s="457" t="e">
        <f aca="false">IF(ABS(t-ROUND(t,0))&lt;0.001,pos_x,NA())</f>
        <v>#N/A</v>
      </c>
      <c r="AE89" s="458" t="n">
        <f aca="false">IF(t&lt;T_para, pos_z, NA())</f>
        <v>25.9538233224689</v>
      </c>
      <c r="AF89" s="444"/>
      <c r="AG89" s="450" t="n">
        <f aca="false">IF(AND(L88&lt;L_rampe,Poussee&lt;Poids*SIN(M88)),0,(-W88+Poussee)/m-Poids*SIN(M88)/m)</f>
        <v>70.2949328646285</v>
      </c>
      <c r="AH89" s="449" t="n">
        <f aca="false">IF(AND(L88&lt;L_rampe,Poussee&lt;Poids*SIN(M88)), g*SIN(M88), (-W88+Poussee)/m)</f>
        <v>79.9178481174382</v>
      </c>
    </row>
    <row r="90" customFormat="false" ht="12" hidden="false" customHeight="false" outlineLevel="0" collapsed="false">
      <c r="A90" s="448" t="n">
        <f aca="false">IF(B89+0.01&lt;=T_ini+ROUNDUP(Temps_fin_propu,0), 0.01, IF(K89&gt;0, 0.1, 0.0001))</f>
        <v>0.01</v>
      </c>
      <c r="B90" s="449" t="n">
        <f aca="false">B89+pas</f>
        <v>0.860000000000001</v>
      </c>
      <c r="C90" s="432"/>
      <c r="D90" s="450" t="n">
        <f aca="false">IF(AND(L89&lt;L_rampe,Poussee&lt;Poids*SIN(M89)),0,(-W89+Poussee)/m*COS(M89)-U89/m*SIN(M89))</f>
        <v>15.5340172575173</v>
      </c>
      <c r="E90" s="451" t="n">
        <f aca="false">IF(AND(L89&lt;L_rampe,Poussee&lt;Poids*SIN(M89)),0,(-W89+Poussee)/m*SIN(M89)+U89/m*COS(M89)-Poids/m)</f>
        <v>68.4621235590927</v>
      </c>
      <c r="F90" s="449" t="n">
        <f aca="false">SQRT(acc_x^2+acc_z^2)</f>
        <v>70.2023365307546</v>
      </c>
      <c r="G90" s="450" t="n">
        <f aca="false">G89+acc_x*pas</f>
        <v>12.3087568816898</v>
      </c>
      <c r="H90" s="451" t="n">
        <f aca="false">H89+acc_z*pas</f>
        <v>61.9227233022419</v>
      </c>
      <c r="I90" s="449" t="n">
        <f aca="false">SQRT(vit_x^2+vit_z^2)</f>
        <v>63.1342154234814</v>
      </c>
      <c r="J90" s="450" t="n">
        <f aca="false">J89+0.5*(vit_x+G89)*pas*(K89&gt;=0)</f>
        <v>5.00192387282218</v>
      </c>
      <c r="K90" s="451" t="n">
        <f aca="false">K89+0.5*(vit_z+H89)*pas</f>
        <v>26.5696274493133</v>
      </c>
      <c r="L90" s="449" t="n">
        <f aca="false">SQRT(pos_x^2+pos_z^2)</f>
        <v>27.0363522914023</v>
      </c>
      <c r="M90" s="450" t="n">
        <f aca="false">IF(AND(L89&gt;L_rampe,G90&gt;0),ATAN2(G90,H90),$M$4)</f>
        <v>1.37457787903816</v>
      </c>
      <c r="N90" s="449" t="n">
        <f aca="false">DEGREES(Beta)</f>
        <v>78.7575110809308</v>
      </c>
      <c r="O90" s="438"/>
      <c r="P90" s="452" t="n">
        <f aca="false">MATCH(t-pas/2-T_ini,CdP_t)</f>
        <v>3</v>
      </c>
      <c r="Q90" s="449" t="n">
        <f aca="false">(INDEX(CdP,2,i_P+1)-INDEX(CdP,2,i_P+0))/(INDEX(CdP,1,i_P+1)-INDEX(CdP,1,i_P+0))*(t-pas/2-T_ini-INDEX(CdP,1,i_P+0))+INDEX(CdP,2,i_P+0)</f>
        <v>756.11</v>
      </c>
      <c r="R90" s="450" t="n">
        <f aca="false">Poussee/(g*ISP)</f>
        <v>0.379456380534112</v>
      </c>
      <c r="S90" s="451" t="n">
        <f aca="false">S89-Débit*pas</f>
        <v>9.34251837191564</v>
      </c>
      <c r="T90" s="449" t="n">
        <f aca="false">m*g</f>
        <v>91.6501052284925</v>
      </c>
      <c r="U90" s="453" t="n">
        <f aca="false">IF(pos_xz&lt;L_rampe,Poids*COS(Beta),0)</f>
        <v>0</v>
      </c>
      <c r="V90" s="450" t="n">
        <f aca="false">Rho_moyen*(20000-Alt_rampe-pos_z)/(20000+Alt_rampe+pos_z)</f>
        <v>1.2217495388146</v>
      </c>
      <c r="W90" s="449" t="n">
        <f aca="false">1/2*Rho*Sref*Cx*vit_xz^2</f>
        <v>10.8279937481821</v>
      </c>
      <c r="X90" s="438"/>
      <c r="Y90" s="454" t="str">
        <f aca="false">IF(AND(pos_z&lt;=0,K89&gt;0),"Impact balistique","") &amp; IF(AND(H91&lt;0,vit_z&gt;=0),"Apogée","") &amp; IF(AND(Poussee=0,Q89&gt;0),"Fin de propulsion","") &amp; IF(AND(L91&gt;L_rampe,pos_xz&lt;=L_rampe),"Sortie de rampe","")</f>
        <v/>
      </c>
      <c r="Z90" s="455" t="str">
        <f aca="false">IF(ABS(t-T_para)&lt;pas/2,"Para","")</f>
        <v/>
      </c>
      <c r="AA90" s="456" t="str">
        <f aca="false">IF(ABS(t-T_satellite)&lt;pas/2,"Satellite","")</f>
        <v/>
      </c>
      <c r="AB90" s="444"/>
      <c r="AC90" s="452" t="e">
        <f aca="false">IF(ABS(t-ROUND(t,0))&lt;0.001,t,NA())</f>
        <v>#N/A</v>
      </c>
      <c r="AD90" s="457" t="e">
        <f aca="false">IF(ABS(t-ROUND(t,0))&lt;0.001,pos_x,NA())</f>
        <v>#N/A</v>
      </c>
      <c r="AE90" s="458" t="n">
        <f aca="false">IF(t&lt;T_para, pos_z, NA())</f>
        <v>26.5696274493133</v>
      </c>
      <c r="AF90" s="444"/>
      <c r="AG90" s="450" t="n">
        <f aca="false">IF(AND(L89&lt;L_rampe,Poussee&lt;Poids*SIN(M89)),0,(-W89+Poussee)/m-Poids*SIN(M89)/m)</f>
        <v>70.1763581037133</v>
      </c>
      <c r="AH90" s="449" t="n">
        <f aca="false">IF(AND(L89&lt;L_rampe,Poussee&lt;Poids*SIN(M89)), g*SIN(M89), (-W89+Poussee)/m)</f>
        <v>79.798690582031</v>
      </c>
    </row>
    <row r="91" customFormat="false" ht="12" hidden="false" customHeight="false" outlineLevel="0" collapsed="false">
      <c r="A91" s="448" t="n">
        <f aca="false">IF(B90+0.01&lt;=T_ini+ROUNDUP(Temps_fin_propu,0), 0.01, IF(K90&gt;0, 0.1, 0.0001))</f>
        <v>0.01</v>
      </c>
      <c r="B91" s="449" t="n">
        <f aca="false">B90+pas</f>
        <v>0.870000000000001</v>
      </c>
      <c r="C91" s="432"/>
      <c r="D91" s="450" t="n">
        <f aca="false">IF(AND(L90&lt;L_rampe,Poussee&lt;Poids*SIN(M90)),0,(-W90+Poussee)/m*COS(M90)-U90/m*SIN(M90))</f>
        <v>15.5343853669583</v>
      </c>
      <c r="E91" s="451" t="n">
        <f aca="false">IF(AND(L90&lt;L_rampe,Poussee&lt;Poids*SIN(M90)),0,(-W90+Poussee)/m*SIN(M90)+U90/m*COS(M90)-Poids/m)</f>
        <v>68.3401703213829</v>
      </c>
      <c r="F91" s="449" t="n">
        <f aca="false">SQRT(acc_x^2+acc_z^2)</f>
        <v>70.0834931227375</v>
      </c>
      <c r="G91" s="450" t="n">
        <f aca="false">G90+acc_x*pas</f>
        <v>12.4641007353594</v>
      </c>
      <c r="H91" s="451" t="n">
        <f aca="false">H90+acc_z*pas</f>
        <v>62.6061250054557</v>
      </c>
      <c r="I91" s="449" t="n">
        <f aca="false">SQRT(vit_x^2+vit_z^2)</f>
        <v>63.8347922009615</v>
      </c>
      <c r="J91" s="450" t="n">
        <f aca="false">J90+0.5*(vit_x+G90)*pas*(K90&gt;=0)</f>
        <v>5.12578816090742</v>
      </c>
      <c r="K91" s="451" t="n">
        <f aca="false">K90+0.5*(vit_z+H90)*pas</f>
        <v>27.1922716908518</v>
      </c>
      <c r="L91" s="449" t="n">
        <f aca="false">SQRT(pos_x^2+pos_z^2)</f>
        <v>27.6711644854278</v>
      </c>
      <c r="M91" s="450" t="n">
        <f aca="false">IF(AND(L90&gt;L_rampe,G91&gt;0),ATAN2(G91,H91),$M$4)</f>
        <v>1.37427826581901</v>
      </c>
      <c r="N91" s="449" t="n">
        <f aca="false">DEGREES(Beta)</f>
        <v>78.7403445079873</v>
      </c>
      <c r="O91" s="438"/>
      <c r="P91" s="452" t="n">
        <f aca="false">MATCH(t-pas/2-T_ini,CdP_t)</f>
        <v>3</v>
      </c>
      <c r="Q91" s="449" t="n">
        <f aca="false">(INDEX(CdP,2,i_P+1)-INDEX(CdP,2,i_P+0))/(INDEX(CdP,1,i_P+1)-INDEX(CdP,1,i_P+0))*(t-pas/2-T_ini-INDEX(CdP,1,i_P+0))+INDEX(CdP,2,i_P+0)</f>
        <v>754.93</v>
      </c>
      <c r="R91" s="450" t="n">
        <f aca="false">Poussee/(g*ISP)</f>
        <v>0.378864193512342</v>
      </c>
      <c r="S91" s="451" t="n">
        <f aca="false">S90-Débit*pas</f>
        <v>9.33872972998052</v>
      </c>
      <c r="T91" s="449" t="n">
        <f aca="false">m*g</f>
        <v>91.6129386511089</v>
      </c>
      <c r="U91" s="453" t="n">
        <f aca="false">IF(pos_xz&lt;L_rampe,Poids*COS(Beta),0)</f>
        <v>0</v>
      </c>
      <c r="V91" s="450" t="n">
        <f aca="false">Rho_moyen*(20000-Alt_rampe-pos_z)/(20000+Alt_rampe+pos_z)</f>
        <v>1.22167346951391</v>
      </c>
      <c r="W91" s="449" t="n">
        <f aca="false">1/2*Rho*Sref*Cx*vit_xz^2</f>
        <v>11.0689462244005</v>
      </c>
      <c r="X91" s="438"/>
      <c r="Y91" s="454" t="str">
        <f aca="false">IF(AND(pos_z&lt;=0,K90&gt;0),"Impact balistique","") &amp; IF(AND(H92&lt;0,vit_z&gt;=0),"Apogée","") &amp; IF(AND(Poussee=0,Q90&gt;0),"Fin de propulsion","") &amp; IF(AND(L92&gt;L_rampe,pos_xz&lt;=L_rampe),"Sortie de rampe","")</f>
        <v/>
      </c>
      <c r="Z91" s="455" t="str">
        <f aca="false">IF(ABS(t-T_para)&lt;pas/2,"Para","")</f>
        <v/>
      </c>
      <c r="AA91" s="456" t="str">
        <f aca="false">IF(ABS(t-T_satellite)&lt;pas/2,"Satellite","")</f>
        <v/>
      </c>
      <c r="AB91" s="444"/>
      <c r="AC91" s="452" t="e">
        <f aca="false">IF(ABS(t-ROUND(t,0))&lt;0.001,t,NA())</f>
        <v>#N/A</v>
      </c>
      <c r="AD91" s="457" t="e">
        <f aca="false">IF(ABS(t-ROUND(t,0))&lt;0.001,pos_x,NA())</f>
        <v>#N/A</v>
      </c>
      <c r="AE91" s="458" t="n">
        <f aca="false">IF(t&lt;T_para, pos_z, NA())</f>
        <v>27.1922716908518</v>
      </c>
      <c r="AF91" s="444"/>
      <c r="AG91" s="450" t="n">
        <f aca="false">IF(AND(L90&lt;L_rampe,Poussee&lt;Poids*SIN(M90)),0,(-W90+Poussee)/m-Poids*SIN(M90)/m)</f>
        <v>70.0573912316712</v>
      </c>
      <c r="AH91" s="449" t="n">
        <f aca="false">IF(AND(L90&lt;L_rampe,Poussee&lt;Poids*SIN(M90)), g*SIN(M90), (-W90+Poussee)/m)</f>
        <v>79.6791456404393</v>
      </c>
    </row>
    <row r="92" customFormat="false" ht="12" hidden="false" customHeight="false" outlineLevel="0" collapsed="false">
      <c r="A92" s="448" t="n">
        <f aca="false">IF(B91+0.01&lt;=T_ini+ROUNDUP(Temps_fin_propu,0), 0.01, IF(K91&gt;0, 0.1, 0.0001))</f>
        <v>0.01</v>
      </c>
      <c r="B92" s="449" t="n">
        <f aca="false">B91+pas</f>
        <v>0.880000000000001</v>
      </c>
      <c r="C92" s="432"/>
      <c r="D92" s="450" t="n">
        <f aca="false">IF(AND(L91&lt;L_rampe,Poussee&lt;Poids*SIN(M91)),0,(-W91+Poussee)/m*COS(M91)-U91/m*SIN(M91))</f>
        <v>15.5343823139575</v>
      </c>
      <c r="E92" s="451" t="n">
        <f aca="false">IF(AND(L91&lt;L_rampe,Poussee&lt;Poids*SIN(M91)),0,(-W91+Poussee)/m*SIN(M91)+U91/m*COS(M91)-Poids/m)</f>
        <v>68.2178899921875</v>
      </c>
      <c r="F92" s="449" t="n">
        <f aca="false">SQRT(acc_x^2+acc_z^2)</f>
        <v>69.9642590817797</v>
      </c>
      <c r="G92" s="450" t="n">
        <f aca="false">G91+acc_x*pas</f>
        <v>12.619444558499</v>
      </c>
      <c r="H92" s="451" t="n">
        <f aca="false">H91+acc_z*pas</f>
        <v>63.2883039053776</v>
      </c>
      <c r="I92" s="449" t="n">
        <f aca="false">SQRT(vit_x^2+vit_z^2)</f>
        <v>64.5341753816105</v>
      </c>
      <c r="J92" s="450" t="n">
        <f aca="false">J91+0.5*(vit_x+G91)*pas*(K91&gt;=0)</f>
        <v>5.25120588737671</v>
      </c>
      <c r="K92" s="451" t="n">
        <f aca="false">K91+0.5*(vit_z+H91)*pas</f>
        <v>27.821743835406</v>
      </c>
      <c r="L92" s="449" t="n">
        <f aca="false">SQRT(pos_x^2+pos_z^2)</f>
        <v>28.3129757057532</v>
      </c>
      <c r="M92" s="450" t="n">
        <f aca="false">IF(AND(L91&gt;L_rampe,G92&gt;0),ATAN2(G92,H92),$M$4)</f>
        <v>1.37398145293412</v>
      </c>
      <c r="N92" s="449" t="n">
        <f aca="false">DEGREES(Beta)</f>
        <v>78.7233383823779</v>
      </c>
      <c r="O92" s="438"/>
      <c r="P92" s="452" t="n">
        <f aca="false">MATCH(t-pas/2-T_ini,CdP_t)</f>
        <v>3</v>
      </c>
      <c r="Q92" s="449" t="n">
        <f aca="false">(INDEX(CdP,2,i_P+1)-INDEX(CdP,2,i_P+0))/(INDEX(CdP,1,i_P+1)-INDEX(CdP,1,i_P+0))*(t-pas/2-T_ini-INDEX(CdP,1,i_P+0))+INDEX(CdP,2,i_P+0)</f>
        <v>753.75</v>
      </c>
      <c r="R92" s="450" t="n">
        <f aca="false">Poussee/(g*ISP)</f>
        <v>0.378272006490573</v>
      </c>
      <c r="S92" s="451" t="n">
        <f aca="false">S91-Débit*pas</f>
        <v>9.33494700991561</v>
      </c>
      <c r="T92" s="449" t="n">
        <f aca="false">m*g</f>
        <v>91.5758301672722</v>
      </c>
      <c r="U92" s="453" t="n">
        <f aca="false">IF(pos_xz&lt;L_rampe,Poids*COS(Beta),0)</f>
        <v>0</v>
      </c>
      <c r="V92" s="450" t="n">
        <f aca="false">Rho_moyen*(20000-Alt_rampe-pos_z)/(20000+Alt_rampe+pos_z)</f>
        <v>1.22159657084687</v>
      </c>
      <c r="W92" s="449" t="n">
        <f aca="false">1/2*Rho*Sref*Cx*vit_xz^2</f>
        <v>11.3121087583232</v>
      </c>
      <c r="X92" s="438"/>
      <c r="Y92" s="454" t="str">
        <f aca="false">IF(AND(pos_z&lt;=0,K91&gt;0),"Impact balistique","") &amp; IF(AND(H93&lt;0,vit_z&gt;=0),"Apogée","") &amp; IF(AND(Poussee=0,Q91&gt;0),"Fin de propulsion","") &amp; IF(AND(L93&gt;L_rampe,pos_xz&lt;=L_rampe),"Sortie de rampe","")</f>
        <v/>
      </c>
      <c r="Z92" s="455" t="str">
        <f aca="false">IF(ABS(t-T_para)&lt;pas/2,"Para","")</f>
        <v/>
      </c>
      <c r="AA92" s="456" t="str">
        <f aca="false">IF(ABS(t-T_satellite)&lt;pas/2,"Satellite","")</f>
        <v/>
      </c>
      <c r="AB92" s="444"/>
      <c r="AC92" s="452" t="e">
        <f aca="false">IF(ABS(t-ROUND(t,0))&lt;0.001,t,NA())</f>
        <v>#N/A</v>
      </c>
      <c r="AD92" s="457" t="e">
        <f aca="false">IF(ABS(t-ROUND(t,0))&lt;0.001,pos_x,NA())</f>
        <v>#N/A</v>
      </c>
      <c r="AE92" s="458" t="n">
        <f aca="false">IF(t&lt;T_para, pos_z, NA())</f>
        <v>27.821743835406</v>
      </c>
      <c r="AF92" s="444"/>
      <c r="AG92" s="450" t="n">
        <f aca="false">IF(AND(L91&lt;L_rampe,Poussee&lt;Poids*SIN(M91)),0,(-W91+Poussee)/m-Poids*SIN(M91)/m)</f>
        <v>69.9380337986723</v>
      </c>
      <c r="AH92" s="449" t="n">
        <f aca="false">IF(AND(L91&lt;L_rampe,Poussee&lt;Poids*SIN(M91)), g*SIN(M91), (-W91+Poussee)/m)</f>
        <v>79.559214742914</v>
      </c>
    </row>
    <row r="93" customFormat="false" ht="12" hidden="false" customHeight="false" outlineLevel="0" collapsed="false">
      <c r="A93" s="448" t="n">
        <f aca="false">IF(B92+0.01&lt;=T_ini+ROUNDUP(Temps_fin_propu,0), 0.01, IF(K92&gt;0, 0.1, 0.0001))</f>
        <v>0.01</v>
      </c>
      <c r="B93" s="449" t="n">
        <f aca="false">B92+pas</f>
        <v>0.890000000000001</v>
      </c>
      <c r="C93" s="432"/>
      <c r="D93" s="450" t="n">
        <f aca="false">IF(AND(L92&lt;L_rampe,Poussee&lt;Poids*SIN(M92)),0,(-W92+Poussee)/m*COS(M92)-U92/m*SIN(M92))</f>
        <v>15.5340140347937</v>
      </c>
      <c r="E93" s="451" t="n">
        <f aca="false">IF(AND(L92&lt;L_rampe,Poussee&lt;Poids*SIN(M92)),0,(-W92+Poussee)/m*SIN(M92)+U92/m*COS(M92)-Poids/m)</f>
        <v>68.0952831166258</v>
      </c>
      <c r="F93" s="449" t="n">
        <f aca="false">SQRT(acc_x^2+acc_z^2)</f>
        <v>69.8446359770497</v>
      </c>
      <c r="G93" s="450" t="n">
        <f aca="false">G92+acc_x*pas</f>
        <v>12.7747846988469</v>
      </c>
      <c r="H93" s="451" t="n">
        <f aca="false">H92+acc_z*pas</f>
        <v>63.9692567365439</v>
      </c>
      <c r="I93" s="449" t="n">
        <f aca="false">SQRT(vit_x^2+vit_z^2)</f>
        <v>65.2323610758323</v>
      </c>
      <c r="J93" s="450" t="n">
        <f aca="false">J92+0.5*(vit_x+G92)*pas*(K92&gt;=0)</f>
        <v>5.37817703366344</v>
      </c>
      <c r="K93" s="451" t="n">
        <f aca="false">K92+0.5*(vit_z+H92)*pas</f>
        <v>28.4580316386156</v>
      </c>
      <c r="L93" s="449" t="n">
        <f aca="false">SQRT(pos_x^2+pos_z^2)</f>
        <v>28.9617739952143</v>
      </c>
      <c r="M93" s="450" t="n">
        <f aca="false">IF(AND(L92&gt;L_rampe,G93&gt;0),ATAN2(G93,H93),$M$4)</f>
        <v>1.37368737909548</v>
      </c>
      <c r="N93" s="449" t="n">
        <f aca="false">DEGREES(Beta)</f>
        <v>78.7064891925586</v>
      </c>
      <c r="O93" s="438"/>
      <c r="P93" s="452" t="n">
        <f aca="false">MATCH(t-pas/2-T_ini,CdP_t)</f>
        <v>3</v>
      </c>
      <c r="Q93" s="449" t="n">
        <f aca="false">(INDEX(CdP,2,i_P+1)-INDEX(CdP,2,i_P+0))/(INDEX(CdP,1,i_P+1)-INDEX(CdP,1,i_P+0))*(t-pas/2-T_ini-INDEX(CdP,1,i_P+0))+INDEX(CdP,2,i_P+0)</f>
        <v>752.57</v>
      </c>
      <c r="R93" s="450" t="n">
        <f aca="false">Poussee/(g*ISP)</f>
        <v>0.377679819468803</v>
      </c>
      <c r="S93" s="451" t="n">
        <f aca="false">S92-Débit*pas</f>
        <v>9.33117021172093</v>
      </c>
      <c r="T93" s="449" t="n">
        <f aca="false">m*g</f>
        <v>91.5387797769823</v>
      </c>
      <c r="U93" s="453" t="n">
        <f aca="false">IF(pos_xz&lt;L_rampe,Poids*COS(Beta),0)</f>
        <v>0</v>
      </c>
      <c r="V93" s="450" t="n">
        <f aca="false">Rho_moyen*(20000-Alt_rampe-pos_z)/(20000+Alt_rampe+pos_z)</f>
        <v>1.22151884446599</v>
      </c>
      <c r="W93" s="449" t="n">
        <f aca="false">1/2*Rho*Sref*Cx*vit_xz^2</f>
        <v>11.5574654623282</v>
      </c>
      <c r="X93" s="438"/>
      <c r="Y93" s="454" t="str">
        <f aca="false">IF(AND(pos_z&lt;=0,K92&gt;0),"Impact balistique","") &amp; IF(AND(H94&lt;0,vit_z&gt;=0),"Apogée","") &amp; IF(AND(Poussee=0,Q92&gt;0),"Fin de propulsion","") &amp; IF(AND(L94&gt;L_rampe,pos_xz&lt;=L_rampe),"Sortie de rampe","")</f>
        <v/>
      </c>
      <c r="Z93" s="455" t="str">
        <f aca="false">IF(ABS(t-T_para)&lt;pas/2,"Para","")</f>
        <v/>
      </c>
      <c r="AA93" s="456" t="str">
        <f aca="false">IF(ABS(t-T_satellite)&lt;pas/2,"Satellite","")</f>
        <v/>
      </c>
      <c r="AB93" s="444"/>
      <c r="AC93" s="452" t="e">
        <f aca="false">IF(ABS(t-ROUND(t,0))&lt;0.001,t,NA())</f>
        <v>#N/A</v>
      </c>
      <c r="AD93" s="457" t="e">
        <f aca="false">IF(ABS(t-ROUND(t,0))&lt;0.001,pos_x,NA())</f>
        <v>#N/A</v>
      </c>
      <c r="AE93" s="458" t="n">
        <f aca="false">IF(t&lt;T_para, pos_z, NA())</f>
        <v>28.4580316386156</v>
      </c>
      <c r="AF93" s="444"/>
      <c r="AG93" s="450" t="n">
        <f aca="false">IF(AND(L92&lt;L_rampe,Poussee&lt;Poids*SIN(M92)),0,(-W92+Poussee)/m-Poids*SIN(M92)/m)</f>
        <v>69.8182873593313</v>
      </c>
      <c r="AH93" s="449" t="n">
        <f aca="false">IF(AND(L92&lt;L_rampe,Poussee&lt;Poids*SIN(M92)), g*SIN(M92), (-W92+Poussee)/m)</f>
        <v>79.4388993473272</v>
      </c>
    </row>
    <row r="94" customFormat="false" ht="12" hidden="false" customHeight="false" outlineLevel="0" collapsed="false">
      <c r="A94" s="448" t="n">
        <f aca="false">IF(B93+0.01&lt;=T_ini+ROUNDUP(Temps_fin_propu,0), 0.01, IF(K93&gt;0, 0.1, 0.0001))</f>
        <v>0.01</v>
      </c>
      <c r="B94" s="449" t="n">
        <f aca="false">B93+pas</f>
        <v>0.900000000000001</v>
      </c>
      <c r="C94" s="432"/>
      <c r="D94" s="450" t="n">
        <f aca="false">IF(AND(L93&lt;L_rampe,Poussee&lt;Poids*SIN(M93)),0,(-W93+Poussee)/m*COS(M93)-U93/m*SIN(M93))</f>
        <v>15.5332862819955</v>
      </c>
      <c r="E94" s="451" t="n">
        <f aca="false">IF(AND(L93&lt;L_rampe,Poussee&lt;Poids*SIN(M93)),0,(-W93+Poussee)/m*SIN(M93)+U93/m*COS(M93)-Poids/m)</f>
        <v>67.9723502751399</v>
      </c>
      <c r="F94" s="449" t="n">
        <f aca="false">SQRT(acc_x^2+acc_z^2)</f>
        <v>69.7246253818889</v>
      </c>
      <c r="G94" s="450" t="n">
        <f aca="false">G93+acc_x*pas</f>
        <v>12.9301175616669</v>
      </c>
      <c r="H94" s="451" t="n">
        <f aca="false">H93+acc_z*pas</f>
        <v>64.6489802392953</v>
      </c>
      <c r="I94" s="449" t="n">
        <f aca="false">SQRT(vit_x^2+vit_z^2)</f>
        <v>65.9293454096074</v>
      </c>
      <c r="J94" s="450" t="n">
        <f aca="false">J93+0.5*(vit_x+G93)*pas*(K93&gt;=0)</f>
        <v>5.50670154496601</v>
      </c>
      <c r="K94" s="451" t="n">
        <f aca="false">K93+0.5*(vit_z+H93)*pas</f>
        <v>29.1011228234948</v>
      </c>
      <c r="L94" s="449" t="n">
        <f aca="false">SQRT(pos_x^2+pos_z^2)</f>
        <v>29.6175473578327</v>
      </c>
      <c r="M94" s="450" t="n">
        <f aca="false">IF(AND(L93&gt;L_rampe,G94&gt;0),ATAN2(G94,H94),$M$4)</f>
        <v>1.37339598500421</v>
      </c>
      <c r="N94" s="449" t="n">
        <f aca="false">DEGREES(Beta)</f>
        <v>78.6897935409539</v>
      </c>
      <c r="O94" s="438"/>
      <c r="P94" s="452" t="n">
        <f aca="false">MATCH(t-pas/2-T_ini,CdP_t)</f>
        <v>3</v>
      </c>
      <c r="Q94" s="449" t="n">
        <f aca="false">(INDEX(CdP,2,i_P+1)-INDEX(CdP,2,i_P+0))/(INDEX(CdP,1,i_P+1)-INDEX(CdP,1,i_P+0))*(t-pas/2-T_ini-INDEX(CdP,1,i_P+0))+INDEX(CdP,2,i_P+0)</f>
        <v>751.39</v>
      </c>
      <c r="R94" s="450" t="n">
        <f aca="false">Poussee/(g*ISP)</f>
        <v>0.377087632447033</v>
      </c>
      <c r="S94" s="451" t="n">
        <f aca="false">S93-Débit*pas</f>
        <v>9.32739933539646</v>
      </c>
      <c r="T94" s="449" t="n">
        <f aca="false">m*g</f>
        <v>91.5017874802392</v>
      </c>
      <c r="U94" s="453" t="n">
        <f aca="false">IF(pos_xz&lt;L_rampe,Poids*COS(Beta),0)</f>
        <v>0</v>
      </c>
      <c r="V94" s="450" t="n">
        <f aca="false">Rho_moyen*(20000-Alt_rampe-pos_z)/(20000+Alt_rampe+pos_z)</f>
        <v>1.22144029202907</v>
      </c>
      <c r="W94" s="449" t="n">
        <f aca="false">1/2*Rho*Sref*Cx*vit_xz^2</f>
        <v>11.8050004147769</v>
      </c>
      <c r="X94" s="438"/>
      <c r="Y94" s="454" t="str">
        <f aca="false">IF(AND(pos_z&lt;=0,K93&gt;0),"Impact balistique","") &amp; IF(AND(H95&lt;0,vit_z&gt;=0),"Apogée","") &amp; IF(AND(Poussee=0,Q93&gt;0),"Fin de propulsion","") &amp; IF(AND(L95&gt;L_rampe,pos_xz&lt;=L_rampe),"Sortie de rampe","")</f>
        <v/>
      </c>
      <c r="Z94" s="455" t="str">
        <f aca="false">IF(ABS(t-T_para)&lt;pas/2,"Para","")</f>
        <v/>
      </c>
      <c r="AA94" s="456" t="str">
        <f aca="false">IF(ABS(t-T_satellite)&lt;pas/2,"Satellite","")</f>
        <v/>
      </c>
      <c r="AB94" s="444"/>
      <c r="AC94" s="452" t="e">
        <f aca="false">IF(ABS(t-ROUND(t,0))&lt;0.001,t,NA())</f>
        <v>#N/A</v>
      </c>
      <c r="AD94" s="457" t="e">
        <f aca="false">IF(ABS(t-ROUND(t,0))&lt;0.001,pos_x,NA())</f>
        <v>#N/A</v>
      </c>
      <c r="AE94" s="458" t="n">
        <f aca="false">IF(t&lt;T_para, pos_z, NA())</f>
        <v>29.1011228234948</v>
      </c>
      <c r="AF94" s="444"/>
      <c r="AG94" s="450" t="n">
        <f aca="false">IF(AND(L93&lt;L_rampe,Poussee&lt;Poids*SIN(M93)),0,(-W93+Poussee)/m-Poids*SIN(M93)/m)</f>
        <v>69.6981534727739</v>
      </c>
      <c r="AH94" s="449" t="n">
        <f aca="false">IF(AND(L93&lt;L_rampe,Poussee&lt;Poids*SIN(M93)), g*SIN(M93), (-W93+Poussee)/m)</f>
        <v>79.3182009191017</v>
      </c>
    </row>
    <row r="95" customFormat="false" ht="12" hidden="false" customHeight="false" outlineLevel="0" collapsed="false">
      <c r="A95" s="448" t="n">
        <f aca="false">IF(B94+0.01&lt;=T_ini+ROUNDUP(Temps_fin_propu,0), 0.01, IF(K94&gt;0, 0.1, 0.0001))</f>
        <v>0.01</v>
      </c>
      <c r="B95" s="449" t="n">
        <f aca="false">B94+pas</f>
        <v>0.910000000000001</v>
      </c>
      <c r="C95" s="432"/>
      <c r="D95" s="450" t="n">
        <f aca="false">IF(AND(L94&lt;L_rampe,Poussee&lt;Poids*SIN(M94)),0,(-W94+Poussee)/m*COS(M94)-U94/m*SIN(M94))</f>
        <v>15.5322046324454</v>
      </c>
      <c r="E95" s="451" t="n">
        <f aca="false">IF(AND(L94&lt;L_rampe,Poussee&lt;Poids*SIN(M94)),0,(-W94+Poussee)/m*SIN(M94)+U94/m*COS(M94)-Poids/m)</f>
        <v>67.8490920822385</v>
      </c>
      <c r="F95" s="449" t="n">
        <f aca="false">SQRT(acc_x^2+acc_z^2)</f>
        <v>69.6042288738856</v>
      </c>
      <c r="G95" s="450" t="n">
        <f aca="false">G94+acc_x*pas</f>
        <v>13.0854396079913</v>
      </c>
      <c r="H95" s="451" t="n">
        <f aca="false">H94+acc_z*pas</f>
        <v>65.3274711601177</v>
      </c>
      <c r="I95" s="449" t="n">
        <f aca="false">SQRT(vit_x^2+vit_z^2)</f>
        <v>66.6251245245395</v>
      </c>
      <c r="J95" s="450" t="n">
        <f aca="false">J94+0.5*(vit_x+G94)*pas*(K94&gt;=0)</f>
        <v>5.6367793308143</v>
      </c>
      <c r="K95" s="451" t="n">
        <f aca="false">K94+0.5*(vit_z+H94)*pas</f>
        <v>29.7510050804919</v>
      </c>
      <c r="L95" s="449" t="n">
        <f aca="false">SQRT(pos_x^2+pos_z^2)</f>
        <v>30.2802837589701</v>
      </c>
      <c r="M95" s="450" t="n">
        <f aca="false">IF(AND(L94&gt;L_rampe,G95&gt;0),ATAN2(G95,H95),$M$4)</f>
        <v>1.37310721326442</v>
      </c>
      <c r="N95" s="449" t="n">
        <f aca="false">DEGREES(Beta)</f>
        <v>78.6732481390212</v>
      </c>
      <c r="O95" s="438"/>
      <c r="P95" s="452" t="n">
        <f aca="false">MATCH(t-pas/2-T_ini,CdP_t)</f>
        <v>3</v>
      </c>
      <c r="Q95" s="449" t="n">
        <f aca="false">(INDEX(CdP,2,i_P+1)-INDEX(CdP,2,i_P+0))/(INDEX(CdP,1,i_P+1)-INDEX(CdP,1,i_P+0))*(t-pas/2-T_ini-INDEX(CdP,1,i_P+0))+INDEX(CdP,2,i_P+0)</f>
        <v>750.21</v>
      </c>
      <c r="R95" s="450" t="n">
        <f aca="false">Poussee/(g*ISP)</f>
        <v>0.376495445425264</v>
      </c>
      <c r="S95" s="451" t="n">
        <f aca="false">S94-Débit*pas</f>
        <v>9.3236343809422</v>
      </c>
      <c r="T95" s="449" t="n">
        <f aca="false">m*g</f>
        <v>91.464853277043</v>
      </c>
      <c r="U95" s="453" t="n">
        <f aca="false">IF(pos_xz&lt;L_rampe,Poids*COS(Beta),0)</f>
        <v>0</v>
      </c>
      <c r="V95" s="450" t="n">
        <f aca="false">Rho_moyen*(20000-Alt_rampe-pos_z)/(20000+Alt_rampe+pos_z)</f>
        <v>1.22136091519916</v>
      </c>
      <c r="W95" s="449" t="n">
        <f aca="false">1/2*Rho*Sref*Cx*vit_xz^2</f>
        <v>12.0546976607256</v>
      </c>
      <c r="X95" s="438"/>
      <c r="Y95" s="454" t="str">
        <f aca="false">IF(AND(pos_z&lt;=0,K94&gt;0),"Impact balistique","") &amp; IF(AND(H96&lt;0,vit_z&gt;=0),"Apogée","") &amp; IF(AND(Poussee=0,Q94&gt;0),"Fin de propulsion","") &amp; IF(AND(L96&gt;L_rampe,pos_xz&lt;=L_rampe),"Sortie de rampe","")</f>
        <v/>
      </c>
      <c r="Z95" s="455" t="str">
        <f aca="false">IF(ABS(t-T_para)&lt;pas/2,"Para","")</f>
        <v/>
      </c>
      <c r="AA95" s="456" t="str">
        <f aca="false">IF(ABS(t-T_satellite)&lt;pas/2,"Satellite","")</f>
        <v/>
      </c>
      <c r="AB95" s="444"/>
      <c r="AC95" s="452" t="e">
        <f aca="false">IF(ABS(t-ROUND(t,0))&lt;0.001,t,NA())</f>
        <v>#N/A</v>
      </c>
      <c r="AD95" s="457" t="e">
        <f aca="false">IF(ABS(t-ROUND(t,0))&lt;0.001,pos_x,NA())</f>
        <v>#N/A</v>
      </c>
      <c r="AE95" s="458" t="n">
        <f aca="false">IF(t&lt;T_para, pos_z, NA())</f>
        <v>29.7510050804919</v>
      </c>
      <c r="AF95" s="444"/>
      <c r="AG95" s="450" t="n">
        <f aca="false">IF(AND(L94&lt;L_rampe,Poussee&lt;Poids*SIN(M94)),0,(-W94+Poussee)/m-Poids*SIN(M94)/m)</f>
        <v>69.5776337026955</v>
      </c>
      <c r="AH95" s="449" t="n">
        <f aca="false">IF(AND(L94&lt;L_rampe,Poussee&lt;Poids*SIN(M94)), g*SIN(M94), (-W94+Poussee)/m)</f>
        <v>79.1971209311409</v>
      </c>
    </row>
    <row r="96" customFormat="false" ht="12" hidden="false" customHeight="false" outlineLevel="0" collapsed="false">
      <c r="A96" s="448" t="n">
        <f aca="false">IF(B95+0.01&lt;=T_ini+ROUNDUP(Temps_fin_propu,0), 0.01, IF(K95&gt;0, 0.1, 0.0001))</f>
        <v>0.01</v>
      </c>
      <c r="B96" s="449" t="n">
        <f aca="false">B95+pas</f>
        <v>0.920000000000001</v>
      </c>
      <c r="C96" s="432"/>
      <c r="D96" s="450" t="n">
        <f aca="false">IF(AND(L95&lt;L_rampe,Poussee&lt;Poids*SIN(M95)),0,(-W95+Poussee)/m*COS(M95)-U95/m*SIN(M95))</f>
        <v>15.530774495042</v>
      </c>
      <c r="E96" s="451" t="n">
        <f aca="false">IF(AND(L95&lt;L_rampe,Poussee&lt;Poids*SIN(M95)),0,(-W95+Poussee)/m*SIN(M95)+U95/m*COS(M95)-Poids/m)</f>
        <v>67.7255091853037</v>
      </c>
      <c r="F96" s="449" t="n">
        <f aca="false">SQRT(acc_x^2+acc_z^2)</f>
        <v>69.4834480349421</v>
      </c>
      <c r="G96" s="450" t="n">
        <f aca="false">G95+acc_x*pas</f>
        <v>13.2407473529417</v>
      </c>
      <c r="H96" s="451" t="n">
        <f aca="false">H95+acc_z*pas</f>
        <v>66.0047262519707</v>
      </c>
      <c r="I96" s="449" t="n">
        <f aca="false">SQRT(vit_x^2+vit_z^2)</f>
        <v>67.3196945779021</v>
      </c>
      <c r="J96" s="450" t="n">
        <f aca="false">J95+0.5*(vit_x+G95)*pas*(K95&gt;=0)</f>
        <v>5.76841026561897</v>
      </c>
      <c r="K96" s="451" t="n">
        <f aca="false">K95+0.5*(vit_z+H95)*pas</f>
        <v>30.4076660675523</v>
      </c>
      <c r="L96" s="449" t="n">
        <f aca="false">SQRT(pos_x^2+pos_z^2)</f>
        <v>30.9499711254836</v>
      </c>
      <c r="M96" s="450" t="n">
        <f aca="false">IF(AND(L95&gt;L_rampe,G96&gt;0),ATAN2(G96,H96),$M$4)</f>
        <v>1.37282100830171</v>
      </c>
      <c r="N96" s="449" t="n">
        <f aca="false">DEGREES(Beta)</f>
        <v>78.656849802582</v>
      </c>
      <c r="O96" s="438"/>
      <c r="P96" s="452" t="n">
        <f aca="false">MATCH(t-pas/2-T_ini,CdP_t)</f>
        <v>3</v>
      </c>
      <c r="Q96" s="449" t="n">
        <f aca="false">(INDEX(CdP,2,i_P+1)-INDEX(CdP,2,i_P+0))/(INDEX(CdP,1,i_P+1)-INDEX(CdP,1,i_P+0))*(t-pas/2-T_ini-INDEX(CdP,1,i_P+0))+INDEX(CdP,2,i_P+0)</f>
        <v>749.03</v>
      </c>
      <c r="R96" s="450" t="n">
        <f aca="false">Poussee/(g*ISP)</f>
        <v>0.375903258403494</v>
      </c>
      <c r="S96" s="451" t="n">
        <f aca="false">S95-Débit*pas</f>
        <v>9.31987534835817</v>
      </c>
      <c r="T96" s="449" t="n">
        <f aca="false">m*g</f>
        <v>91.4279771673936</v>
      </c>
      <c r="U96" s="453" t="n">
        <f aca="false">IF(pos_xz&lt;L_rampe,Poids*COS(Beta),0)</f>
        <v>0</v>
      </c>
      <c r="V96" s="450" t="n">
        <f aca="false">Rho_moyen*(20000-Alt_rampe-pos_z)/(20000+Alt_rampe+pos_z)</f>
        <v>1.22128071564456</v>
      </c>
      <c r="W96" s="449" t="n">
        <f aca="false">1/2*Rho*Sref*Cx*vit_xz^2</f>
        <v>12.3065412126366</v>
      </c>
      <c r="X96" s="438"/>
      <c r="Y96" s="454" t="str">
        <f aca="false">IF(AND(pos_z&lt;=0,K95&gt;0),"Impact balistique","") &amp; IF(AND(H97&lt;0,vit_z&gt;=0),"Apogée","") &amp; IF(AND(Poussee=0,Q95&gt;0),"Fin de propulsion","") &amp; IF(AND(L97&gt;L_rampe,pos_xz&lt;=L_rampe),"Sortie de rampe","")</f>
        <v/>
      </c>
      <c r="Z96" s="455" t="str">
        <f aca="false">IF(ABS(t-T_para)&lt;pas/2,"Para","")</f>
        <v/>
      </c>
      <c r="AA96" s="456" t="str">
        <f aca="false">IF(ABS(t-T_satellite)&lt;pas/2,"Satellite","")</f>
        <v/>
      </c>
      <c r="AB96" s="444"/>
      <c r="AC96" s="452" t="e">
        <f aca="false">IF(ABS(t-ROUND(t,0))&lt;0.001,t,NA())</f>
        <v>#N/A</v>
      </c>
      <c r="AD96" s="457" t="e">
        <f aca="false">IF(ABS(t-ROUND(t,0))&lt;0.001,pos_x,NA())</f>
        <v>#N/A</v>
      </c>
      <c r="AE96" s="458" t="n">
        <f aca="false">IF(t&lt;T_para, pos_z, NA())</f>
        <v>30.4076660675523</v>
      </c>
      <c r="AF96" s="444"/>
      <c r="AG96" s="450" t="n">
        <f aca="false">IF(AND(L95&lt;L_rampe,Poussee&lt;Poids*SIN(M95)),0,(-W95+Poussee)/m-Poids*SIN(M95)/m)</f>
        <v>69.4567296174131</v>
      </c>
      <c r="AH96" s="449" t="n">
        <f aca="false">IF(AND(L95&lt;L_rampe,Poussee&lt;Poids*SIN(M95)), g*SIN(M95), (-W95+Poussee)/m)</f>
        <v>79.0756608637586</v>
      </c>
    </row>
    <row r="97" customFormat="false" ht="12" hidden="false" customHeight="false" outlineLevel="0" collapsed="false">
      <c r="A97" s="448" t="n">
        <f aca="false">IF(B96+0.01&lt;=T_ini+ROUNDUP(Temps_fin_propu,0), 0.01, IF(K96&gt;0, 0.1, 0.0001))</f>
        <v>0.01</v>
      </c>
      <c r="B97" s="449" t="n">
        <f aca="false">B96+pas</f>
        <v>0.930000000000001</v>
      </c>
      <c r="C97" s="432"/>
      <c r="D97" s="450" t="n">
        <f aca="false">IF(AND(L96&lt;L_rampe,Poussee&lt;Poids*SIN(M96)),0,(-W96+Poussee)/m*COS(M96)-U96/m*SIN(M96))</f>
        <v>15.5290011179499</v>
      </c>
      <c r="E97" s="451" t="n">
        <f aca="false">IF(AND(L96&lt;L_rampe,Poussee&lt;Poids*SIN(M96)),0,(-W96+Poussee)/m*SIN(M96)+U96/m*COS(M96)-Poids/m)</f>
        <v>67.601602263456</v>
      </c>
      <c r="F97" s="449" t="n">
        <f aca="false">SQRT(acc_x^2+acc_z^2)</f>
        <v>69.3622844513341</v>
      </c>
      <c r="G97" s="450" t="n">
        <f aca="false">G96+acc_x*pas</f>
        <v>13.3960373641212</v>
      </c>
      <c r="H97" s="451" t="n">
        <f aca="false">H96+acc_z*pas</f>
        <v>66.6807422746053</v>
      </c>
      <c r="I97" s="449" t="n">
        <f aca="false">SQRT(vit_x^2+vit_z^2)</f>
        <v>68.0130517426858</v>
      </c>
      <c r="J97" s="450" t="n">
        <f aca="false">J96+0.5*(vit_x+G96)*pas*(K96&gt;=0)</f>
        <v>5.90159418920428</v>
      </c>
      <c r="K97" s="451" t="n">
        <f aca="false">K96+0.5*(vit_z+H96)*pas</f>
        <v>31.0710934101852</v>
      </c>
      <c r="L97" s="449" t="n">
        <f aca="false">SQRT(pos_x^2+pos_z^2)</f>
        <v>31.6265973458812</v>
      </c>
      <c r="M97" s="450" t="n">
        <f aca="false">IF(AND(L96&gt;L_rampe,G97&gt;0),ATAN2(G97,H97),$M$4)</f>
        <v>1.37253731628603</v>
      </c>
      <c r="N97" s="449" t="n">
        <f aca="false">DEGREES(Beta)</f>
        <v>78.640595447402</v>
      </c>
      <c r="O97" s="438"/>
      <c r="P97" s="452" t="n">
        <f aca="false">MATCH(t-pas/2-T_ini,CdP_t)</f>
        <v>3</v>
      </c>
      <c r="Q97" s="449" t="n">
        <f aca="false">(INDEX(CdP,2,i_P+1)-INDEX(CdP,2,i_P+0))/(INDEX(CdP,1,i_P+1)-INDEX(CdP,1,i_P+0))*(t-pas/2-T_ini-INDEX(CdP,1,i_P+0))+INDEX(CdP,2,i_P+0)</f>
        <v>747.85</v>
      </c>
      <c r="R97" s="450" t="n">
        <f aca="false">Poussee/(g*ISP)</f>
        <v>0.375311071381724</v>
      </c>
      <c r="S97" s="451" t="n">
        <f aca="false">S96-Débit*pas</f>
        <v>9.31612223764435</v>
      </c>
      <c r="T97" s="449" t="n">
        <f aca="false">m*g</f>
        <v>91.3911591512911</v>
      </c>
      <c r="U97" s="453" t="n">
        <f aca="false">IF(pos_xz&lt;L_rampe,Poids*COS(Beta),0)</f>
        <v>0</v>
      </c>
      <c r="V97" s="450" t="n">
        <f aca="false">Rho_moyen*(20000-Alt_rampe-pos_z)/(20000+Alt_rampe+pos_z)</f>
        <v>1.22119969503877</v>
      </c>
      <c r="W97" s="449" t="n">
        <f aca="false">1/2*Rho*Sref*Cx*vit_xz^2</f>
        <v>12.5605150510898</v>
      </c>
      <c r="X97" s="438"/>
      <c r="Y97" s="454" t="str">
        <f aca="false">IF(AND(pos_z&lt;=0,K96&gt;0),"Impact balistique","") &amp; IF(AND(H98&lt;0,vit_z&gt;=0),"Apogée","") &amp; IF(AND(Poussee=0,Q96&gt;0),"Fin de propulsion","") &amp; IF(AND(L98&gt;L_rampe,pos_xz&lt;=L_rampe),"Sortie de rampe","")</f>
        <v/>
      </c>
      <c r="Z97" s="455" t="str">
        <f aca="false">IF(ABS(t-T_para)&lt;pas/2,"Para","")</f>
        <v/>
      </c>
      <c r="AA97" s="456" t="str">
        <f aca="false">IF(ABS(t-T_satellite)&lt;pas/2,"Satellite","")</f>
        <v/>
      </c>
      <c r="AB97" s="444"/>
      <c r="AC97" s="452" t="e">
        <f aca="false">IF(ABS(t-ROUND(t,0))&lt;0.001,t,NA())</f>
        <v>#N/A</v>
      </c>
      <c r="AD97" s="457" t="e">
        <f aca="false">IF(ABS(t-ROUND(t,0))&lt;0.001,pos_x,NA())</f>
        <v>#N/A</v>
      </c>
      <c r="AE97" s="458" t="n">
        <f aca="false">IF(t&lt;T_para, pos_z, NA())</f>
        <v>31.0710934101852</v>
      </c>
      <c r="AF97" s="444"/>
      <c r="AG97" s="450" t="n">
        <f aca="false">IF(AND(L96&lt;L_rampe,Poussee&lt;Poids*SIN(M96)),0,(-W96+Poussee)/m-Poids*SIN(M96)/m)</f>
        <v>69.3354427899099</v>
      </c>
      <c r="AH97" s="449" t="n">
        <f aca="false">IF(AND(L96&lt;L_rampe,Poussee&lt;Poids*SIN(M96)), g*SIN(M96), (-W96+Poussee)/m)</f>
        <v>78.9538222046076</v>
      </c>
    </row>
    <row r="98" customFormat="false" ht="12" hidden="false" customHeight="false" outlineLevel="0" collapsed="false">
      <c r="A98" s="448" t="n">
        <f aca="false">IF(B97+0.01&lt;=T_ini+ROUNDUP(Temps_fin_propu,0), 0.01, IF(K97&gt;0, 0.1, 0.0001))</f>
        <v>0.01</v>
      </c>
      <c r="B98" s="449" t="n">
        <f aca="false">B97+pas</f>
        <v>0.940000000000001</v>
      </c>
      <c r="C98" s="432"/>
      <c r="D98" s="450" t="n">
        <f aca="false">IF(AND(L97&lt;L_rampe,Poussee&lt;Poids*SIN(M97)),0,(-W97+Poussee)/m*COS(M97)-U97/m*SIN(M97))</f>
        <v>15.5268895954641</v>
      </c>
      <c r="E98" s="451" t="n">
        <f aca="false">IF(AND(L97&lt;L_rampe,Poussee&lt;Poids*SIN(M97)),0,(-W97+Poussee)/m*SIN(M97)+U97/m*COS(M97)-Poids/m)</f>
        <v>67.4773720264746</v>
      </c>
      <c r="F98" s="449" t="n">
        <f aca="false">SQRT(acc_x^2+acc_z^2)</f>
        <v>69.2407397137624</v>
      </c>
      <c r="G98" s="450" t="n">
        <f aca="false">G97+acc_x*pas</f>
        <v>13.5513062600759</v>
      </c>
      <c r="H98" s="451" t="n">
        <f aca="false">H97+acc_z*pas</f>
        <v>67.35551599487</v>
      </c>
      <c r="I98" s="449" t="n">
        <f aca="false">SQRT(vit_x^2+vit_z^2)</f>
        <v>68.7051922076459</v>
      </c>
      <c r="J98" s="450" t="n">
        <f aca="false">J97+0.5*(vit_x+G97)*pas*(K97&gt;=0)</f>
        <v>6.03633090732527</v>
      </c>
      <c r="K98" s="451" t="n">
        <f aca="false">K97+0.5*(vit_z+H97)*pas</f>
        <v>31.7412747015326</v>
      </c>
      <c r="L98" s="449" t="n">
        <f aca="false">SQRT(pos_x^2+pos_z^2)</f>
        <v>32.3101502704782</v>
      </c>
      <c r="M98" s="450" t="n">
        <f aca="false">IF(AND(L97&gt;L_rampe,G98&gt;0),ATAN2(G98,H98),$M$4)</f>
        <v>1.3722560850586</v>
      </c>
      <c r="N98" s="449" t="n">
        <f aca="false">DEGREES(Beta)</f>
        <v>78.6244820850033</v>
      </c>
      <c r="O98" s="438"/>
      <c r="P98" s="452" t="n">
        <f aca="false">MATCH(t-pas/2-T_ini,CdP_t)</f>
        <v>3</v>
      </c>
      <c r="Q98" s="449" t="n">
        <f aca="false">(INDEX(CdP,2,i_P+1)-INDEX(CdP,2,i_P+0))/(INDEX(CdP,1,i_P+1)-INDEX(CdP,1,i_P+0))*(t-pas/2-T_ini-INDEX(CdP,1,i_P+0))+INDEX(CdP,2,i_P+0)</f>
        <v>746.67</v>
      </c>
      <c r="R98" s="450" t="n">
        <f aca="false">Poussee/(g*ISP)</f>
        <v>0.374718884359955</v>
      </c>
      <c r="S98" s="451" t="n">
        <f aca="false">S97-Débit*pas</f>
        <v>9.31237504880075</v>
      </c>
      <c r="T98" s="449" t="n">
        <f aca="false">m*g</f>
        <v>91.3543992287354</v>
      </c>
      <c r="U98" s="453" t="n">
        <f aca="false">IF(pos_xz&lt;L_rampe,Poids*COS(Beta),0)</f>
        <v>0</v>
      </c>
      <c r="V98" s="450" t="n">
        <f aca="false">Rho_moyen*(20000-Alt_rampe-pos_z)/(20000+Alt_rampe+pos_z)</f>
        <v>1.22111785506051</v>
      </c>
      <c r="W98" s="449" t="n">
        <f aca="false">1/2*Rho*Sref*Cx*vit_xz^2</f>
        <v>12.8166031254942</v>
      </c>
      <c r="X98" s="438"/>
      <c r="Y98" s="454" t="str">
        <f aca="false">IF(AND(pos_z&lt;=0,K97&gt;0),"Impact balistique","") &amp; IF(AND(H99&lt;0,vit_z&gt;=0),"Apogée","") &amp; IF(AND(Poussee=0,Q97&gt;0),"Fin de propulsion","") &amp; IF(AND(L99&gt;L_rampe,pos_xz&lt;=L_rampe),"Sortie de rampe","")</f>
        <v/>
      </c>
      <c r="Z98" s="455" t="str">
        <f aca="false">IF(ABS(t-T_para)&lt;pas/2,"Para","")</f>
        <v/>
      </c>
      <c r="AA98" s="456" t="str">
        <f aca="false">IF(ABS(t-T_satellite)&lt;pas/2,"Satellite","")</f>
        <v/>
      </c>
      <c r="AB98" s="444"/>
      <c r="AC98" s="452" t="e">
        <f aca="false">IF(ABS(t-ROUND(t,0))&lt;0.001,t,NA())</f>
        <v>#N/A</v>
      </c>
      <c r="AD98" s="457" t="e">
        <f aca="false">IF(ABS(t-ROUND(t,0))&lt;0.001,pos_x,NA())</f>
        <v>#N/A</v>
      </c>
      <c r="AE98" s="458" t="n">
        <f aca="false">IF(t&lt;T_para, pos_z, NA())</f>
        <v>31.7412747015326</v>
      </c>
      <c r="AF98" s="444"/>
      <c r="AG98" s="450" t="n">
        <f aca="false">IF(AND(L97&lt;L_rampe,Poussee&lt;Poids*SIN(M97)),0,(-W97+Poussee)/m-Poids*SIN(M97)/m)</f>
        <v>69.2137747978744</v>
      </c>
      <c r="AH98" s="449" t="n">
        <f aca="false">IF(AND(L97&lt;L_rampe,Poussee&lt;Poids*SIN(M97)), g*SIN(M97), (-W97+Poussee)/m)</f>
        <v>78.8316064486094</v>
      </c>
    </row>
    <row r="99" customFormat="false" ht="12" hidden="false" customHeight="false" outlineLevel="0" collapsed="false">
      <c r="A99" s="448" t="n">
        <f aca="false">IF(B98+0.01&lt;=T_ini+ROUNDUP(Temps_fin_propu,0), 0.01, IF(K98&gt;0, 0.1, 0.0001))</f>
        <v>0.01</v>
      </c>
      <c r="B99" s="449" t="n">
        <f aca="false">B98+pas</f>
        <v>0.950000000000001</v>
      </c>
      <c r="C99" s="432"/>
      <c r="D99" s="450" t="n">
        <f aca="false">IF(AND(L98&lt;L_rampe,Poussee&lt;Poids*SIN(M98)),0,(-W98+Poussee)/m*COS(M98)-U98/m*SIN(M98))</f>
        <v>15.5244448745118</v>
      </c>
      <c r="E99" s="451" t="n">
        <f aca="false">IF(AND(L98&lt;L_rampe,Poussee&lt;Poids*SIN(M98)),0,(-W98+Poussee)/m*SIN(M98)+U98/m*COS(M98)-Poids/m)</f>
        <v>67.3528192137695</v>
      </c>
      <c r="F99" s="449" t="n">
        <f aca="false">SQRT(acc_x^2+acc_z^2)</f>
        <v>69.118815417399</v>
      </c>
      <c r="G99" s="450" t="n">
        <f aca="false">G98+acc_x*pas</f>
        <v>13.706550708821</v>
      </c>
      <c r="H99" s="451" t="n">
        <f aca="false">H98+acc_z*pas</f>
        <v>68.0290441870077</v>
      </c>
      <c r="I99" s="449" t="n">
        <f aca="false">SQRT(vit_x^2+vit_z^2)</f>
        <v>69.3961121773499</v>
      </c>
      <c r="J99" s="450" t="n">
        <f aca="false">J98+0.5*(vit_x+G98)*pas*(K98&gt;=0)</f>
        <v>6.17262019216975</v>
      </c>
      <c r="K99" s="451" t="n">
        <f aca="false">K98+0.5*(vit_z+H98)*pas</f>
        <v>32.418197502442</v>
      </c>
      <c r="L99" s="449" t="n">
        <f aca="false">SQRT(pos_x^2+pos_z^2)</f>
        <v>33.0006177115538</v>
      </c>
      <c r="M99" s="450" t="n">
        <f aca="false">IF(AND(L98&gt;L_rampe,G99&gt;0),ATAN2(G99,H99),$M$4)</f>
        <v>1.37197726406265</v>
      </c>
      <c r="N99" s="449" t="n">
        <f aca="false">DEGREES(Beta)</f>
        <v>78.6085068186956</v>
      </c>
      <c r="O99" s="438"/>
      <c r="P99" s="452" t="n">
        <f aca="false">MATCH(t-pas/2-T_ini,CdP_t)</f>
        <v>3</v>
      </c>
      <c r="Q99" s="449" t="n">
        <f aca="false">(INDEX(CdP,2,i_P+1)-INDEX(CdP,2,i_P+0))/(INDEX(CdP,1,i_P+1)-INDEX(CdP,1,i_P+0))*(t-pas/2-T_ini-INDEX(CdP,1,i_P+0))+INDEX(CdP,2,i_P+0)</f>
        <v>745.49</v>
      </c>
      <c r="R99" s="450" t="n">
        <f aca="false">Poussee/(g*ISP)</f>
        <v>0.374126697338185</v>
      </c>
      <c r="S99" s="451" t="n">
        <f aca="false">S98-Débit*pas</f>
        <v>9.30863378182737</v>
      </c>
      <c r="T99" s="449" t="n">
        <f aca="false">m*g</f>
        <v>91.3176973997265</v>
      </c>
      <c r="U99" s="453" t="n">
        <f aca="false">IF(pos_xz&lt;L_rampe,Poids*COS(Beta),0)</f>
        <v>0</v>
      </c>
      <c r="V99" s="450" t="n">
        <f aca="false">Rho_moyen*(20000-Alt_rampe-pos_z)/(20000+Alt_rampe+pos_z)</f>
        <v>1.22103519739365</v>
      </c>
      <c r="W99" s="449" t="n">
        <f aca="false">1/2*Rho*Sref*Cx*vit_xz^2</f>
        <v>13.0747893548005</v>
      </c>
      <c r="X99" s="438"/>
      <c r="Y99" s="454" t="str">
        <f aca="false">IF(AND(pos_z&lt;=0,K98&gt;0),"Impact balistique","") &amp; IF(AND(H100&lt;0,vit_z&gt;=0),"Apogée","") &amp; IF(AND(Poussee=0,Q98&gt;0),"Fin de propulsion","") &amp; IF(AND(L100&gt;L_rampe,pos_xz&lt;=L_rampe),"Sortie de rampe","")</f>
        <v/>
      </c>
      <c r="Z99" s="455" t="str">
        <f aca="false">IF(ABS(t-T_para)&lt;pas/2,"Para","")</f>
        <v/>
      </c>
      <c r="AA99" s="456" t="str">
        <f aca="false">IF(ABS(t-T_satellite)&lt;pas/2,"Satellite","")</f>
        <v/>
      </c>
      <c r="AB99" s="444"/>
      <c r="AC99" s="452" t="e">
        <f aca="false">IF(ABS(t-ROUND(t,0))&lt;0.001,t,NA())</f>
        <v>#N/A</v>
      </c>
      <c r="AD99" s="457" t="e">
        <f aca="false">IF(ABS(t-ROUND(t,0))&lt;0.001,pos_x,NA())</f>
        <v>#N/A</v>
      </c>
      <c r="AE99" s="458" t="n">
        <f aca="false">IF(t&lt;T_para, pos_z, NA())</f>
        <v>32.418197502442</v>
      </c>
      <c r="AF99" s="444"/>
      <c r="AG99" s="450" t="n">
        <f aca="false">IF(AND(L98&lt;L_rampe,Poussee&lt;Poids*SIN(M98)),0,(-W98+Poussee)/m-Poids*SIN(M98)/m)</f>
        <v>69.091727223733</v>
      </c>
      <c r="AH99" s="449" t="n">
        <f aca="false">IF(AND(L98&lt;L_rampe,Poussee&lt;Poids*SIN(M98)), g*SIN(M98), (-W98+Poussee)/m)</f>
        <v>78.7090150978821</v>
      </c>
    </row>
    <row r="100" customFormat="false" ht="12" hidden="false" customHeight="false" outlineLevel="0" collapsed="false">
      <c r="A100" s="448" t="n">
        <f aca="false">IF(B99+0.01&lt;=T_ini+ROUNDUP(Temps_fin_propu,0), 0.01, IF(K99&gt;0, 0.1, 0.0001))</f>
        <v>0.01</v>
      </c>
      <c r="B100" s="449" t="n">
        <f aca="false">B99+pas</f>
        <v>0.960000000000001</v>
      </c>
      <c r="C100" s="432"/>
      <c r="D100" s="450" t="n">
        <f aca="false">IF(AND(L99&lt;L_rampe,Poussee&lt;Poids*SIN(M99)),0,(-W99+Poussee)/m*COS(M99)-U99/m*SIN(M99))</f>
        <v>15.5216717608161</v>
      </c>
      <c r="E100" s="451" t="n">
        <f aca="false">IF(AND(L99&lt;L_rampe,Poussee&lt;Poids*SIN(M99)),0,(-W99+Poussee)/m*SIN(M99)+U99/m*COS(M99)-Poids/m)</f>
        <v>67.2279445934007</v>
      </c>
      <c r="F100" s="449" t="n">
        <f aca="false">SQRT(acc_x^2+acc_z^2)</f>
        <v>68.9965131619263</v>
      </c>
      <c r="G100" s="450" t="n">
        <f aca="false">G99+acc_x*pas</f>
        <v>13.8617674264292</v>
      </c>
      <c r="H100" s="451" t="n">
        <f aca="false">H99+acc_z*pas</f>
        <v>68.7013236329417</v>
      </c>
      <c r="I100" s="449" t="n">
        <f aca="false">SQRT(vit_x^2+vit_z^2)</f>
        <v>70.0858078722262</v>
      </c>
      <c r="J100" s="450" t="n">
        <f aca="false">J99+0.5*(vit_x+G99)*pas*(K99&gt;=0)</f>
        <v>6.310461782846</v>
      </c>
      <c r="K100" s="451" t="n">
        <f aca="false">K99+0.5*(vit_z+H99)*pas</f>
        <v>33.1018493415417</v>
      </c>
      <c r="L100" s="449" t="n">
        <f aca="false">SQRT(pos_x^2+pos_z^2)</f>
        <v>33.6979874435089</v>
      </c>
      <c r="M100" s="450" t="n">
        <f aca="false">IF(AND(L99&gt;L_rampe,G100&gt;0),ATAN2(G100,H100),$M$4)</f>
        <v>1.37170080427768</v>
      </c>
      <c r="N100" s="449" t="n">
        <f aca="false">DEGREES(Beta)</f>
        <v>78.5926668398115</v>
      </c>
      <c r="O100" s="438"/>
      <c r="P100" s="452" t="n">
        <f aca="false">MATCH(t-pas/2-T_ini,CdP_t)</f>
        <v>3</v>
      </c>
      <c r="Q100" s="449" t="n">
        <f aca="false">(INDEX(CdP,2,i_P+1)-INDEX(CdP,2,i_P+0))/(INDEX(CdP,1,i_P+1)-INDEX(CdP,1,i_P+0))*(t-pas/2-T_ini-INDEX(CdP,1,i_P+0))+INDEX(CdP,2,i_P+0)</f>
        <v>744.31</v>
      </c>
      <c r="R100" s="450" t="n">
        <f aca="false">Poussee/(g*ISP)</f>
        <v>0.373534510316415</v>
      </c>
      <c r="S100" s="451" t="n">
        <f aca="false">S99-Débit*pas</f>
        <v>9.30489843672421</v>
      </c>
      <c r="T100" s="449" t="n">
        <f aca="false">m*g</f>
        <v>91.2810536642645</v>
      </c>
      <c r="U100" s="453" t="n">
        <f aca="false">IF(pos_xz&lt;L_rampe,Poids*COS(Beta),0)</f>
        <v>0</v>
      </c>
      <c r="V100" s="450" t="n">
        <f aca="false">Rho_moyen*(20000-Alt_rampe-pos_z)/(20000+Alt_rampe+pos_z)</f>
        <v>1.22095172372722</v>
      </c>
      <c r="W100" s="449" t="n">
        <f aca="false">1/2*Rho*Sref*Cx*vit_xz^2</f>
        <v>13.3350576282122</v>
      </c>
      <c r="X100" s="438"/>
      <c r="Y100" s="454" t="str">
        <f aca="false">IF(AND(pos_z&lt;=0,K99&gt;0),"Impact balistique","") &amp; IF(AND(H101&lt;0,vit_z&gt;=0),"Apogée","") &amp; IF(AND(Poussee=0,Q99&gt;0),"Fin de propulsion","") &amp; IF(AND(L101&gt;L_rampe,pos_xz&lt;=L_rampe),"Sortie de rampe","")</f>
        <v/>
      </c>
      <c r="Z100" s="455" t="str">
        <f aca="false">IF(ABS(t-T_para)&lt;pas/2,"Para","")</f>
        <v/>
      </c>
      <c r="AA100" s="456" t="str">
        <f aca="false">IF(ABS(t-T_satellite)&lt;pas/2,"Satellite","")</f>
        <v/>
      </c>
      <c r="AB100" s="444"/>
      <c r="AC100" s="452" t="e">
        <f aca="false">IF(ABS(t-ROUND(t,0))&lt;0.001,t,NA())</f>
        <v>#N/A</v>
      </c>
      <c r="AD100" s="457" t="e">
        <f aca="false">IF(ABS(t-ROUND(t,0))&lt;0.001,pos_x,NA())</f>
        <v>#N/A</v>
      </c>
      <c r="AE100" s="458" t="n">
        <f aca="false">IF(t&lt;T_para, pos_z, NA())</f>
        <v>33.1018493415417</v>
      </c>
      <c r="AF100" s="444"/>
      <c r="AG100" s="450" t="n">
        <f aca="false">IF(AND(L99&lt;L_rampe,Poussee&lt;Poids*SIN(M99)),0,(-W99+Poussee)/m-Poids*SIN(M99)/m)</f>
        <v>68.9693016546772</v>
      </c>
      <c r="AH100" s="449" t="n">
        <f aca="false">IF(AND(L99&lt;L_rampe,Poussee&lt;Poids*SIN(M99)), g*SIN(M99), (-W99+Poussee)/m)</f>
        <v>78.5860496616695</v>
      </c>
    </row>
    <row r="101" customFormat="false" ht="12" hidden="false" customHeight="false" outlineLevel="0" collapsed="false">
      <c r="A101" s="448" t="n">
        <f aca="false">IF(B100+0.01&lt;=T_ini+ROUNDUP(Temps_fin_propu,0), 0.01, IF(K100&gt;0, 0.1, 0.0001))</f>
        <v>0.01</v>
      </c>
      <c r="B101" s="449" t="n">
        <f aca="false">B100+pas</f>
        <v>0.970000000000001</v>
      </c>
      <c r="C101" s="432"/>
      <c r="D101" s="450" t="n">
        <f aca="false">IF(AND(L100&lt;L_rampe,Poussee&lt;Poids*SIN(M100)),0,(-W100+Poussee)/m*COS(M100)-U100/m*SIN(M100))</f>
        <v>15.5185749247414</v>
      </c>
      <c r="E101" s="451" t="n">
        <f aca="false">IF(AND(L100&lt;L_rampe,Poussee&lt;Poids*SIN(M100)),0,(-W100+Poussee)/m*SIN(M100)+U100/m*COS(M100)-Poids/m)</f>
        <v>67.1027489611442</v>
      </c>
      <c r="F101" s="449" t="n">
        <f aca="false">SQRT(acc_x^2+acc_z^2)</f>
        <v>68.8738345515708</v>
      </c>
      <c r="G101" s="450" t="n">
        <f aca="false">G100+acc_x*pas</f>
        <v>14.0169531756766</v>
      </c>
      <c r="H101" s="451" t="n">
        <f aca="false">H100+acc_z*pas</f>
        <v>69.3723511225532</v>
      </c>
      <c r="I101" s="449" t="n">
        <f aca="false">SQRT(vit_x^2+vit_z^2)</f>
        <v>70.7742755286122</v>
      </c>
      <c r="J101" s="450" t="n">
        <f aca="false">J100+0.5*(vit_x+G100)*pas*(K100&gt;=0)</f>
        <v>6.44985538585653</v>
      </c>
      <c r="K101" s="451" t="n">
        <f aca="false">K100+0.5*(vit_z+H100)*pas</f>
        <v>33.7922177153192</v>
      </c>
      <c r="L101" s="449" t="n">
        <f aca="false">SQRT(pos_x^2+pos_z^2)</f>
        <v>34.4022472030243</v>
      </c>
      <c r="M101" s="450" t="n">
        <f aca="false">IF(AND(L100&gt;L_rampe,G101&gt;0),ATAN2(G101,H101),$M$4)</f>
        <v>1.37142665815714</v>
      </c>
      <c r="N101" s="449" t="n">
        <f aca="false">DEGREES(Beta)</f>
        <v>78.5769594241346</v>
      </c>
      <c r="O101" s="438"/>
      <c r="P101" s="452" t="n">
        <f aca="false">MATCH(t-pas/2-T_ini,CdP_t)</f>
        <v>3</v>
      </c>
      <c r="Q101" s="449" t="n">
        <f aca="false">(INDEX(CdP,2,i_P+1)-INDEX(CdP,2,i_P+0))/(INDEX(CdP,1,i_P+1)-INDEX(CdP,1,i_P+0))*(t-pas/2-T_ini-INDEX(CdP,1,i_P+0))+INDEX(CdP,2,i_P+0)</f>
        <v>743.13</v>
      </c>
      <c r="R101" s="450" t="n">
        <f aca="false">Poussee/(g*ISP)</f>
        <v>0.372942323294646</v>
      </c>
      <c r="S101" s="451" t="n">
        <f aca="false">S100-Débit*pas</f>
        <v>9.30116901349126</v>
      </c>
      <c r="T101" s="449" t="n">
        <f aca="false">m*g</f>
        <v>91.2444680223492</v>
      </c>
      <c r="U101" s="453" t="n">
        <f aca="false">IF(pos_xz&lt;L_rampe,Poids*COS(Beta),0)</f>
        <v>0</v>
      </c>
      <c r="V101" s="450" t="n">
        <f aca="false">Rho_moyen*(20000-Alt_rampe-pos_z)/(20000+Alt_rampe+pos_z)</f>
        <v>1.22086743575541</v>
      </c>
      <c r="W101" s="449" t="n">
        <f aca="false">1/2*Rho*Sref*Cx*vit_xz^2</f>
        <v>13.597391805899</v>
      </c>
      <c r="X101" s="438"/>
      <c r="Y101" s="454" t="str">
        <f aca="false">IF(AND(pos_z&lt;=0,K100&gt;0),"Impact balistique","") &amp; IF(AND(H102&lt;0,vit_z&gt;=0),"Apogée","") &amp; IF(AND(Poussee=0,Q100&gt;0),"Fin de propulsion","") &amp; IF(AND(L102&gt;L_rampe,pos_xz&lt;=L_rampe),"Sortie de rampe","")</f>
        <v/>
      </c>
      <c r="Z101" s="455" t="str">
        <f aca="false">IF(ABS(t-T_para)&lt;pas/2,"Para","")</f>
        <v/>
      </c>
      <c r="AA101" s="456" t="str">
        <f aca="false">IF(ABS(t-T_satellite)&lt;pas/2,"Satellite","")</f>
        <v/>
      </c>
      <c r="AB101" s="444"/>
      <c r="AC101" s="452" t="e">
        <f aca="false">IF(ABS(t-ROUND(t,0))&lt;0.001,t,NA())</f>
        <v>#N/A</v>
      </c>
      <c r="AD101" s="457" t="e">
        <f aca="false">IF(ABS(t-ROUND(t,0))&lt;0.001,pos_x,NA())</f>
        <v>#N/A</v>
      </c>
      <c r="AE101" s="458" t="n">
        <f aca="false">IF(t&lt;T_para, pos_z, NA())</f>
        <v>33.7922177153192</v>
      </c>
      <c r="AF101" s="444"/>
      <c r="AG101" s="450" t="n">
        <f aca="false">IF(AND(L100&lt;L_rampe,Poussee&lt;Poids*SIN(M100)),0,(-W100+Poussee)/m-Poids*SIN(M100)/m)</f>
        <v>68.8464996826857</v>
      </c>
      <c r="AH101" s="449" t="n">
        <f aca="false">IF(AND(L100&lt;L_rampe,Poussee&lt;Poids*SIN(M100)), g*SIN(M100), (-W100+Poussee)/m)</f>
        <v>78.4627116562689</v>
      </c>
    </row>
    <row r="102" customFormat="false" ht="12" hidden="false" customHeight="false" outlineLevel="0" collapsed="false">
      <c r="A102" s="448" t="n">
        <f aca="false">IF(B101+0.01&lt;=T_ini+ROUNDUP(Temps_fin_propu,0), 0.01, IF(K101&gt;0, 0.1, 0.0001))</f>
        <v>0.01</v>
      </c>
      <c r="B102" s="449" t="n">
        <f aca="false">B101+pas</f>
        <v>0.980000000000001</v>
      </c>
      <c r="C102" s="432"/>
      <c r="D102" s="450" t="n">
        <f aca="false">IF(AND(L101&lt;L_rampe,Poussee&lt;Poids*SIN(M101)),0,(-W101+Poussee)/m*COS(M101)-U101/m*SIN(M101))</f>
        <v>15.5151589068403</v>
      </c>
      <c r="E102" s="451" t="n">
        <f aca="false">IF(AND(L101&lt;L_rampe,Poussee&lt;Poids*SIN(M101)),0,(-W101+Poussee)/m*SIN(M101)+U101/m*COS(M101)-Poids/m)</f>
        <v>66.9772331395999</v>
      </c>
      <c r="F102" s="449" t="n">
        <f aca="false">SQRT(acc_x^2+acc_z^2)</f>
        <v>68.7507811951313</v>
      </c>
      <c r="G102" s="450" t="n">
        <f aca="false">G101+acc_x*pas</f>
        <v>14.172104764745</v>
      </c>
      <c r="H102" s="451" t="n">
        <f aca="false">H101+acc_z*pas</f>
        <v>70.0421234539492</v>
      </c>
      <c r="I102" s="449" t="n">
        <f aca="false">SQRT(vit_x^2+vit_z^2)</f>
        <v>71.4615113988024</v>
      </c>
      <c r="J102" s="450" t="n">
        <f aca="false">J101+0.5*(vit_x+G101)*pas*(K101&gt;=0)</f>
        <v>6.59080067555864</v>
      </c>
      <c r="K102" s="451" t="n">
        <f aca="false">K101+0.5*(vit_z+H101)*pas</f>
        <v>34.4892900882017</v>
      </c>
      <c r="L102" s="449" t="n">
        <f aca="false">SQRT(pos_x^2+pos_z^2)</f>
        <v>35.1133846892189</v>
      </c>
      <c r="M102" s="450" t="n">
        <f aca="false">IF(AND(L101&gt;L_rampe,G102&gt;0),ATAN2(G102,H102),$M$4)</f>
        <v>1.37115477956922</v>
      </c>
      <c r="N102" s="449" t="n">
        <f aca="false">DEGREES(Beta)</f>
        <v>78.5613819285073</v>
      </c>
      <c r="O102" s="438"/>
      <c r="P102" s="452" t="n">
        <f aca="false">MATCH(t-pas/2-T_ini,CdP_t)</f>
        <v>3</v>
      </c>
      <c r="Q102" s="449" t="n">
        <f aca="false">(INDEX(CdP,2,i_P+1)-INDEX(CdP,2,i_P+0))/(INDEX(CdP,1,i_P+1)-INDEX(CdP,1,i_P+0))*(t-pas/2-T_ini-INDEX(CdP,1,i_P+0))+INDEX(CdP,2,i_P+0)</f>
        <v>741.95</v>
      </c>
      <c r="R102" s="450" t="n">
        <f aca="false">Poussee/(g*ISP)</f>
        <v>0.372350136272876</v>
      </c>
      <c r="S102" s="451" t="n">
        <f aca="false">S101-Débit*pas</f>
        <v>9.29744551212853</v>
      </c>
      <c r="T102" s="449" t="n">
        <f aca="false">m*g</f>
        <v>91.2079404739809</v>
      </c>
      <c r="U102" s="453" t="n">
        <f aca="false">IF(pos_xz&lt;L_rampe,Poids*COS(Beta),0)</f>
        <v>0</v>
      </c>
      <c r="V102" s="450" t="n">
        <f aca="false">Rho_moyen*(20000-Alt_rampe-pos_z)/(20000+Alt_rampe+pos_z)</f>
        <v>1.22078233517747</v>
      </c>
      <c r="W102" s="449" t="n">
        <f aca="false">1/2*Rho*Sref*Cx*vit_xz^2</f>
        <v>13.8617757197079</v>
      </c>
      <c r="X102" s="438"/>
      <c r="Y102" s="454" t="str">
        <f aca="false">IF(AND(pos_z&lt;=0,K101&gt;0),"Impact balistique","") &amp; IF(AND(H103&lt;0,vit_z&gt;=0),"Apogée","") &amp; IF(AND(Poussee=0,Q101&gt;0),"Fin de propulsion","") &amp; IF(AND(L103&gt;L_rampe,pos_xz&lt;=L_rampe),"Sortie de rampe","")</f>
        <v/>
      </c>
      <c r="Z102" s="455" t="str">
        <f aca="false">IF(ABS(t-T_para)&lt;pas/2,"Para","")</f>
        <v/>
      </c>
      <c r="AA102" s="456" t="str">
        <f aca="false">IF(ABS(t-T_satellite)&lt;pas/2,"Satellite","")</f>
        <v/>
      </c>
      <c r="AB102" s="444"/>
      <c r="AC102" s="452" t="e">
        <f aca="false">IF(ABS(t-ROUND(t,0))&lt;0.001,t,NA())</f>
        <v>#N/A</v>
      </c>
      <c r="AD102" s="457" t="e">
        <f aca="false">IF(ABS(t-ROUND(t,0))&lt;0.001,pos_x,NA())</f>
        <v>#N/A</v>
      </c>
      <c r="AE102" s="458" t="n">
        <f aca="false">IF(t&lt;T_para, pos_z, NA())</f>
        <v>34.4892900882017</v>
      </c>
      <c r="AF102" s="444"/>
      <c r="AG102" s="450" t="n">
        <f aca="false">IF(AND(L101&lt;L_rampe,Poussee&lt;Poids*SIN(M101)),0,(-W101+Poussee)/m-Poids*SIN(M101)/m)</f>
        <v>68.7233229045413</v>
      </c>
      <c r="AH102" s="449" t="n">
        <f aca="false">IF(AND(L101&lt;L_rampe,Poussee&lt;Poids*SIN(M101)), g*SIN(M101), (-W101+Poussee)/m)</f>
        <v>78.339002604959</v>
      </c>
    </row>
    <row r="103" customFormat="false" ht="12" hidden="false" customHeight="false" outlineLevel="0" collapsed="false">
      <c r="A103" s="448" t="n">
        <f aca="false">IF(B102+0.01&lt;=T_ini+ROUNDUP(Temps_fin_propu,0), 0.01, IF(K102&gt;0, 0.1, 0.0001))</f>
        <v>0.01</v>
      </c>
      <c r="B103" s="449" t="n">
        <f aca="false">B102+pas</f>
        <v>0.990000000000001</v>
      </c>
      <c r="C103" s="432"/>
      <c r="D103" s="450" t="n">
        <f aca="false">IF(AND(L102&lt;L_rampe,Poussee&lt;Poids*SIN(M102)),0,(-W102+Poussee)/m*COS(M102)-U102/m*SIN(M102))</f>
        <v>15.5114281231205</v>
      </c>
      <c r="E103" s="451" t="n">
        <f aca="false">IF(AND(L102&lt;L_rampe,Poussee&lt;Poids*SIN(M102)),0,(-W102+Poussee)/m*SIN(M102)+U102/m*COS(M102)-Poids/m)</f>
        <v>66.8513979773396</v>
      </c>
      <c r="F103" s="449" t="n">
        <f aca="false">SQRT(acc_x^2+acc_z^2)</f>
        <v>68.6273547060018</v>
      </c>
      <c r="G103" s="450" t="n">
        <f aca="false">G102+acc_x*pas</f>
        <v>14.3272190459762</v>
      </c>
      <c r="H103" s="451" t="n">
        <f aca="false">H102+acc_z*pas</f>
        <v>70.7106374337226</v>
      </c>
      <c r="I103" s="449" t="n">
        <f aca="false">SQRT(vit_x^2+vit_z^2)</f>
        <v>72.1475117510975</v>
      </c>
      <c r="J103" s="450" t="n">
        <f aca="false">J102+0.5*(vit_x+G102)*pas*(K102&gt;=0)</f>
        <v>6.73329729461225</v>
      </c>
      <c r="K103" s="451" t="n">
        <f aca="false">K102+0.5*(vit_z+H102)*pas</f>
        <v>35.19305389264</v>
      </c>
      <c r="L103" s="449" t="n">
        <f aca="false">SQRT(pos_x^2+pos_z^2)</f>
        <v>35.8313875638092</v>
      </c>
      <c r="M103" s="450" t="n">
        <f aca="false">IF(AND(L102&gt;L_rampe,G103&gt;0),ATAN2(G103,H103),$M$4)</f>
        <v>1.37088512374064</v>
      </c>
      <c r="N103" s="449" t="n">
        <f aca="false">DEGREES(Beta)</f>
        <v>78.5459317876084</v>
      </c>
      <c r="O103" s="438"/>
      <c r="P103" s="452" t="n">
        <f aca="false">MATCH(t-pas/2-T_ini,CdP_t)</f>
        <v>3</v>
      </c>
      <c r="Q103" s="449" t="n">
        <f aca="false">(INDEX(CdP,2,i_P+1)-INDEX(CdP,2,i_P+0))/(INDEX(CdP,1,i_P+1)-INDEX(CdP,1,i_P+0))*(t-pas/2-T_ini-INDEX(CdP,1,i_P+0))+INDEX(CdP,2,i_P+0)</f>
        <v>740.77</v>
      </c>
      <c r="R103" s="450" t="n">
        <f aca="false">Poussee/(g*ISP)</f>
        <v>0.371757949251106</v>
      </c>
      <c r="S103" s="451" t="n">
        <f aca="false">S102-Débit*pas</f>
        <v>9.29372793263602</v>
      </c>
      <c r="T103" s="449" t="n">
        <f aca="false">m*g</f>
        <v>91.1714710191593</v>
      </c>
      <c r="U103" s="453" t="n">
        <f aca="false">IF(pos_xz&lt;L_rampe,Poids*COS(Beta),0)</f>
        <v>0</v>
      </c>
      <c r="V103" s="450" t="n">
        <f aca="false">Rho_moyen*(20000-Alt_rampe-pos_z)/(20000+Alt_rampe+pos_z)</f>
        <v>1.22069642369779</v>
      </c>
      <c r="W103" s="449" t="n">
        <f aca="false">1/2*Rho*Sref*Cx*vit_xz^2</f>
        <v>14.1281931738759</v>
      </c>
      <c r="X103" s="438"/>
      <c r="Y103" s="454" t="str">
        <f aca="false">IF(AND(pos_z&lt;=0,K102&gt;0),"Impact balistique","") &amp; IF(AND(H104&lt;0,vit_z&gt;=0),"Apogée","") &amp; IF(AND(Poussee=0,Q102&gt;0),"Fin de propulsion","") &amp; IF(AND(L104&gt;L_rampe,pos_xz&lt;=L_rampe),"Sortie de rampe","")</f>
        <v/>
      </c>
      <c r="Z103" s="455" t="str">
        <f aca="false">IF(ABS(t-T_para)&lt;pas/2,"Para","")</f>
        <v/>
      </c>
      <c r="AA103" s="456" t="str">
        <f aca="false">IF(ABS(t-T_satellite)&lt;pas/2,"Satellite","")</f>
        <v/>
      </c>
      <c r="AB103" s="444"/>
      <c r="AC103" s="452" t="e">
        <f aca="false">IF(ABS(t-ROUND(t,0))&lt;0.001,t,NA())</f>
        <v>#N/A</v>
      </c>
      <c r="AD103" s="457" t="e">
        <f aca="false">IF(ABS(t-ROUND(t,0))&lt;0.001,pos_x,NA())</f>
        <v>#N/A</v>
      </c>
      <c r="AE103" s="458" t="n">
        <f aca="false">IF(t&lt;T_para, pos_z, NA())</f>
        <v>35.19305389264</v>
      </c>
      <c r="AF103" s="444"/>
      <c r="AG103" s="450" t="n">
        <f aca="false">IF(AND(L102&lt;L_rampe,Poussee&lt;Poids*SIN(M102)),0,(-W102+Poussee)/m-Poids*SIN(M102)/m)</f>
        <v>68.5997729218436</v>
      </c>
      <c r="AH103" s="449" t="n">
        <f aca="false">IF(AND(L102&lt;L_rampe,Poussee&lt;Poids*SIN(M102)), g*SIN(M102), (-W102+Poussee)/m)</f>
        <v>78.2149240379276</v>
      </c>
    </row>
    <row r="104" customFormat="false" ht="12" hidden="false" customHeight="false" outlineLevel="0" collapsed="false">
      <c r="A104" s="448" t="n">
        <f aca="false">IF(B103+0.01&lt;=T_ini+ROUNDUP(Temps_fin_propu,0), 0.01, IF(K103&gt;0, 0.1, 0.0001))</f>
        <v>0.01</v>
      </c>
      <c r="B104" s="449" t="n">
        <f aca="false">B103+pas</f>
        <v>1</v>
      </c>
      <c r="C104" s="432"/>
      <c r="D104" s="450" t="n">
        <f aca="false">IF(AND(L103&lt;L_rampe,Poussee&lt;Poids*SIN(M103)),0,(-W103+Poussee)/m*COS(M103)-U103/m*SIN(M103))</f>
        <v>15.5073868700481</v>
      </c>
      <c r="E104" s="451" t="n">
        <f aca="false">IF(AND(L103&lt;L_rampe,Poussee&lt;Poids*SIN(M103)),0,(-W103+Poussee)/m*SIN(M103)+U103/m*COS(M103)-Poids/m)</f>
        <v>66.7252443480932</v>
      </c>
      <c r="F104" s="449" t="n">
        <f aca="false">SQRT(acc_x^2+acc_z^2)</f>
        <v>68.5035567021895</v>
      </c>
      <c r="G104" s="450" t="n">
        <f aca="false">G103+acc_x*pas</f>
        <v>14.4822929146767</v>
      </c>
      <c r="H104" s="451" t="n">
        <f aca="false">H103+acc_z*pas</f>
        <v>71.3778898772035</v>
      </c>
      <c r="I104" s="449" t="n">
        <f aca="false">SQRT(vit_x^2+vit_z^2)</f>
        <v>72.8322728698527</v>
      </c>
      <c r="J104" s="450" t="n">
        <f aca="false">J103+0.5*(vit_x+G103)*pas*(K103&gt;=0)</f>
        <v>6.87734485441551</v>
      </c>
      <c r="K104" s="451" t="n">
        <f aca="false">K103+0.5*(vit_z+H103)*pas</f>
        <v>35.9034965291947</v>
      </c>
      <c r="L104" s="449" t="n">
        <f aca="false">SQRT(pos_x^2+pos_z^2)</f>
        <v>36.556243451269</v>
      </c>
      <c r="M104" s="450" t="n">
        <f aca="false">IF(AND(L103&gt;L_rampe,G104&gt;0),ATAN2(G104,H104),$M$4)</f>
        <v>1.37061764720314</v>
      </c>
      <c r="N104" s="449" t="n">
        <f aca="false">DEGREES(Beta)</f>
        <v>78.5306065108906</v>
      </c>
      <c r="O104" s="438"/>
      <c r="P104" s="452" t="n">
        <f aca="false">MATCH(t-pas/2-T_ini,CdP_t)</f>
        <v>3</v>
      </c>
      <c r="Q104" s="449" t="n">
        <f aca="false">(INDEX(CdP,2,i_P+1)-INDEX(CdP,2,i_P+0))/(INDEX(CdP,1,i_P+1)-INDEX(CdP,1,i_P+0))*(t-pas/2-T_ini-INDEX(CdP,1,i_P+0))+INDEX(CdP,2,i_P+0)</f>
        <v>739.59</v>
      </c>
      <c r="R104" s="450" t="n">
        <f aca="false">Poussee/(g*ISP)</f>
        <v>0.371165762229337</v>
      </c>
      <c r="S104" s="451" t="n">
        <f aca="false">S103-Débit*pas</f>
        <v>9.29001627501373</v>
      </c>
      <c r="T104" s="449" t="n">
        <f aca="false">m*g</f>
        <v>91.1350596578847</v>
      </c>
      <c r="U104" s="453" t="n">
        <f aca="false">IF(pos_xz&lt;L_rampe,Poids*COS(Beta),0)</f>
        <v>0</v>
      </c>
      <c r="V104" s="450" t="n">
        <f aca="false">Rho_moyen*(20000-Alt_rampe-pos_z)/(20000+Alt_rampe+pos_z)</f>
        <v>1.22060970302578</v>
      </c>
      <c r="W104" s="449" t="n">
        <f aca="false">1/2*Rho*Sref*Cx*vit_xz^2</f>
        <v>14.3966279457423</v>
      </c>
      <c r="X104" s="438"/>
      <c r="Y104" s="454" t="str">
        <f aca="false">IF(AND(pos_z&lt;=0,K103&gt;0),"Impact balistique","") &amp; IF(AND(H105&lt;0,vit_z&gt;=0),"Apogée","") &amp; IF(AND(Poussee=0,Q103&gt;0),"Fin de propulsion","") &amp; IF(AND(L105&gt;L_rampe,pos_xz&lt;=L_rampe),"Sortie de rampe","")</f>
        <v/>
      </c>
      <c r="Z104" s="455" t="str">
        <f aca="false">IF(ABS(t-T_para)&lt;pas/2,"Para","")</f>
        <v/>
      </c>
      <c r="AA104" s="456" t="str">
        <f aca="false">IF(ABS(t-T_satellite)&lt;pas/2,"Satellite","")</f>
        <v/>
      </c>
      <c r="AB104" s="444"/>
      <c r="AC104" s="452" t="n">
        <f aca="false">IF(ABS(t-ROUND(t,0))&lt;0.001,t,NA())</f>
        <v>1</v>
      </c>
      <c r="AD104" s="457" t="n">
        <f aca="false">IF(ABS(t-ROUND(t,0))&lt;0.001,pos_x,NA())</f>
        <v>6.87734485441551</v>
      </c>
      <c r="AE104" s="458" t="n">
        <f aca="false">IF(t&lt;T_para, pos_z, NA())</f>
        <v>35.9034965291947</v>
      </c>
      <c r="AF104" s="444"/>
      <c r="AG104" s="450" t="n">
        <f aca="false">IF(AND(L103&lt;L_rampe,Poussee&lt;Poids*SIN(M103)),0,(-W103+Poussee)/m-Poids*SIN(M103)/m)</f>
        <v>68.4758513410172</v>
      </c>
      <c r="AH104" s="449" t="n">
        <f aca="false">IF(AND(L103&lt;L_rampe,Poussee&lt;Poids*SIN(M103)), g*SIN(M103), (-W103+Poussee)/m)</f>
        <v>78.0904774921993</v>
      </c>
    </row>
    <row r="105" customFormat="false" ht="12" hidden="false" customHeight="false" outlineLevel="0" collapsed="false">
      <c r="A105" s="448" t="n">
        <f aca="false">IF(B104+0.01&lt;=T_ini+ROUNDUP(Temps_fin_propu,0), 0.01, IF(K104&gt;0, 0.1, 0.0001))</f>
        <v>0.01</v>
      </c>
      <c r="B105" s="449" t="n">
        <f aca="false">B104+pas</f>
        <v>1.01</v>
      </c>
      <c r="C105" s="432"/>
      <c r="D105" s="450" t="n">
        <f aca="false">IF(AND(L104&lt;L_rampe,Poussee&lt;Poids*SIN(M104)),0,(-W104+Poussee)/m*COS(M104)-U104/m*SIN(M104))</f>
        <v>15.4985409155171</v>
      </c>
      <c r="E105" s="451" t="n">
        <f aca="false">IF(AND(L104&lt;L_rampe,Poussee&lt;Poids*SIN(M104)),0,(-W104+Poussee)/m*SIN(M104)+U104/m*COS(M104)-Poids/m)</f>
        <v>66.5766021245858</v>
      </c>
      <c r="F105" s="449" t="n">
        <f aca="false">SQRT(acc_x^2+acc_z^2)</f>
        <v>68.3567752381969</v>
      </c>
      <c r="G105" s="450" t="n">
        <f aca="false">G104+acc_x*pas</f>
        <v>14.6372783238318</v>
      </c>
      <c r="H105" s="451" t="n">
        <f aca="false">H104+acc_z*pas</f>
        <v>72.0436558984493</v>
      </c>
      <c r="I105" s="449" t="n">
        <f aca="false">SQRT(vit_x^2+vit_z^2)</f>
        <v>73.5155648277526</v>
      </c>
      <c r="J105" s="450" t="n">
        <f aca="false">J104+0.5*(vit_x+G104)*pas*(K104&gt;=0)</f>
        <v>7.02294271060805</v>
      </c>
      <c r="K105" s="451" t="n">
        <f aca="false">K104+0.5*(vit_z+H104)*pas</f>
        <v>36.6206042580729</v>
      </c>
      <c r="L105" s="449" t="n">
        <f aca="false">SQRT(pos_x^2+pos_z^2)</f>
        <v>37.2879388079158</v>
      </c>
      <c r="M105" s="450" t="n">
        <f aca="false">IF(AND(L104&gt;L_rampe,G105&gt;0),ATAN2(G105,H105),$M$4)</f>
        <v>1.37035230692615</v>
      </c>
      <c r="N105" s="449" t="n">
        <f aca="false">DEGREES(Beta)</f>
        <v>78.5154036328844</v>
      </c>
      <c r="O105" s="438"/>
      <c r="P105" s="452" t="n">
        <f aca="false">MATCH(t-pas/2-T_ini,CdP_t)</f>
        <v>4</v>
      </c>
      <c r="Q105" s="449" t="n">
        <f aca="false">(INDEX(CdP,2,i_P+1)-INDEX(CdP,2,i_P+0))/(INDEX(CdP,1,i_P+1)-INDEX(CdP,1,i_P+0))*(t-pas/2-T_ini-INDEX(CdP,1,i_P+0))+INDEX(CdP,2,i_P+0)</f>
        <v>738.2</v>
      </c>
      <c r="R105" s="450" t="n">
        <f aca="false">Poussee/(g*ISP)</f>
        <v>0.370468185991828</v>
      </c>
      <c r="S105" s="451" t="n">
        <f aca="false">S104-Débit*pas</f>
        <v>9.28631159315381</v>
      </c>
      <c r="T105" s="449" t="n">
        <f aca="false">m*g</f>
        <v>91.0987167288389</v>
      </c>
      <c r="U105" s="453" t="n">
        <f aca="false">IF(pos_xz&lt;L_rampe,Poids*COS(Beta),0)</f>
        <v>0</v>
      </c>
      <c r="V105" s="450" t="n">
        <f aca="false">Rho_moyen*(20000-Alt_rampe-pos_z)/(20000+Alt_rampe+pos_z)</f>
        <v>1.22052217501123</v>
      </c>
      <c r="W105" s="449" t="n">
        <f aca="false">1/2*Rho*Sref*Cx*vit_xz^2</f>
        <v>14.6669735192602</v>
      </c>
      <c r="X105" s="438"/>
      <c r="Y105" s="454" t="str">
        <f aca="false">IF(AND(pos_z&lt;=0,K104&gt;0),"Impact balistique","") &amp; IF(AND(H106&lt;0,vit_z&gt;=0),"Apogée","") &amp; IF(AND(Poussee=0,Q104&gt;0),"Fin de propulsion","") &amp; IF(AND(L106&gt;L_rampe,pos_xz&lt;=L_rampe),"Sortie de rampe","")</f>
        <v/>
      </c>
      <c r="Z105" s="455" t="str">
        <f aca="false">IF(ABS(t-T_para)&lt;pas/2,"Para","")</f>
        <v/>
      </c>
      <c r="AA105" s="456" t="str">
        <f aca="false">IF(ABS(t-T_satellite)&lt;pas/2,"Satellite","")</f>
        <v/>
      </c>
      <c r="AB105" s="444"/>
      <c r="AC105" s="452" t="e">
        <f aca="false">IF(ABS(t-ROUND(t,0))&lt;0.001,t,NA())</f>
        <v>#N/A</v>
      </c>
      <c r="AD105" s="457" t="e">
        <f aca="false">IF(ABS(t-ROUND(t,0))&lt;0.001,pos_x,NA())</f>
        <v>#N/A</v>
      </c>
      <c r="AE105" s="458" t="n">
        <f aca="false">IF(t&lt;T_para, pos_z, NA())</f>
        <v>36.6206042580729</v>
      </c>
      <c r="AF105" s="444"/>
      <c r="AG105" s="450" t="n">
        <f aca="false">IF(AND(L104&lt;L_rampe,Poussee&lt;Poids*SIN(M104)),0,(-W104+Poussee)/m-Poids*SIN(M104)/m)</f>
        <v>68.328936995122</v>
      </c>
      <c r="AH105" s="449" t="n">
        <f aca="false">IF(AND(L104&lt;L_rampe,Poussee&lt;Poids*SIN(M104)), g*SIN(M104), (-W104+Poussee)/m)</f>
        <v>77.9430417333692</v>
      </c>
    </row>
    <row r="106" customFormat="false" ht="12" hidden="false" customHeight="false" outlineLevel="0" collapsed="false">
      <c r="A106" s="448" t="n">
        <f aca="false">IF(B105+0.01&lt;=T_ini+ROUNDUP(Temps_fin_propu,0), 0.01, IF(K105&gt;0, 0.1, 0.0001))</f>
        <v>0.01</v>
      </c>
      <c r="B106" s="449" t="n">
        <f aca="false">B105+pas</f>
        <v>1.02</v>
      </c>
      <c r="C106" s="432"/>
      <c r="D106" s="450" t="n">
        <f aca="false">IF(AND(L105&lt;L_rampe,Poussee&lt;Poids*SIN(M105)),0,(-W105+Poussee)/m*COS(M105)-U105/m*SIN(M105))</f>
        <v>15.4848715488685</v>
      </c>
      <c r="E106" s="451" t="n">
        <f aca="false">IF(AND(L105&lt;L_rampe,Poussee&lt;Poids*SIN(M105)),0,(-W105+Poussee)/m*SIN(M105)+U105/m*COS(M105)-Poids/m)</f>
        <v>66.405450223558</v>
      </c>
      <c r="F106" s="449" t="n">
        <f aca="false">SQRT(acc_x^2+acc_z^2)</f>
        <v>68.1869860477671</v>
      </c>
      <c r="G106" s="450" t="n">
        <f aca="false">G105+acc_x*pas</f>
        <v>14.7921270393205</v>
      </c>
      <c r="H106" s="451" t="n">
        <f aca="false">H105+acc_z*pas</f>
        <v>72.7077104006849</v>
      </c>
      <c r="I106" s="449" t="n">
        <f aca="false">SQRT(vit_x^2+vit_z^2)</f>
        <v>74.1971574526765</v>
      </c>
      <c r="J106" s="450" t="n">
        <f aca="false">J105+0.5*(vit_x+G105)*pas*(K105&gt;=0)</f>
        <v>7.17008973742381</v>
      </c>
      <c r="K106" s="451" t="n">
        <f aca="false">K105+0.5*(vit_z+H105)*pas</f>
        <v>37.3443610895686</v>
      </c>
      <c r="L106" s="449" t="n">
        <f aca="false">SQRT(pos_x^2+pos_z^2)</f>
        <v>38.0264577896863</v>
      </c>
      <c r="M106" s="450" t="n">
        <f aca="false">IF(AND(L105&gt;L_rampe,G106&gt;0),ATAN2(G106,H106),$M$4)</f>
        <v>1.37008906032201</v>
      </c>
      <c r="N106" s="449" t="n">
        <f aca="false">DEGREES(Beta)</f>
        <v>78.5003207134961</v>
      </c>
      <c r="O106" s="438"/>
      <c r="P106" s="452" t="n">
        <f aca="false">MATCH(t-pas/2-T_ini,CdP_t)</f>
        <v>4</v>
      </c>
      <c r="Q106" s="449" t="n">
        <f aca="false">(INDEX(CdP,2,i_P+1)-INDEX(CdP,2,i_P+0))/(INDEX(CdP,1,i_P+1)-INDEX(CdP,1,i_P+0))*(t-pas/2-T_ini-INDEX(CdP,1,i_P+0))+INDEX(CdP,2,i_P+0)</f>
        <v>736.6</v>
      </c>
      <c r="R106" s="450" t="n">
        <f aca="false">Poussee/(g*ISP)</f>
        <v>0.369665220538581</v>
      </c>
      <c r="S106" s="451" t="n">
        <f aca="false">S105-Débit*pas</f>
        <v>9.28261494094842</v>
      </c>
      <c r="T106" s="449" t="n">
        <f aca="false">m*g</f>
        <v>91.062452570704</v>
      </c>
      <c r="U106" s="453" t="n">
        <f aca="false">IF(pos_xz&lt;L_rampe,Poids*COS(Beta),0)</f>
        <v>0</v>
      </c>
      <c r="V106" s="450" t="n">
        <f aca="false">Rho_moyen*(20000-Alt_rampe-pos_z)/(20000+Alt_rampe+pos_z)</f>
        <v>1.2204338417796</v>
      </c>
      <c r="W106" s="449" t="n">
        <f aca="false">1/2*Rho*Sref*Cx*vit_xz^2</f>
        <v>14.9391199282956</v>
      </c>
      <c r="X106" s="438"/>
      <c r="Y106" s="454" t="str">
        <f aca="false">IF(AND(pos_z&lt;=0,K105&gt;0),"Impact balistique","") &amp; IF(AND(H107&lt;0,vit_z&gt;=0),"Apogée","") &amp; IF(AND(Poussee=0,Q105&gt;0),"Fin de propulsion","") &amp; IF(AND(L107&gt;L_rampe,pos_xz&lt;=L_rampe),"Sortie de rampe","")</f>
        <v/>
      </c>
      <c r="Z106" s="455" t="str">
        <f aca="false">IF(ABS(t-T_para)&lt;pas/2,"Para","")</f>
        <v/>
      </c>
      <c r="AA106" s="456" t="str">
        <f aca="false">IF(ABS(t-T_satellite)&lt;pas/2,"Satellite","")</f>
        <v/>
      </c>
      <c r="AB106" s="444"/>
      <c r="AC106" s="452" t="e">
        <f aca="false">IF(ABS(t-ROUND(t,0))&lt;0.001,t,NA())</f>
        <v>#N/A</v>
      </c>
      <c r="AD106" s="457" t="e">
        <f aca="false">IF(ABS(t-ROUND(t,0))&lt;0.001,pos_x,NA())</f>
        <v>#N/A</v>
      </c>
      <c r="AE106" s="458" t="n">
        <f aca="false">IF(t&lt;T_para, pos_z, NA())</f>
        <v>37.3443610895686</v>
      </c>
      <c r="AF106" s="444"/>
      <c r="AG106" s="450" t="n">
        <f aca="false">IF(AND(L105&lt;L_rampe,Poussee&lt;Poids*SIN(M105)),0,(-W105+Poussee)/m-Poids*SIN(M105)/m)</f>
        <v>68.1590054037863</v>
      </c>
      <c r="AH106" s="449" t="n">
        <f aca="false">IF(AND(L105&lt;L_rampe,Poussee&lt;Poids*SIN(M105)), g*SIN(M105), (-W105+Poussee)/m)</f>
        <v>77.772592213868</v>
      </c>
    </row>
    <row r="107" customFormat="false" ht="12" hidden="false" customHeight="false" outlineLevel="0" collapsed="false">
      <c r="A107" s="448" t="n">
        <f aca="false">IF(B106+0.01&lt;=T_ini+ROUNDUP(Temps_fin_propu,0), 0.01, IF(K106&gt;0, 0.1, 0.0001))</f>
        <v>0.01</v>
      </c>
      <c r="B107" s="449" t="n">
        <f aca="false">B106+pas</f>
        <v>1.03</v>
      </c>
      <c r="C107" s="432"/>
      <c r="D107" s="450" t="n">
        <f aca="false">IF(AND(L106&lt;L_rampe,Poussee&lt;Poids*SIN(M106)),0,(-W106+Poussee)/m*COS(M106)-U106/m*SIN(M106))</f>
        <v>15.4708740812619</v>
      </c>
      <c r="E107" s="451" t="n">
        <f aca="false">IF(AND(L106&lt;L_rampe,Poussee&lt;Poids*SIN(M106)),0,(-W106+Poussee)/m*SIN(M106)+U106/m*COS(M106)-Poids/m)</f>
        <v>66.233954284314</v>
      </c>
      <c r="F107" s="449" t="n">
        <f aca="false">SQRT(acc_x^2+acc_z^2)</f>
        <v>68.0167967856092</v>
      </c>
      <c r="G107" s="450" t="n">
        <f aca="false">G106+acc_x*pas</f>
        <v>14.9468357801331</v>
      </c>
      <c r="H107" s="451" t="n">
        <f aca="false">H106+acc_z*pas</f>
        <v>73.3700499435281</v>
      </c>
      <c r="I107" s="449" t="n">
        <f aca="false">SQRT(vit_x^2+vit_z^2)</f>
        <v>74.8770467403334</v>
      </c>
      <c r="J107" s="450" t="n">
        <f aca="false">J106+0.5*(vit_x+G106)*pas*(K106&gt;=0)</f>
        <v>7.31878455152108</v>
      </c>
      <c r="K107" s="451" t="n">
        <f aca="false">K106+0.5*(vit_z+H106)*pas</f>
        <v>38.0747498912897</v>
      </c>
      <c r="L107" s="449" t="n">
        <f aca="false">SQRT(pos_x^2+pos_z^2)</f>
        <v>38.7717833816791</v>
      </c>
      <c r="M107" s="450" t="n">
        <f aca="false">IF(AND(L106&gt;L_rampe,G107&gt;0),ATAN2(G107,H107),$M$4)</f>
        <v>1.36982786603954</v>
      </c>
      <c r="N107" s="449" t="n">
        <f aca="false">DEGREES(Beta)</f>
        <v>78.4853553834778</v>
      </c>
      <c r="O107" s="438"/>
      <c r="P107" s="452" t="n">
        <f aca="false">MATCH(t-pas/2-T_ini,CdP_t)</f>
        <v>4</v>
      </c>
      <c r="Q107" s="449" t="n">
        <f aca="false">(INDEX(CdP,2,i_P+1)-INDEX(CdP,2,i_P+0))/(INDEX(CdP,1,i_P+1)-INDEX(CdP,1,i_P+0))*(t-pas/2-T_ini-INDEX(CdP,1,i_P+0))+INDEX(CdP,2,i_P+0)</f>
        <v>735</v>
      </c>
      <c r="R107" s="450" t="n">
        <f aca="false">Poussee/(g*ISP)</f>
        <v>0.368862255085334</v>
      </c>
      <c r="S107" s="451" t="n">
        <f aca="false">S106-Débit*pas</f>
        <v>9.27892631839757</v>
      </c>
      <c r="T107" s="449" t="n">
        <f aca="false">m*g</f>
        <v>91.0262671834801</v>
      </c>
      <c r="U107" s="453" t="n">
        <f aca="false">IF(pos_xz&lt;L_rampe,Poids*COS(Beta),0)</f>
        <v>0</v>
      </c>
      <c r="V107" s="450" t="n">
        <f aca="false">Rho_moyen*(20000-Alt_rampe-pos_z)/(20000+Alt_rampe+pos_z)</f>
        <v>1.22034470559682</v>
      </c>
      <c r="W107" s="449" t="n">
        <f aca="false">1/2*Rho*Sref*Cx*vit_xz^2</f>
        <v>15.2130457745412</v>
      </c>
      <c r="X107" s="438"/>
      <c r="Y107" s="454" t="str">
        <f aca="false">IF(AND(pos_z&lt;=0,K106&gt;0),"Impact balistique","") &amp; IF(AND(H108&lt;0,vit_z&gt;=0),"Apogée","") &amp; IF(AND(Poussee=0,Q106&gt;0),"Fin de propulsion","") &amp; IF(AND(L108&gt;L_rampe,pos_xz&lt;=L_rampe),"Sortie de rampe","")</f>
        <v/>
      </c>
      <c r="Z107" s="455" t="str">
        <f aca="false">IF(ABS(t-T_para)&lt;pas/2,"Para","")</f>
        <v/>
      </c>
      <c r="AA107" s="456" t="str">
        <f aca="false">IF(ABS(t-T_satellite)&lt;pas/2,"Satellite","")</f>
        <v/>
      </c>
      <c r="AB107" s="444"/>
      <c r="AC107" s="452" t="e">
        <f aca="false">IF(ABS(t-ROUND(t,0))&lt;0.001,t,NA())</f>
        <v>#N/A</v>
      </c>
      <c r="AD107" s="457" t="e">
        <f aca="false">IF(ABS(t-ROUND(t,0))&lt;0.001,pos_x,NA())</f>
        <v>#N/A</v>
      </c>
      <c r="AE107" s="458" t="n">
        <f aca="false">IF(t&lt;T_para, pos_z, NA())</f>
        <v>38.0747498912897</v>
      </c>
      <c r="AF107" s="444"/>
      <c r="AG107" s="450" t="n">
        <f aca="false">IF(AND(L106&lt;L_rampe,Poussee&lt;Poids*SIN(M106)),0,(-W106+Poussee)/m-Poids*SIN(M106)/m)</f>
        <v>67.988673350902</v>
      </c>
      <c r="AH107" s="449" t="n">
        <f aca="false">IF(AND(L106&lt;L_rampe,Poussee&lt;Poids*SIN(M106)), g*SIN(M106), (-W106+Poussee)/m)</f>
        <v>77.6017456506817</v>
      </c>
    </row>
    <row r="108" customFormat="false" ht="12" hidden="false" customHeight="false" outlineLevel="0" collapsed="false">
      <c r="A108" s="448" t="n">
        <f aca="false">IF(B107+0.01&lt;=T_ini+ROUNDUP(Temps_fin_propu,0), 0.01, IF(K107&gt;0, 0.1, 0.0001))</f>
        <v>0.01</v>
      </c>
      <c r="B108" s="449" t="n">
        <f aca="false">B107+pas</f>
        <v>1.04</v>
      </c>
      <c r="C108" s="432"/>
      <c r="D108" s="450" t="n">
        <f aca="false">IF(AND(L107&lt;L_rampe,Poussee&lt;Poids*SIN(M107)),0,(-W107+Poussee)/m*COS(M107)-U107/m*SIN(M107))</f>
        <v>15.4565528802215</v>
      </c>
      <c r="E108" s="451" t="n">
        <f aca="false">IF(AND(L107&lt;L_rampe,Poussee&lt;Poids*SIN(M107)),0,(-W107+Poussee)/m*SIN(M107)+U107/m*COS(M107)-Poids/m)</f>
        <v>66.0621159085706</v>
      </c>
      <c r="F108" s="449" t="n">
        <f aca="false">SQRT(acc_x^2+acc_z^2)</f>
        <v>67.8462098075972</v>
      </c>
      <c r="G108" s="450" t="n">
        <f aca="false">G107+acc_x*pas</f>
        <v>15.1014013089353</v>
      </c>
      <c r="H108" s="451" t="n">
        <f aca="false">H107+acc_z*pas</f>
        <v>74.0306711026138</v>
      </c>
      <c r="I108" s="449" t="n">
        <f aca="false">SQRT(vit_x^2+vit_z^2)</f>
        <v>75.5552287098444</v>
      </c>
      <c r="J108" s="450" t="n">
        <f aca="false">J107+0.5*(vit_x+G107)*pas*(K107&gt;=0)</f>
        <v>7.46902573696642</v>
      </c>
      <c r="K108" s="451" t="n">
        <f aca="false">K107+0.5*(vit_z+H107)*pas</f>
        <v>38.8117534965204</v>
      </c>
      <c r="L108" s="449" t="n">
        <f aca="false">SQRT(pos_x^2+pos_z^2)</f>
        <v>39.5238985290435</v>
      </c>
      <c r="M108" s="450" t="n">
        <f aca="false">IF(AND(L107&gt;L_rampe,G108&gt;0),ATAN2(G108,H108),$M$4)</f>
        <v>1.36956868391601</v>
      </c>
      <c r="N108" s="449" t="n">
        <f aca="false">DEGREES(Beta)</f>
        <v>78.4705053416739</v>
      </c>
      <c r="O108" s="438"/>
      <c r="P108" s="452" t="n">
        <f aca="false">MATCH(t-pas/2-T_ini,CdP_t)</f>
        <v>4</v>
      </c>
      <c r="Q108" s="449" t="n">
        <f aca="false">(INDEX(CdP,2,i_P+1)-INDEX(CdP,2,i_P+0))/(INDEX(CdP,1,i_P+1)-INDEX(CdP,1,i_P+0))*(t-pas/2-T_ini-INDEX(CdP,1,i_P+0))+INDEX(CdP,2,i_P+0)</f>
        <v>733.4</v>
      </c>
      <c r="R108" s="450" t="n">
        <f aca="false">Poussee/(g*ISP)</f>
        <v>0.368059289632087</v>
      </c>
      <c r="S108" s="451" t="n">
        <f aca="false">S107-Débit*pas</f>
        <v>9.27524572550125</v>
      </c>
      <c r="T108" s="449" t="n">
        <f aca="false">m*g</f>
        <v>90.9901605671672</v>
      </c>
      <c r="U108" s="453" t="n">
        <f aca="false">IF(pos_xz&lt;L_rampe,Poids*COS(Beta),0)</f>
        <v>0</v>
      </c>
      <c r="V108" s="450" t="n">
        <f aca="false">Rho_moyen*(20000-Alt_rampe-pos_z)/(20000+Alt_rampe+pos_z)</f>
        <v>1.22025476873399</v>
      </c>
      <c r="W108" s="449" t="n">
        <f aca="false">1/2*Rho*Sref*Cx*vit_xz^2</f>
        <v>15.488729658192</v>
      </c>
      <c r="X108" s="438"/>
      <c r="Y108" s="454" t="str">
        <f aca="false">IF(AND(pos_z&lt;=0,K107&gt;0),"Impact balistique","") &amp; IF(AND(H109&lt;0,vit_z&gt;=0),"Apogée","") &amp; IF(AND(Poussee=0,Q107&gt;0),"Fin de propulsion","") &amp; IF(AND(L109&gt;L_rampe,pos_xz&lt;=L_rampe),"Sortie de rampe","")</f>
        <v/>
      </c>
      <c r="Z108" s="455" t="str">
        <f aca="false">IF(ABS(t-T_para)&lt;pas/2,"Para","")</f>
        <v/>
      </c>
      <c r="AA108" s="456" t="str">
        <f aca="false">IF(ABS(t-T_satellite)&lt;pas/2,"Satellite","")</f>
        <v/>
      </c>
      <c r="AB108" s="444"/>
      <c r="AC108" s="452" t="e">
        <f aca="false">IF(ABS(t-ROUND(t,0))&lt;0.001,t,NA())</f>
        <v>#N/A</v>
      </c>
      <c r="AD108" s="457" t="e">
        <f aca="false">IF(ABS(t-ROUND(t,0))&lt;0.001,pos_x,NA())</f>
        <v>#N/A</v>
      </c>
      <c r="AE108" s="458" t="n">
        <f aca="false">IF(t&lt;T_para, pos_z, NA())</f>
        <v>38.8117534965204</v>
      </c>
      <c r="AF108" s="444"/>
      <c r="AG108" s="450" t="n">
        <f aca="false">IF(AND(L107&lt;L_rampe,Poussee&lt;Poids*SIN(M107)),0,(-W107+Poussee)/m-Poids*SIN(M107)/m)</f>
        <v>67.8179431785636</v>
      </c>
      <c r="AH108" s="449" t="n">
        <f aca="false">IF(AND(L107&lt;L_rampe,Poussee&lt;Poids*SIN(M107)), g*SIN(M107), (-W107+Poussee)/m)</f>
        <v>77.4305043208596</v>
      </c>
    </row>
    <row r="109" customFormat="false" ht="12" hidden="false" customHeight="false" outlineLevel="0" collapsed="false">
      <c r="A109" s="448" t="n">
        <f aca="false">IF(B108+0.01&lt;=T_ini+ROUNDUP(Temps_fin_propu,0), 0.01, IF(K108&gt;0, 0.1, 0.0001))</f>
        <v>0.01</v>
      </c>
      <c r="B109" s="449" t="n">
        <f aca="false">B108+pas</f>
        <v>1.05</v>
      </c>
      <c r="C109" s="432"/>
      <c r="D109" s="450" t="n">
        <f aca="false">IF(AND(L108&lt;L_rampe,Poussee&lt;Poids*SIN(M108)),0,(-W108+Poussee)/m*COS(M108)-U108/m*SIN(M108))</f>
        <v>15.441912202875</v>
      </c>
      <c r="E109" s="451" t="n">
        <f aca="false">IF(AND(L108&lt;L_rampe,Poussee&lt;Poids*SIN(M108)),0,(-W108+Poussee)/m*SIN(M108)+U108/m*COS(M108)-Poids/m)</f>
        <v>65.8899367211089</v>
      </c>
      <c r="F109" s="449" t="n">
        <f aca="false">SQRT(acc_x^2+acc_z^2)</f>
        <v>67.6752274735227</v>
      </c>
      <c r="G109" s="450" t="n">
        <f aca="false">G108+acc_x*pas</f>
        <v>15.2558204309641</v>
      </c>
      <c r="H109" s="451" t="n">
        <f aca="false">H108+acc_z*pas</f>
        <v>74.6895704698249</v>
      </c>
      <c r="I109" s="449" t="n">
        <f aca="false">SQRT(vit_x^2+vit_z^2)</f>
        <v>76.2316994037832</v>
      </c>
      <c r="J109" s="450" t="n">
        <f aca="false">J108+0.5*(vit_x+G108)*pas*(K108&gt;=0)</f>
        <v>7.62081184566592</v>
      </c>
      <c r="K109" s="451" t="n">
        <f aca="false">K108+0.5*(vit_z+H108)*pas</f>
        <v>39.5553547043826</v>
      </c>
      <c r="L109" s="449" t="n">
        <f aca="false">SQRT(pos_x^2+pos_z^2)</f>
        <v>40.2827861372145</v>
      </c>
      <c r="M109" s="450" t="n">
        <f aca="false">IF(AND(L108&gt;L_rampe,G109&gt;0),ATAN2(G109,H109),$M$4)</f>
        <v>1.36931147493138</v>
      </c>
      <c r="N109" s="449" t="n">
        <f aca="false">DEGREES(Beta)</f>
        <v>78.4557683524016</v>
      </c>
      <c r="O109" s="438"/>
      <c r="P109" s="452" t="n">
        <f aca="false">MATCH(t-pas/2-T_ini,CdP_t)</f>
        <v>4</v>
      </c>
      <c r="Q109" s="449" t="n">
        <f aca="false">(INDEX(CdP,2,i_P+1)-INDEX(CdP,2,i_P+0))/(INDEX(CdP,1,i_P+1)-INDEX(CdP,1,i_P+0))*(t-pas/2-T_ini-INDEX(CdP,1,i_P+0))+INDEX(CdP,2,i_P+0)</f>
        <v>731.8</v>
      </c>
      <c r="R109" s="450" t="n">
        <f aca="false">Poussee/(g*ISP)</f>
        <v>0.36725632417884</v>
      </c>
      <c r="S109" s="451" t="n">
        <f aca="false">S108-Débit*pas</f>
        <v>9.27157316225946</v>
      </c>
      <c r="T109" s="449" t="n">
        <f aca="false">m*g</f>
        <v>90.9541327217653</v>
      </c>
      <c r="U109" s="453" t="n">
        <f aca="false">IF(pos_xz&lt;L_rampe,Poids*COS(Beta),0)</f>
        <v>0</v>
      </c>
      <c r="V109" s="450" t="n">
        <f aca="false">Rho_moyen*(20000-Alt_rampe-pos_z)/(20000+Alt_rampe+pos_z)</f>
        <v>1.22016403346729</v>
      </c>
      <c r="W109" s="449" t="n">
        <f aca="false">1/2*Rho*Sref*Cx*vit_xz^2</f>
        <v>15.7661501789366</v>
      </c>
      <c r="X109" s="438"/>
      <c r="Y109" s="454" t="str">
        <f aca="false">IF(AND(pos_z&lt;=0,K108&gt;0),"Impact balistique","") &amp; IF(AND(H110&lt;0,vit_z&gt;=0),"Apogée","") &amp; IF(AND(Poussee=0,Q108&gt;0),"Fin de propulsion","") &amp; IF(AND(L110&gt;L_rampe,pos_xz&lt;=L_rampe),"Sortie de rampe","")</f>
        <v/>
      </c>
      <c r="Z109" s="455" t="str">
        <f aca="false">IF(ABS(t-T_para)&lt;pas/2,"Para","")</f>
        <v/>
      </c>
      <c r="AA109" s="456" t="str">
        <f aca="false">IF(ABS(t-T_satellite)&lt;pas/2,"Satellite","")</f>
        <v/>
      </c>
      <c r="AB109" s="444"/>
      <c r="AC109" s="452" t="e">
        <f aca="false">IF(ABS(t-ROUND(t,0))&lt;0.001,t,NA())</f>
        <v>#N/A</v>
      </c>
      <c r="AD109" s="457" t="e">
        <f aca="false">IF(ABS(t-ROUND(t,0))&lt;0.001,pos_x,NA())</f>
        <v>#N/A</v>
      </c>
      <c r="AE109" s="458" t="n">
        <f aca="false">IF(t&lt;T_para, pos_z, NA())</f>
        <v>39.5553547043826</v>
      </c>
      <c r="AF109" s="444"/>
      <c r="AG109" s="450" t="n">
        <f aca="false">IF(AND(L108&lt;L_rampe,Poussee&lt;Poids*SIN(M108)),0,(-W108+Poussee)/m-Poids*SIN(M108)/m)</f>
        <v>67.6468172329081</v>
      </c>
      <c r="AH109" s="449" t="n">
        <f aca="false">IF(AND(L108&lt;L_rampe,Poussee&lt;Poids*SIN(M108)), g*SIN(M108), (-W108+Poussee)/m)</f>
        <v>77.2588705072835</v>
      </c>
    </row>
    <row r="110" customFormat="false" ht="12" hidden="false" customHeight="false" outlineLevel="0" collapsed="false">
      <c r="A110" s="448" t="n">
        <f aca="false">IF(B109+0.01&lt;=T_ini+ROUNDUP(Temps_fin_propu,0), 0.01, IF(K109&gt;0, 0.1, 0.0001))</f>
        <v>0.01</v>
      </c>
      <c r="B110" s="449" t="n">
        <f aca="false">B109+pas</f>
        <v>1.06</v>
      </c>
      <c r="C110" s="432"/>
      <c r="D110" s="450" t="n">
        <f aca="false">IF(AND(L109&lt;L_rampe,Poussee&lt;Poids*SIN(M109)),0,(-W109+Poussee)/m*COS(M109)-U109/m*SIN(M109))</f>
        <v>15.4269562002293</v>
      </c>
      <c r="E110" s="451" t="n">
        <f aca="false">IF(AND(L109&lt;L_rampe,Poussee&lt;Poids*SIN(M109)),0,(-W109+Poussee)/m*SIN(M109)+U109/m*COS(M109)-Poids/m)</f>
        <v>65.7174183690108</v>
      </c>
      <c r="F110" s="449" t="n">
        <f aca="false">SQRT(acc_x^2+acc_z^2)</f>
        <v>67.5038521470545</v>
      </c>
      <c r="G110" s="450" t="n">
        <f aca="false">G109+acc_x*pas</f>
        <v>15.4100899929664</v>
      </c>
      <c r="H110" s="451" t="n">
        <f aca="false">H109+acc_z*pas</f>
        <v>75.346744653515</v>
      </c>
      <c r="I110" s="449" t="n">
        <f aca="false">SQRT(vit_x^2+vit_z^2)</f>
        <v>76.9064548882167</v>
      </c>
      <c r="J110" s="450" t="n">
        <f aca="false">J109+0.5*(vit_x+G109)*pas*(K109&gt;=0)</f>
        <v>7.77414139778557</v>
      </c>
      <c r="K110" s="451" t="n">
        <f aca="false">K109+0.5*(vit_z+H109)*pas</f>
        <v>40.3055362799993</v>
      </c>
      <c r="L110" s="449" t="n">
        <f aca="false">SQRT(pos_x^2+pos_z^2)</f>
        <v>41.0484290721472</v>
      </c>
      <c r="M110" s="450" t="n">
        <f aca="false">IF(AND(L109&gt;L_rampe,G110&gt;0),ATAN2(G110,H110),$M$4)</f>
        <v>1.3690562011648</v>
      </c>
      <c r="N110" s="449" t="n">
        <f aca="false">DEGREES(Beta)</f>
        <v>78.4411422429565</v>
      </c>
      <c r="O110" s="438"/>
      <c r="P110" s="452" t="n">
        <f aca="false">MATCH(t-pas/2-T_ini,CdP_t)</f>
        <v>4</v>
      </c>
      <c r="Q110" s="449" t="n">
        <f aca="false">(INDEX(CdP,2,i_P+1)-INDEX(CdP,2,i_P+0))/(INDEX(CdP,1,i_P+1)-INDEX(CdP,1,i_P+0))*(t-pas/2-T_ini-INDEX(CdP,1,i_P+0))+INDEX(CdP,2,i_P+0)</f>
        <v>730.2</v>
      </c>
      <c r="R110" s="450" t="n">
        <f aca="false">Poussee/(g*ISP)</f>
        <v>0.366453358725593</v>
      </c>
      <c r="S110" s="451" t="n">
        <f aca="false">S109-Débit*pas</f>
        <v>9.2679086286722</v>
      </c>
      <c r="T110" s="449" t="n">
        <f aca="false">m*g</f>
        <v>90.9181836472743</v>
      </c>
      <c r="U110" s="453" t="n">
        <f aca="false">IF(pos_xz&lt;L_rampe,Poids*COS(Beta),0)</f>
        <v>0</v>
      </c>
      <c r="V110" s="450" t="n">
        <f aca="false">Rho_moyen*(20000-Alt_rampe-pos_z)/(20000+Alt_rampe+pos_z)</f>
        <v>1.22007250207801</v>
      </c>
      <c r="W110" s="449" t="n">
        <f aca="false">1/2*Rho*Sref*Cx*vit_xz^2</f>
        <v>16.0452859369464</v>
      </c>
      <c r="X110" s="438"/>
      <c r="Y110" s="454" t="str">
        <f aca="false">IF(AND(pos_z&lt;=0,K109&gt;0),"Impact balistique","") &amp; IF(AND(H111&lt;0,vit_z&gt;=0),"Apogée","") &amp; IF(AND(Poussee=0,Q109&gt;0),"Fin de propulsion","") &amp; IF(AND(L111&gt;L_rampe,pos_xz&lt;=L_rampe),"Sortie de rampe","")</f>
        <v/>
      </c>
      <c r="Z110" s="455" t="str">
        <f aca="false">IF(ABS(t-T_para)&lt;pas/2,"Para","")</f>
        <v/>
      </c>
      <c r="AA110" s="456" t="str">
        <f aca="false">IF(ABS(t-T_satellite)&lt;pas/2,"Satellite","")</f>
        <v/>
      </c>
      <c r="AB110" s="444"/>
      <c r="AC110" s="452" t="e">
        <f aca="false">IF(ABS(t-ROUND(t,0))&lt;0.001,t,NA())</f>
        <v>#N/A</v>
      </c>
      <c r="AD110" s="457" t="e">
        <f aca="false">IF(ABS(t-ROUND(t,0))&lt;0.001,pos_x,NA())</f>
        <v>#N/A</v>
      </c>
      <c r="AE110" s="458" t="n">
        <f aca="false">IF(t&lt;T_para, pos_z, NA())</f>
        <v>40.3055362799993</v>
      </c>
      <c r="AF110" s="444"/>
      <c r="AG110" s="450" t="n">
        <f aca="false">IF(AND(L109&lt;L_rampe,Poussee&lt;Poids*SIN(M109)),0,(-W109+Poussee)/m-Poids*SIN(M109)/m)</f>
        <v>67.4752978640664</v>
      </c>
      <c r="AH110" s="449" t="n">
        <f aca="false">IF(AND(L109&lt;L_rampe,Poussee&lt;Poids*SIN(M109)), g*SIN(M109), (-W109+Poussee)/m)</f>
        <v>77.0868464985524</v>
      </c>
    </row>
    <row r="111" customFormat="false" ht="12" hidden="false" customHeight="false" outlineLevel="0" collapsed="false">
      <c r="A111" s="448" t="n">
        <f aca="false">IF(B110+0.01&lt;=T_ini+ROUNDUP(Temps_fin_propu,0), 0.01, IF(K110&gt;0, 0.1, 0.0001))</f>
        <v>0.01</v>
      </c>
      <c r="B111" s="449" t="n">
        <f aca="false">B110+pas</f>
        <v>1.07</v>
      </c>
      <c r="C111" s="432"/>
      <c r="D111" s="450" t="n">
        <f aca="false">IF(AND(L110&lt;L_rampe,Poussee&lt;Poids*SIN(M110)),0,(-W110+Poussee)/m*COS(M110)-U110/m*SIN(M110))</f>
        <v>15.4116889212401</v>
      </c>
      <c r="E111" s="451" t="n">
        <f aca="false">IF(AND(L110&lt;L_rampe,Poussee&lt;Poids*SIN(M110)),0,(-W110+Poussee)/m*SIN(M110)+U110/m*COS(M110)-Poids/m)</f>
        <v>65.544562520926</v>
      </c>
      <c r="F111" s="449" t="n">
        <f aca="false">SQRT(acc_x^2+acc_z^2)</f>
        <v>67.3320861956961</v>
      </c>
      <c r="G111" s="450" t="n">
        <f aca="false">G110+acc_x*pas</f>
        <v>15.5642068821788</v>
      </c>
      <c r="H111" s="451" t="n">
        <f aca="false">H110+acc_z*pas</f>
        <v>76.0021902787242</v>
      </c>
      <c r="I111" s="449" t="n">
        <f aca="false">SQRT(vit_x^2+vit_z^2)</f>
        <v>77.5794912527445</v>
      </c>
      <c r="J111" s="450" t="n">
        <f aca="false">J110+0.5*(vit_x+G110)*pas*(K110&gt;=0)</f>
        <v>7.9290128821613</v>
      </c>
      <c r="K111" s="451" t="n">
        <f aca="false">K110+0.5*(vit_z+H110)*pas</f>
        <v>41.0622809546605</v>
      </c>
      <c r="L111" s="449" t="n">
        <f aca="false">SQRT(pos_x^2+pos_z^2)</f>
        <v>41.8208101605523</v>
      </c>
      <c r="M111" s="450" t="n">
        <f aca="false">IF(AND(L110&gt;L_rampe,G111&gt;0),ATAN2(G111,H111),$M$4)</f>
        <v>1.36880282575314</v>
      </c>
      <c r="N111" s="449" t="n">
        <f aca="false">DEGREES(Beta)</f>
        <v>78.426624901236</v>
      </c>
      <c r="O111" s="438"/>
      <c r="P111" s="452" t="n">
        <f aca="false">MATCH(t-pas/2-T_ini,CdP_t)</f>
        <v>4</v>
      </c>
      <c r="Q111" s="449" t="n">
        <f aca="false">(INDEX(CdP,2,i_P+1)-INDEX(CdP,2,i_P+0))/(INDEX(CdP,1,i_P+1)-INDEX(CdP,1,i_P+0))*(t-pas/2-T_ini-INDEX(CdP,1,i_P+0))+INDEX(CdP,2,i_P+0)</f>
        <v>728.6</v>
      </c>
      <c r="R111" s="450" t="n">
        <f aca="false">Poussee/(g*ISP)</f>
        <v>0.365650393272347</v>
      </c>
      <c r="S111" s="451" t="n">
        <f aca="false">S110-Débit*pas</f>
        <v>9.26425212473948</v>
      </c>
      <c r="T111" s="449" t="n">
        <f aca="false">m*g</f>
        <v>90.8823133436943</v>
      </c>
      <c r="U111" s="453" t="n">
        <f aca="false">IF(pos_xz&lt;L_rampe,Poids*COS(Beta),0)</f>
        <v>0</v>
      </c>
      <c r="V111" s="450" t="n">
        <f aca="false">Rho_moyen*(20000-Alt_rampe-pos_z)/(20000+Alt_rampe+pos_z)</f>
        <v>1.21998017685248</v>
      </c>
      <c r="W111" s="449" t="n">
        <f aca="false">1/2*Rho*Sref*Cx*vit_xz^2</f>
        <v>16.3261155338615</v>
      </c>
      <c r="X111" s="438"/>
      <c r="Y111" s="454" t="str">
        <f aca="false">IF(AND(pos_z&lt;=0,K110&gt;0),"Impact balistique","") &amp; IF(AND(H112&lt;0,vit_z&gt;=0),"Apogée","") &amp; IF(AND(Poussee=0,Q110&gt;0),"Fin de propulsion","") &amp; IF(AND(L112&gt;L_rampe,pos_xz&lt;=L_rampe),"Sortie de rampe","")</f>
        <v/>
      </c>
      <c r="Z111" s="455" t="str">
        <f aca="false">IF(ABS(t-T_para)&lt;pas/2,"Para","")</f>
        <v/>
      </c>
      <c r="AA111" s="456" t="str">
        <f aca="false">IF(ABS(t-T_satellite)&lt;pas/2,"Satellite","")</f>
        <v/>
      </c>
      <c r="AB111" s="444"/>
      <c r="AC111" s="452" t="e">
        <f aca="false">IF(ABS(t-ROUND(t,0))&lt;0.001,t,NA())</f>
        <v>#N/A</v>
      </c>
      <c r="AD111" s="457" t="e">
        <f aca="false">IF(ABS(t-ROUND(t,0))&lt;0.001,pos_x,NA())</f>
        <v>#N/A</v>
      </c>
      <c r="AE111" s="458" t="n">
        <f aca="false">IF(t&lt;T_para, pos_z, NA())</f>
        <v>41.0622809546605</v>
      </c>
      <c r="AF111" s="444"/>
      <c r="AG111" s="450" t="n">
        <f aca="false">IF(AND(L110&lt;L_rampe,Poussee&lt;Poids*SIN(M110)),0,(-W110+Poussee)/m-Poids*SIN(M110)/m)</f>
        <v>67.3033874261122</v>
      </c>
      <c r="AH111" s="449" t="n">
        <f aca="false">IF(AND(L110&lt;L_rampe,Poussee&lt;Poids*SIN(M110)), g*SIN(M110), (-W110+Poussee)/m)</f>
        <v>76.9144345888678</v>
      </c>
    </row>
    <row r="112" customFormat="false" ht="12" hidden="false" customHeight="false" outlineLevel="0" collapsed="false">
      <c r="A112" s="448" t="n">
        <f aca="false">IF(B111+0.01&lt;=T_ini+ROUNDUP(Temps_fin_propu,0), 0.01, IF(K111&gt;0, 0.1, 0.0001))</f>
        <v>0.01</v>
      </c>
      <c r="B112" s="449" t="n">
        <f aca="false">B111+pas</f>
        <v>1.08</v>
      </c>
      <c r="C112" s="432"/>
      <c r="D112" s="450" t="n">
        <f aca="false">IF(AND(L111&lt;L_rampe,Poussee&lt;Poids*SIN(M111)),0,(-W111+Poussee)/m*COS(M111)-U111/m*SIN(M111))</f>
        <v>15.3961143166885</v>
      </c>
      <c r="E112" s="451" t="n">
        <f aca="false">IF(AND(L111&lt;L_rampe,Poussee&lt;Poids*SIN(M111)),0,(-W111+Poussee)/m*SIN(M111)+U111/m*COS(M111)-Poids/m)</f>
        <v>65.3713708663673</v>
      </c>
      <c r="F112" s="449" t="n">
        <f aca="false">SQRT(acc_x^2+acc_z^2)</f>
        <v>67.159931990739</v>
      </c>
      <c r="G112" s="450" t="n">
        <f aca="false">G111+acc_x*pas</f>
        <v>15.7181680253457</v>
      </c>
      <c r="H112" s="451" t="n">
        <f aca="false">H111+acc_z*pas</f>
        <v>76.6559039873879</v>
      </c>
      <c r="I112" s="449" t="n">
        <f aca="false">SQRT(vit_x^2+vit_z^2)</f>
        <v>78.2508046105382</v>
      </c>
      <c r="J112" s="450" t="n">
        <f aca="false">J111+0.5*(vit_x+G111)*pas*(K111&gt;=0)</f>
        <v>8.08542475669892</v>
      </c>
      <c r="K112" s="451" t="n">
        <f aca="false">K111+0.5*(vit_z+H111)*pas</f>
        <v>41.825571425991</v>
      </c>
      <c r="L112" s="449" t="n">
        <f aca="false">SQRT(pos_x^2+pos_z^2)</f>
        <v>42.5999121901315</v>
      </c>
      <c r="M112" s="450" t="n">
        <f aca="false">IF(AND(L111&gt;L_rampe,G112&gt;0),ATAN2(G112,H112),$M$4)</f>
        <v>1.36855131285143</v>
      </c>
      <c r="N112" s="449" t="n">
        <f aca="false">DEGREES(Beta)</f>
        <v>78.4122142734749</v>
      </c>
      <c r="O112" s="438"/>
      <c r="P112" s="452" t="n">
        <f aca="false">MATCH(t-pas/2-T_ini,CdP_t)</f>
        <v>4</v>
      </c>
      <c r="Q112" s="449" t="n">
        <f aca="false">(INDEX(CdP,2,i_P+1)-INDEX(CdP,2,i_P+0))/(INDEX(CdP,1,i_P+1)-INDEX(CdP,1,i_P+0))*(t-pas/2-T_ini-INDEX(CdP,1,i_P+0))+INDEX(CdP,2,i_P+0)</f>
        <v>727</v>
      </c>
      <c r="R112" s="450" t="n">
        <f aca="false">Poussee/(g*ISP)</f>
        <v>0.3648474278191</v>
      </c>
      <c r="S112" s="451" t="n">
        <f aca="false">S111-Débit*pas</f>
        <v>9.26060365046129</v>
      </c>
      <c r="T112" s="449" t="n">
        <f aca="false">m*g</f>
        <v>90.8465218110252</v>
      </c>
      <c r="U112" s="453" t="n">
        <f aca="false">IF(pos_xz&lt;L_rampe,Poids*COS(Beta),0)</f>
        <v>0</v>
      </c>
      <c r="V112" s="450" t="n">
        <f aca="false">Rho_moyen*(20000-Alt_rampe-pos_z)/(20000+Alt_rampe+pos_z)</f>
        <v>1.219887060082</v>
      </c>
      <c r="W112" s="449" t="n">
        <f aca="false">1/2*Rho*Sref*Cx*vit_xz^2</f>
        <v>16.6086175737742</v>
      </c>
      <c r="X112" s="438"/>
      <c r="Y112" s="454" t="str">
        <f aca="false">IF(AND(pos_z&lt;=0,K111&gt;0),"Impact balistique","") &amp; IF(AND(H113&lt;0,vit_z&gt;=0),"Apogée","") &amp; IF(AND(Poussee=0,Q111&gt;0),"Fin de propulsion","") &amp; IF(AND(L113&gt;L_rampe,pos_xz&lt;=L_rampe),"Sortie de rampe","")</f>
        <v/>
      </c>
      <c r="Z112" s="455" t="str">
        <f aca="false">IF(ABS(t-T_para)&lt;pas/2,"Para","")</f>
        <v/>
      </c>
      <c r="AA112" s="456" t="str">
        <f aca="false">IF(ABS(t-T_satellite)&lt;pas/2,"Satellite","")</f>
        <v/>
      </c>
      <c r="AB112" s="444"/>
      <c r="AC112" s="452" t="e">
        <f aca="false">IF(ABS(t-ROUND(t,0))&lt;0.001,t,NA())</f>
        <v>#N/A</v>
      </c>
      <c r="AD112" s="457" t="e">
        <f aca="false">IF(ABS(t-ROUND(t,0))&lt;0.001,pos_x,NA())</f>
        <v>#N/A</v>
      </c>
      <c r="AE112" s="458" t="n">
        <f aca="false">IF(t&lt;T_para, pos_z, NA())</f>
        <v>41.825571425991</v>
      </c>
      <c r="AF112" s="444"/>
      <c r="AG112" s="450" t="n">
        <f aca="false">IF(AND(L111&lt;L_rampe,Poussee&lt;Poids*SIN(M111)),0,(-W111+Poussee)/m-Poids*SIN(M111)/m)</f>
        <v>67.1310882770074</v>
      </c>
      <c r="AH112" s="449" t="n">
        <f aca="false">IF(AND(L111&lt;L_rampe,Poussee&lt;Poids*SIN(M111)), g*SIN(M111), (-W111+Poussee)/m)</f>
        <v>76.7416370779176</v>
      </c>
    </row>
    <row r="113" customFormat="false" ht="12" hidden="false" customHeight="false" outlineLevel="0" collapsed="false">
      <c r="A113" s="448" t="n">
        <f aca="false">IF(B112+0.01&lt;=T_ini+ROUNDUP(Temps_fin_propu,0), 0.01, IF(K112&gt;0, 0.1, 0.0001))</f>
        <v>0.01</v>
      </c>
      <c r="B113" s="449" t="n">
        <f aca="false">B112+pas</f>
        <v>1.09</v>
      </c>
      <c r="C113" s="432"/>
      <c r="D113" s="450" t="n">
        <f aca="false">IF(AND(L112&lt;L_rampe,Poussee&lt;Poids*SIN(M112)),0,(-W112+Poussee)/m*COS(M112)-U112/m*SIN(M112))</f>
        <v>15.3802362428754</v>
      </c>
      <c r="E113" s="451" t="n">
        <f aca="false">IF(AND(L112&lt;L_rampe,Poussee&lt;Poids*SIN(M112)),0,(-W112+Poussee)/m*SIN(M112)+U112/m*COS(M112)-Poids/m)</f>
        <v>65.1978451150334</v>
      </c>
      <c r="F113" s="449" t="n">
        <f aca="false">SQRT(acc_x^2+acc_z^2)</f>
        <v>66.987391907213</v>
      </c>
      <c r="G113" s="450" t="n">
        <f aca="false">G112+acc_x*pas</f>
        <v>15.8719703877744</v>
      </c>
      <c r="H113" s="451" t="n">
        <f aca="false">H112+acc_z*pas</f>
        <v>77.3078824385382</v>
      </c>
      <c r="I113" s="449" t="n">
        <f aca="false">SQRT(vit_x^2+vit_z^2)</f>
        <v>78.9203910983799</v>
      </c>
      <c r="J113" s="450" t="n">
        <f aca="false">J112+0.5*(vit_x+G112)*pas*(K112&gt;=0)</f>
        <v>8.24337544876452</v>
      </c>
      <c r="K113" s="451" t="n">
        <f aca="false">K112+0.5*(vit_z+H112)*pas</f>
        <v>42.5953903581207</v>
      </c>
      <c r="L113" s="449" t="n">
        <f aca="false">SQRT(pos_x^2+pos_z^2)</f>
        <v>43.3857179098142</v>
      </c>
      <c r="M113" s="450" t="n">
        <f aca="false">IF(AND(L112&gt;L_rampe,G113&gt;0),ATAN2(G113,H113),$M$4)</f>
        <v>1.3683016275952</v>
      </c>
      <c r="N113" s="449" t="n">
        <f aca="false">DEGREES(Beta)</f>
        <v>78.397908362086</v>
      </c>
      <c r="O113" s="438"/>
      <c r="P113" s="452" t="n">
        <f aca="false">MATCH(t-pas/2-T_ini,CdP_t)</f>
        <v>4</v>
      </c>
      <c r="Q113" s="449" t="n">
        <f aca="false">(INDEX(CdP,2,i_P+1)-INDEX(CdP,2,i_P+0))/(INDEX(CdP,1,i_P+1)-INDEX(CdP,1,i_P+0))*(t-pas/2-T_ini-INDEX(CdP,1,i_P+0))+INDEX(CdP,2,i_P+0)</f>
        <v>725.4</v>
      </c>
      <c r="R113" s="450" t="n">
        <f aca="false">Poussee/(g*ISP)</f>
        <v>0.364044462365853</v>
      </c>
      <c r="S113" s="451" t="n">
        <f aca="false">S112-Débit*pas</f>
        <v>9.25696320583763</v>
      </c>
      <c r="T113" s="449" t="n">
        <f aca="false">m*g</f>
        <v>90.8108090492671</v>
      </c>
      <c r="U113" s="453" t="n">
        <f aca="false">IF(pos_xz&lt;L_rampe,Poids*COS(Beta),0)</f>
        <v>0</v>
      </c>
      <c r="V113" s="450" t="n">
        <f aca="false">Rho_moyen*(20000-Alt_rampe-pos_z)/(20000+Alt_rampe+pos_z)</f>
        <v>1.21979315406289</v>
      </c>
      <c r="W113" s="449" t="n">
        <f aca="false">1/2*Rho*Sref*Cx*vit_xz^2</f>
        <v>16.8927706642092</v>
      </c>
      <c r="X113" s="438"/>
      <c r="Y113" s="454" t="str">
        <f aca="false">IF(AND(pos_z&lt;=0,K112&gt;0),"Impact balistique","") &amp; IF(AND(H114&lt;0,vit_z&gt;=0),"Apogée","") &amp; IF(AND(Poussee=0,Q112&gt;0),"Fin de propulsion","") &amp; IF(AND(L114&gt;L_rampe,pos_xz&lt;=L_rampe),"Sortie de rampe","")</f>
        <v/>
      </c>
      <c r="Z113" s="455" t="str">
        <f aca="false">IF(ABS(t-T_para)&lt;pas/2,"Para","")</f>
        <v/>
      </c>
      <c r="AA113" s="456" t="str">
        <f aca="false">IF(ABS(t-T_satellite)&lt;pas/2,"Satellite","")</f>
        <v/>
      </c>
      <c r="AB113" s="444"/>
      <c r="AC113" s="452" t="e">
        <f aca="false">IF(ABS(t-ROUND(t,0))&lt;0.001,t,NA())</f>
        <v>#N/A</v>
      </c>
      <c r="AD113" s="457" t="e">
        <f aca="false">IF(ABS(t-ROUND(t,0))&lt;0.001,pos_x,NA())</f>
        <v>#N/A</v>
      </c>
      <c r="AE113" s="458" t="n">
        <f aca="false">IF(t&lt;T_para, pos_z, NA())</f>
        <v>42.5953903581207</v>
      </c>
      <c r="AF113" s="444"/>
      <c r="AG113" s="450" t="n">
        <f aca="false">IF(AND(L112&lt;L_rampe,Poussee&lt;Poids*SIN(M112)),0,(-W112+Poussee)/m-Poids*SIN(M112)/m)</f>
        <v>66.9584027785446</v>
      </c>
      <c r="AH113" s="449" t="n">
        <f aca="false">IF(AND(L112&lt;L_rampe,Poussee&lt;Poids*SIN(M112)), g*SIN(M112), (-W112+Poussee)/m)</f>
        <v>76.5684562707614</v>
      </c>
    </row>
    <row r="114" customFormat="false" ht="12" hidden="false" customHeight="false" outlineLevel="0" collapsed="false">
      <c r="A114" s="448" t="n">
        <f aca="false">IF(B113+0.01&lt;=T_ini+ROUNDUP(Temps_fin_propu,0), 0.01, IF(K113&gt;0, 0.1, 0.0001))</f>
        <v>0.01</v>
      </c>
      <c r="B114" s="449" t="n">
        <f aca="false">B113+pas</f>
        <v>1.1</v>
      </c>
      <c r="C114" s="432"/>
      <c r="D114" s="450" t="n">
        <f aca="false">IF(AND(L113&lt;L_rampe,Poussee&lt;Poids*SIN(M113)),0,(-W113+Poussee)/m*COS(M113)-U113/m*SIN(M113))</f>
        <v>15.3640584651428</v>
      </c>
      <c r="E114" s="451" t="n">
        <f aca="false">IF(AND(L113&lt;L_rampe,Poussee&lt;Poids*SIN(M113)),0,(-W113+Poussee)/m*SIN(M113)+U113/m*COS(M113)-Poids/m)</f>
        <v>65.0239869961563</v>
      </c>
      <c r="F114" s="449" t="n">
        <f aca="false">SQRT(acc_x^2+acc_z^2)</f>
        <v>66.8144683238341</v>
      </c>
      <c r="G114" s="450" t="n">
        <f aca="false">G113+acc_x*pas</f>
        <v>16.0256109724259</v>
      </c>
      <c r="H114" s="451" t="n">
        <f aca="false">H113+acc_z*pas</f>
        <v>77.9581223084998</v>
      </c>
      <c r="I114" s="449" t="n">
        <f aca="false">SQRT(vit_x^2+vit_z^2)</f>
        <v>79.5882468767</v>
      </c>
      <c r="J114" s="450" t="n">
        <f aca="false">J113+0.5*(vit_x+G113)*pas*(K113&gt;=0)</f>
        <v>8.40286335556552</v>
      </c>
      <c r="K114" s="451" t="n">
        <f aca="false">K113+0.5*(vit_z+H113)*pas</f>
        <v>43.3717203818559</v>
      </c>
      <c r="L114" s="449" t="n">
        <f aca="false">SQRT(pos_x^2+pos_z^2)</f>
        <v>44.1782100299933</v>
      </c>
      <c r="M114" s="450" t="n">
        <f aca="false">IF(AND(L113&gt;L_rampe,G114&gt;0),ATAN2(G114,H114),$M$4)</f>
        <v>1.36805373606451</v>
      </c>
      <c r="N114" s="449" t="n">
        <f aca="false">DEGREES(Beta)</f>
        <v>78.3837052236006</v>
      </c>
      <c r="O114" s="438"/>
      <c r="P114" s="452" t="n">
        <f aca="false">MATCH(t-pas/2-T_ini,CdP_t)</f>
        <v>4</v>
      </c>
      <c r="Q114" s="449" t="n">
        <f aca="false">(INDEX(CdP,2,i_P+1)-INDEX(CdP,2,i_P+0))/(INDEX(CdP,1,i_P+1)-INDEX(CdP,1,i_P+0))*(t-pas/2-T_ini-INDEX(CdP,1,i_P+0))+INDEX(CdP,2,i_P+0)</f>
        <v>723.8</v>
      </c>
      <c r="R114" s="450" t="n">
        <f aca="false">Poussee/(g*ISP)</f>
        <v>0.363241496912606</v>
      </c>
      <c r="S114" s="451" t="n">
        <f aca="false">S113-Débit*pas</f>
        <v>9.2533307908685</v>
      </c>
      <c r="T114" s="449" t="n">
        <f aca="false">m*g</f>
        <v>90.77517505842</v>
      </c>
      <c r="U114" s="453" t="n">
        <f aca="false">IF(pos_xz&lt;L_rampe,Poids*COS(Beta),0)</f>
        <v>0</v>
      </c>
      <c r="V114" s="450" t="n">
        <f aca="false">Rho_moyen*(20000-Alt_rampe-pos_z)/(20000+Alt_rampe+pos_z)</f>
        <v>1.21969846109637</v>
      </c>
      <c r="W114" s="449" t="n">
        <f aca="false">1/2*Rho*Sref*Cx*vit_xz^2</f>
        <v>17.1785534171007</v>
      </c>
      <c r="X114" s="438"/>
      <c r="Y114" s="454" t="str">
        <f aca="false">IF(AND(pos_z&lt;=0,K113&gt;0),"Impact balistique","") &amp; IF(AND(H115&lt;0,vit_z&gt;=0),"Apogée","") &amp; IF(AND(Poussee=0,Q113&gt;0),"Fin de propulsion","") &amp; IF(AND(L115&gt;L_rampe,pos_xz&lt;=L_rampe),"Sortie de rampe","")</f>
        <v/>
      </c>
      <c r="Z114" s="455" t="str">
        <f aca="false">IF(ABS(t-T_para)&lt;pas/2,"Para","")</f>
        <v/>
      </c>
      <c r="AA114" s="456" t="str">
        <f aca="false">IF(ABS(t-T_satellite)&lt;pas/2,"Satellite","")</f>
        <v/>
      </c>
      <c r="AB114" s="444"/>
      <c r="AC114" s="452" t="e">
        <f aca="false">IF(ABS(t-ROUND(t,0))&lt;0.001,t,NA())</f>
        <v>#N/A</v>
      </c>
      <c r="AD114" s="457" t="e">
        <f aca="false">IF(ABS(t-ROUND(t,0))&lt;0.001,pos_x,NA())</f>
        <v>#N/A</v>
      </c>
      <c r="AE114" s="458" t="n">
        <f aca="false">IF(t&lt;T_para, pos_z, NA())</f>
        <v>43.3717203818559</v>
      </c>
      <c r="AF114" s="444"/>
      <c r="AG114" s="450" t="n">
        <f aca="false">IF(AND(L113&lt;L_rampe,Poussee&lt;Poids*SIN(M113)),0,(-W113+Poussee)/m-Poids*SIN(M113)/m)</f>
        <v>66.7853332962876</v>
      </c>
      <c r="AH114" s="449" t="n">
        <f aca="false">IF(AND(L113&lt;L_rampe,Poussee&lt;Poids*SIN(M113)), g*SIN(M113), (-W113+Poussee)/m)</f>
        <v>76.394894477715</v>
      </c>
    </row>
    <row r="115" customFormat="false" ht="12" hidden="false" customHeight="false" outlineLevel="0" collapsed="false">
      <c r="A115" s="448" t="n">
        <f aca="false">IF(B114+0.01&lt;=T_ini+ROUNDUP(Temps_fin_propu,0), 0.01, IF(K114&gt;0, 0.1, 0.0001))</f>
        <v>0.01</v>
      </c>
      <c r="B115" s="449" t="n">
        <f aca="false">B114+pas</f>
        <v>1.11</v>
      </c>
      <c r="C115" s="432"/>
      <c r="D115" s="450" t="n">
        <f aca="false">IF(AND(L114&lt;L_rampe,Poussee&lt;Poids*SIN(M114)),0,(-W114+Poussee)/m*COS(M114)-U114/m*SIN(M114))</f>
        <v>15.3475846612333</v>
      </c>
      <c r="E115" s="451" t="n">
        <f aca="false">IF(AND(L114&lt;L_rampe,Poussee&lt;Poids*SIN(M114)),0,(-W114+Poussee)/m*SIN(M114)+U114/m*COS(M114)-Poids/m)</f>
        <v>64.8497982578737</v>
      </c>
      <c r="F115" s="449" t="n">
        <f aca="false">SQRT(acc_x^2+acc_z^2)</f>
        <v>66.6411636229489</v>
      </c>
      <c r="G115" s="450" t="n">
        <f aca="false">G114+acc_x*pas</f>
        <v>16.1790868190382</v>
      </c>
      <c r="H115" s="451" t="n">
        <f aca="false">H114+acc_z*pas</f>
        <v>78.6066202910785</v>
      </c>
      <c r="I115" s="449" t="n">
        <f aca="false">SQRT(vit_x^2+vit_z^2)</f>
        <v>80.2543681296151</v>
      </c>
      <c r="J115" s="450" t="n">
        <f aca="false">J114+0.5*(vit_x+G114)*pas*(K114&gt;=0)</f>
        <v>8.56388684452285</v>
      </c>
      <c r="K115" s="451" t="n">
        <f aca="false">K114+0.5*(vit_z+H114)*pas</f>
        <v>44.1545440948537</v>
      </c>
      <c r="L115" s="449" t="n">
        <f aca="false">SQRT(pos_x^2+pos_z^2)</f>
        <v>44.9773712227624</v>
      </c>
      <c r="M115" s="450" t="n">
        <f aca="false">IF(AND(L114&gt;L_rampe,G115&gt;0),ATAN2(G115,H115),$M$4)</f>
        <v>1.36780760524967</v>
      </c>
      <c r="N115" s="449" t="n">
        <f aca="false">DEGREES(Beta)</f>
        <v>78.3696029667021</v>
      </c>
      <c r="O115" s="438"/>
      <c r="P115" s="452" t="n">
        <f aca="false">MATCH(t-pas/2-T_ini,CdP_t)</f>
        <v>4</v>
      </c>
      <c r="Q115" s="449" t="n">
        <f aca="false">(INDEX(CdP,2,i_P+1)-INDEX(CdP,2,i_P+0))/(INDEX(CdP,1,i_P+1)-INDEX(CdP,1,i_P+0))*(t-pas/2-T_ini-INDEX(CdP,1,i_P+0))+INDEX(CdP,2,i_P+0)</f>
        <v>722.2</v>
      </c>
      <c r="R115" s="450" t="n">
        <f aca="false">Poussee/(g*ISP)</f>
        <v>0.362438531459359</v>
      </c>
      <c r="S115" s="451" t="n">
        <f aca="false">S114-Débit*pas</f>
        <v>9.24970640555391</v>
      </c>
      <c r="T115" s="449" t="n">
        <f aca="false">m*g</f>
        <v>90.7396198384839</v>
      </c>
      <c r="U115" s="453" t="n">
        <f aca="false">IF(pos_xz&lt;L_rampe,Poids*COS(Beta),0)</f>
        <v>0</v>
      </c>
      <c r="V115" s="450" t="n">
        <f aca="false">Rho_moyen*(20000-Alt_rampe-pos_z)/(20000+Alt_rampe+pos_z)</f>
        <v>1.21960298348856</v>
      </c>
      <c r="W115" s="449" t="n">
        <f aca="false">1/2*Rho*Sref*Cx*vit_xz^2</f>
        <v>17.4659444497669</v>
      </c>
      <c r="X115" s="438"/>
      <c r="Y115" s="454" t="str">
        <f aca="false">IF(AND(pos_z&lt;=0,K114&gt;0),"Impact balistique","") &amp; IF(AND(H116&lt;0,vit_z&gt;=0),"Apogée","") &amp; IF(AND(Poussee=0,Q114&gt;0),"Fin de propulsion","") &amp; IF(AND(L116&gt;L_rampe,pos_xz&lt;=L_rampe),"Sortie de rampe","")</f>
        <v/>
      </c>
      <c r="Z115" s="455" t="str">
        <f aca="false">IF(ABS(t-T_para)&lt;pas/2,"Para","")</f>
        <v/>
      </c>
      <c r="AA115" s="456" t="str">
        <f aca="false">IF(ABS(t-T_satellite)&lt;pas/2,"Satellite","")</f>
        <v/>
      </c>
      <c r="AB115" s="444"/>
      <c r="AC115" s="452" t="e">
        <f aca="false">IF(ABS(t-ROUND(t,0))&lt;0.001,t,NA())</f>
        <v>#N/A</v>
      </c>
      <c r="AD115" s="457" t="e">
        <f aca="false">IF(ABS(t-ROUND(t,0))&lt;0.001,pos_x,NA())</f>
        <v>#N/A</v>
      </c>
      <c r="AE115" s="458" t="n">
        <f aca="false">IF(t&lt;T_para, pos_z, NA())</f>
        <v>44.1545440948537</v>
      </c>
      <c r="AF115" s="444"/>
      <c r="AG115" s="450" t="n">
        <f aca="false">IF(AND(L114&lt;L_rampe,Poussee&lt;Poids*SIN(M114)),0,(-W114+Poussee)/m-Poids*SIN(M114)/m)</f>
        <v>66.6118821995086</v>
      </c>
      <c r="AH115" s="449" t="n">
        <f aca="false">IF(AND(L114&lt;L_rampe,Poussee&lt;Poids*SIN(M114)), g*SIN(M114), (-W114+Poussee)/m)</f>
        <v>76.220954014235</v>
      </c>
    </row>
    <row r="116" customFormat="false" ht="12" hidden="false" customHeight="false" outlineLevel="0" collapsed="false">
      <c r="A116" s="448" t="n">
        <f aca="false">IF(B115+0.01&lt;=T_ini+ROUNDUP(Temps_fin_propu,0), 0.01, IF(K115&gt;0, 0.1, 0.0001))</f>
        <v>0.01</v>
      </c>
      <c r="B116" s="449" t="n">
        <f aca="false">B115+pas</f>
        <v>1.12</v>
      </c>
      <c r="C116" s="432"/>
      <c r="D116" s="450" t="n">
        <f aca="false">IF(AND(L115&lt;L_rampe,Poussee&lt;Poids*SIN(M115)),0,(-W115+Poussee)/m*COS(M115)-U115/m*SIN(M115))</f>
        <v>15.3308184244948</v>
      </c>
      <c r="E116" s="451" t="n">
        <f aca="false">IF(AND(L115&lt;L_rampe,Poussee&lt;Poids*SIN(M115)),0,(-W115+Poussee)/m*SIN(M115)+U115/m*COS(M115)-Poids/m)</f>
        <v>64.6752806666239</v>
      </c>
      <c r="F116" s="449" t="n">
        <f aca="false">SQRT(acc_x^2+acc_z^2)</f>
        <v>66.4674801904767</v>
      </c>
      <c r="G116" s="450" t="n">
        <f aca="false">G115+acc_x*pas</f>
        <v>16.3323950032831</v>
      </c>
      <c r="H116" s="451" t="n">
        <f aca="false">H115+acc_z*pas</f>
        <v>79.2533730977448</v>
      </c>
      <c r="I116" s="449" t="n">
        <f aca="false">SQRT(vit_x^2+vit_z^2)</f>
        <v>80.9187510649639</v>
      </c>
      <c r="J116" s="450" t="n">
        <f aca="false">J115+0.5*(vit_x+G115)*pas*(K115&gt;=0)</f>
        <v>8.72644425363445</v>
      </c>
      <c r="K116" s="451" t="n">
        <f aca="false">K115+0.5*(vit_z+H115)*pas</f>
        <v>44.9438440617979</v>
      </c>
      <c r="L116" s="449" t="n">
        <f aca="false">SQRT(pos_x^2+pos_z^2)</f>
        <v>45.7831841221533</v>
      </c>
      <c r="M116" s="450" t="n">
        <f aca="false">IF(AND(L115&gt;L_rampe,G116&gt;0),ATAN2(G116,H116),$M$4)</f>
        <v>1.36756320301845</v>
      </c>
      <c r="N116" s="449" t="n">
        <f aca="false">DEGREES(Beta)</f>
        <v>78.3555997503496</v>
      </c>
      <c r="O116" s="438"/>
      <c r="P116" s="452" t="n">
        <f aca="false">MATCH(t-pas/2-T_ini,CdP_t)</f>
        <v>4</v>
      </c>
      <c r="Q116" s="449" t="n">
        <f aca="false">(INDEX(CdP,2,i_P+1)-INDEX(CdP,2,i_P+0))/(INDEX(CdP,1,i_P+1)-INDEX(CdP,1,i_P+0))*(t-pas/2-T_ini-INDEX(CdP,1,i_P+0))+INDEX(CdP,2,i_P+0)</f>
        <v>720.6</v>
      </c>
      <c r="R116" s="450" t="n">
        <f aca="false">Poussee/(g*ISP)</f>
        <v>0.361635566006112</v>
      </c>
      <c r="S116" s="451" t="n">
        <f aca="false">S115-Débit*pas</f>
        <v>9.24609004989385</v>
      </c>
      <c r="T116" s="449" t="n">
        <f aca="false">m*g</f>
        <v>90.7041433894587</v>
      </c>
      <c r="U116" s="453" t="n">
        <f aca="false">IF(pos_xz&lt;L_rampe,Poids*COS(Beta),0)</f>
        <v>0</v>
      </c>
      <c r="V116" s="450" t="n">
        <f aca="false">Rho_moyen*(20000-Alt_rampe-pos_z)/(20000+Alt_rampe+pos_z)</f>
        <v>1.21950672355044</v>
      </c>
      <c r="W116" s="449" t="n">
        <f aca="false">1/2*Rho*Sref*Cx*vit_xz^2</f>
        <v>17.7549223858805</v>
      </c>
      <c r="X116" s="438"/>
      <c r="Y116" s="454" t="str">
        <f aca="false">IF(AND(pos_z&lt;=0,K115&gt;0),"Impact balistique","") &amp; IF(AND(H117&lt;0,vit_z&gt;=0),"Apogée","") &amp; IF(AND(Poussee=0,Q115&gt;0),"Fin de propulsion","") &amp; IF(AND(L117&gt;L_rampe,pos_xz&lt;=L_rampe),"Sortie de rampe","")</f>
        <v/>
      </c>
      <c r="Z116" s="455" t="str">
        <f aca="false">IF(ABS(t-T_para)&lt;pas/2,"Para","")</f>
        <v/>
      </c>
      <c r="AA116" s="456" t="str">
        <f aca="false">IF(ABS(t-T_satellite)&lt;pas/2,"Satellite","")</f>
        <v/>
      </c>
      <c r="AB116" s="444"/>
      <c r="AC116" s="452" t="e">
        <f aca="false">IF(ABS(t-ROUND(t,0))&lt;0.001,t,NA())</f>
        <v>#N/A</v>
      </c>
      <c r="AD116" s="457" t="e">
        <f aca="false">IF(ABS(t-ROUND(t,0))&lt;0.001,pos_x,NA())</f>
        <v>#N/A</v>
      </c>
      <c r="AE116" s="458" t="n">
        <f aca="false">IF(t&lt;T_para, pos_z, NA())</f>
        <v>44.9438440617979</v>
      </c>
      <c r="AF116" s="444"/>
      <c r="AG116" s="450" t="n">
        <f aca="false">IF(AND(L115&lt;L_rampe,Poussee&lt;Poids*SIN(M115)),0,(-W115+Poussee)/m-Poids*SIN(M115)/m)</f>
        <v>66.4380518611234</v>
      </c>
      <c r="AH116" s="449" t="n">
        <f aca="false">IF(AND(L115&lt;L_rampe,Poussee&lt;Poids*SIN(M115)), g*SIN(M115), (-W115+Poussee)/m)</f>
        <v>76.0466372008031</v>
      </c>
    </row>
    <row r="117" customFormat="false" ht="12" hidden="false" customHeight="false" outlineLevel="0" collapsed="false">
      <c r="A117" s="448" t="n">
        <f aca="false">IF(B116+0.01&lt;=T_ini+ROUNDUP(Temps_fin_propu,0), 0.01, IF(K116&gt;0, 0.1, 0.0001))</f>
        <v>0.01</v>
      </c>
      <c r="B117" s="449" t="n">
        <f aca="false">B116+pas</f>
        <v>1.13</v>
      </c>
      <c r="C117" s="432"/>
      <c r="D117" s="450" t="n">
        <f aca="false">IF(AND(L116&lt;L_rampe,Poussee&lt;Poids*SIN(M116)),0,(-W116+Poussee)/m*COS(M116)-U116/m*SIN(M116))</f>
        <v>15.3137632669405</v>
      </c>
      <c r="E117" s="451" t="n">
        <f aca="false">IF(AND(L116&lt;L_rampe,Poussee&lt;Poids*SIN(M116)),0,(-W116+Poussee)/m*SIN(M116)+U116/m*COS(M116)-Poids/m)</f>
        <v>64.5004360065626</v>
      </c>
      <c r="F117" s="449" t="n">
        <f aca="false">SQRT(acc_x^2+acc_z^2)</f>
        <v>66.2934204158495</v>
      </c>
      <c r="G117" s="450" t="n">
        <f aca="false">G116+acc_x*pas</f>
        <v>16.4855326359526</v>
      </c>
      <c r="H117" s="451" t="n">
        <f aca="false">H116+acc_z*pas</f>
        <v>79.8983774578104</v>
      </c>
      <c r="I117" s="449" t="n">
        <f aca="false">SQRT(vit_x^2+vit_z^2)</f>
        <v>81.5813919143441</v>
      </c>
      <c r="J117" s="450" t="n">
        <f aca="false">J116+0.5*(vit_x+G116)*pas*(K116&gt;=0)</f>
        <v>8.89053389183063</v>
      </c>
      <c r="K117" s="451" t="n">
        <f aca="false">K116+0.5*(vit_z+H116)*pas</f>
        <v>45.7396028145756</v>
      </c>
      <c r="L117" s="449" t="n">
        <f aca="false">SQRT(pos_x^2+pos_z^2)</f>
        <v>46.5956313243734</v>
      </c>
      <c r="M117" s="450" t="n">
        <f aca="false">IF(AND(L116&gt;L_rampe,G117&gt;0),ATAN2(G117,H117),$M$4)</f>
        <v>1.3673204980848</v>
      </c>
      <c r="N117" s="449" t="n">
        <f aca="false">DEGREES(Beta)</f>
        <v>78.3416937819846</v>
      </c>
      <c r="O117" s="438"/>
      <c r="P117" s="452" t="n">
        <f aca="false">MATCH(t-pas/2-T_ini,CdP_t)</f>
        <v>4</v>
      </c>
      <c r="Q117" s="449" t="n">
        <f aca="false">(INDEX(CdP,2,i_P+1)-INDEX(CdP,2,i_P+0))/(INDEX(CdP,1,i_P+1)-INDEX(CdP,1,i_P+0))*(t-pas/2-T_ini-INDEX(CdP,1,i_P+0))+INDEX(CdP,2,i_P+0)</f>
        <v>719</v>
      </c>
      <c r="R117" s="450" t="n">
        <f aca="false">Poussee/(g*ISP)</f>
        <v>0.360832600552865</v>
      </c>
      <c r="S117" s="451" t="n">
        <f aca="false">S116-Débit*pas</f>
        <v>9.24248172388832</v>
      </c>
      <c r="T117" s="449" t="n">
        <f aca="false">m*g</f>
        <v>90.6687457113444</v>
      </c>
      <c r="U117" s="453" t="n">
        <f aca="false">IF(pos_xz&lt;L_rampe,Poids*COS(Beta),0)</f>
        <v>0</v>
      </c>
      <c r="V117" s="450" t="n">
        <f aca="false">Rho_moyen*(20000-Alt_rampe-pos_z)/(20000+Alt_rampe+pos_z)</f>
        <v>1.21940968359781</v>
      </c>
      <c r="W117" s="449" t="n">
        <f aca="false">1/2*Rho*Sref*Cx*vit_xz^2</f>
        <v>18.0454658564372</v>
      </c>
      <c r="X117" s="438"/>
      <c r="Y117" s="454" t="str">
        <f aca="false">IF(AND(pos_z&lt;=0,K116&gt;0),"Impact balistique","") &amp; IF(AND(H118&lt;0,vit_z&gt;=0),"Apogée","") &amp; IF(AND(Poussee=0,Q116&gt;0),"Fin de propulsion","") &amp; IF(AND(L118&gt;L_rampe,pos_xz&lt;=L_rampe),"Sortie de rampe","")</f>
        <v/>
      </c>
      <c r="Z117" s="455" t="str">
        <f aca="false">IF(ABS(t-T_para)&lt;pas/2,"Para","")</f>
        <v/>
      </c>
      <c r="AA117" s="456" t="str">
        <f aca="false">IF(ABS(t-T_satellite)&lt;pas/2,"Satellite","")</f>
        <v/>
      </c>
      <c r="AB117" s="444"/>
      <c r="AC117" s="452" t="e">
        <f aca="false">IF(ABS(t-ROUND(t,0))&lt;0.001,t,NA())</f>
        <v>#N/A</v>
      </c>
      <c r="AD117" s="457" t="e">
        <f aca="false">IF(ABS(t-ROUND(t,0))&lt;0.001,pos_x,NA())</f>
        <v>#N/A</v>
      </c>
      <c r="AE117" s="458" t="n">
        <f aca="false">IF(t&lt;T_para, pos_z, NA())</f>
        <v>45.7396028145756</v>
      </c>
      <c r="AF117" s="444"/>
      <c r="AG117" s="450" t="n">
        <f aca="false">IF(AND(L116&lt;L_rampe,Poussee&lt;Poids*SIN(M116)),0,(-W116+Poussee)/m-Poids*SIN(M116)/m)</f>
        <v>66.2638446576245</v>
      </c>
      <c r="AH117" s="449" t="n">
        <f aca="false">IF(AND(L116&lt;L_rampe,Poussee&lt;Poids*SIN(M116)), g*SIN(M116), (-W116+Poussee)/m)</f>
        <v>75.8719463628114</v>
      </c>
    </row>
    <row r="118" customFormat="false" ht="12" hidden="false" customHeight="false" outlineLevel="0" collapsed="false">
      <c r="A118" s="448" t="n">
        <f aca="false">IF(B117+0.01&lt;=T_ini+ROUNDUP(Temps_fin_propu,0), 0.01, IF(K117&gt;0, 0.1, 0.0001))</f>
        <v>0.01</v>
      </c>
      <c r="B118" s="449" t="n">
        <f aca="false">B117+pas</f>
        <v>1.14</v>
      </c>
      <c r="C118" s="432"/>
      <c r="D118" s="450" t="n">
        <f aca="false">IF(AND(L117&lt;L_rampe,Poussee&lt;Poids*SIN(M117)),0,(-W117+Poussee)/m*COS(M117)-U117/m*SIN(M117))</f>
        <v>15.2964226221706</v>
      </c>
      <c r="E118" s="451" t="n">
        <f aca="false">IF(AND(L117&lt;L_rampe,Poussee&lt;Poids*SIN(M117)),0,(-W117+Poussee)/m*SIN(M117)+U117/m*COS(M117)-Poids/m)</f>
        <v>64.3252660789996</v>
      </c>
      <c r="F118" s="449" t="n">
        <f aca="false">SQRT(acc_x^2+acc_z^2)</f>
        <v>66.1189866919491</v>
      </c>
      <c r="G118" s="450" t="n">
        <f aca="false">G117+acc_x*pas</f>
        <v>16.6384968621743</v>
      </c>
      <c r="H118" s="451" t="n">
        <f aca="false">H117+acc_z*pas</f>
        <v>80.5416301186004</v>
      </c>
      <c r="I118" s="449" t="n">
        <f aca="false">SQRT(vit_x^2+vit_z^2)</f>
        <v>82.2422869331466</v>
      </c>
      <c r="J118" s="450" t="n">
        <f aca="false">J117+0.5*(vit_x+G117)*pas*(K117&gt;=0)</f>
        <v>9.05615403932126</v>
      </c>
      <c r="K118" s="451" t="n">
        <f aca="false">K117+0.5*(vit_z+H117)*pas</f>
        <v>46.5418028524577</v>
      </c>
      <c r="L118" s="449" t="n">
        <f aca="false">SQRT(pos_x^2+pos_z^2)</f>
        <v>47.4146953880435</v>
      </c>
      <c r="M118" s="450" t="n">
        <f aca="false">IF(AND(L117&gt;L_rampe,G118&gt;0),ATAN2(G118,H118),$M$4)</f>
        <v>1.36707945997896</v>
      </c>
      <c r="N118" s="449" t="n">
        <f aca="false">DEGREES(Beta)</f>
        <v>78.327883315818</v>
      </c>
      <c r="O118" s="438"/>
      <c r="P118" s="452" t="n">
        <f aca="false">MATCH(t-pas/2-T_ini,CdP_t)</f>
        <v>4</v>
      </c>
      <c r="Q118" s="449" t="n">
        <f aca="false">(INDEX(CdP,2,i_P+1)-INDEX(CdP,2,i_P+0))/(INDEX(CdP,1,i_P+1)-INDEX(CdP,1,i_P+0))*(t-pas/2-T_ini-INDEX(CdP,1,i_P+0))+INDEX(CdP,2,i_P+0)</f>
        <v>717.4</v>
      </c>
      <c r="R118" s="450" t="n">
        <f aca="false">Poussee/(g*ISP)</f>
        <v>0.360029635099618</v>
      </c>
      <c r="S118" s="451" t="n">
        <f aca="false">S117-Débit*pas</f>
        <v>9.23888142753732</v>
      </c>
      <c r="T118" s="449" t="n">
        <f aca="false">m*g</f>
        <v>90.6334268041412</v>
      </c>
      <c r="U118" s="453" t="n">
        <f aca="false">IF(pos_xz&lt;L_rampe,Poids*COS(Beta),0)</f>
        <v>0</v>
      </c>
      <c r="V118" s="450" t="n">
        <f aca="false">Rho_moyen*(20000-Alt_rampe-pos_z)/(20000+Alt_rampe+pos_z)</f>
        <v>1.21931186595125</v>
      </c>
      <c r="W118" s="449" t="n">
        <f aca="false">1/2*Rho*Sref*Cx*vit_xz^2</f>
        <v>18.3375535007196</v>
      </c>
      <c r="X118" s="438"/>
      <c r="Y118" s="454" t="str">
        <f aca="false">IF(AND(pos_z&lt;=0,K117&gt;0),"Impact balistique","") &amp; IF(AND(H119&lt;0,vit_z&gt;=0),"Apogée","") &amp; IF(AND(Poussee=0,Q117&gt;0),"Fin de propulsion","") &amp; IF(AND(L119&gt;L_rampe,pos_xz&lt;=L_rampe),"Sortie de rampe","")</f>
        <v/>
      </c>
      <c r="Z118" s="455" t="str">
        <f aca="false">IF(ABS(t-T_para)&lt;pas/2,"Para","")</f>
        <v/>
      </c>
      <c r="AA118" s="456" t="str">
        <f aca="false">IF(ABS(t-T_satellite)&lt;pas/2,"Satellite","")</f>
        <v/>
      </c>
      <c r="AB118" s="444"/>
      <c r="AC118" s="452" t="e">
        <f aca="false">IF(ABS(t-ROUND(t,0))&lt;0.001,t,NA())</f>
        <v>#N/A</v>
      </c>
      <c r="AD118" s="457" t="e">
        <f aca="false">IF(ABS(t-ROUND(t,0))&lt;0.001,pos_x,NA())</f>
        <v>#N/A</v>
      </c>
      <c r="AE118" s="458" t="n">
        <f aca="false">IF(t&lt;T_para, pos_z, NA())</f>
        <v>46.5418028524577</v>
      </c>
      <c r="AF118" s="444"/>
      <c r="AG118" s="450" t="n">
        <f aca="false">IF(AND(L117&lt;L_rampe,Poussee&lt;Poids*SIN(M117)),0,(-W117+Poussee)/m-Poids*SIN(M117)/m)</f>
        <v>66.089262969012</v>
      </c>
      <c r="AH118" s="449" t="n">
        <f aca="false">IF(AND(L117&lt;L_rampe,Poussee&lt;Poids*SIN(M117)), g*SIN(M117), (-W117+Poussee)/m)</f>
        <v>75.6968838304465</v>
      </c>
    </row>
    <row r="119" customFormat="false" ht="12" hidden="false" customHeight="false" outlineLevel="0" collapsed="false">
      <c r="A119" s="448" t="n">
        <f aca="false">IF(B118+0.01&lt;=T_ini+ROUNDUP(Temps_fin_propu,0), 0.01, IF(K118&gt;0, 0.1, 0.0001))</f>
        <v>0.01</v>
      </c>
      <c r="B119" s="449" t="n">
        <f aca="false">B118+pas</f>
        <v>1.15</v>
      </c>
      <c r="C119" s="432"/>
      <c r="D119" s="450" t="n">
        <f aca="false">IF(AND(L118&lt;L_rampe,Poussee&lt;Poids*SIN(M118)),0,(-W118+Poussee)/m*COS(M118)-U118/m*SIN(M118))</f>
        <v>15.2787998481639</v>
      </c>
      <c r="E119" s="451" t="n">
        <f aca="false">IF(AND(L118&lt;L_rampe,Poussee&lt;Poids*SIN(M118)),0,(-W118+Poussee)/m*SIN(M118)+U118/m*COS(M118)-Poids/m)</f>
        <v>64.1497727018556</v>
      </c>
      <c r="F119" s="449" t="n">
        <f aca="false">SQRT(acc_x^2+acc_z^2)</f>
        <v>65.9441814150422</v>
      </c>
      <c r="G119" s="450" t="n">
        <f aca="false">G118+acc_x*pas</f>
        <v>16.7912848606559</v>
      </c>
      <c r="H119" s="451" t="n">
        <f aca="false">H118+acc_z*pas</f>
        <v>81.183127845619</v>
      </c>
      <c r="I119" s="449" t="n">
        <f aca="false">SQRT(vit_x^2+vit_z^2)</f>
        <v>82.9014324005913</v>
      </c>
      <c r="J119" s="450" t="n">
        <f aca="false">J118+0.5*(vit_x+G118)*pas*(K118&gt;=0)</f>
        <v>9.22330294793541</v>
      </c>
      <c r="K119" s="451" t="n">
        <f aca="false">K118+0.5*(vit_z+H118)*pas</f>
        <v>47.3504266422788</v>
      </c>
      <c r="L119" s="449" t="n">
        <f aca="false">SQRT(pos_x^2+pos_z^2)</f>
        <v>48.2403588344367</v>
      </c>
      <c r="M119" s="450" t="n">
        <f aca="false">IF(AND(L118&gt;L_rampe,G119&gt;0),ATAN2(G119,H119),$M$4)</f>
        <v>1.36684005901885</v>
      </c>
      <c r="N119" s="449" t="n">
        <f aca="false">DEGREES(Beta)</f>
        <v>78.3141666511922</v>
      </c>
      <c r="O119" s="438"/>
      <c r="P119" s="452" t="n">
        <f aca="false">MATCH(t-pas/2-T_ini,CdP_t)</f>
        <v>4</v>
      </c>
      <c r="Q119" s="449" t="n">
        <f aca="false">(INDEX(CdP,2,i_P+1)-INDEX(CdP,2,i_P+0))/(INDEX(CdP,1,i_P+1)-INDEX(CdP,1,i_P+0))*(t-pas/2-T_ini-INDEX(CdP,1,i_P+0))+INDEX(CdP,2,i_P+0)</f>
        <v>715.8</v>
      </c>
      <c r="R119" s="450" t="n">
        <f aca="false">Poussee/(g*ISP)</f>
        <v>0.359226669646371</v>
      </c>
      <c r="S119" s="451" t="n">
        <f aca="false">S118-Débit*pas</f>
        <v>9.23528916084086</v>
      </c>
      <c r="T119" s="449" t="n">
        <f aca="false">m*g</f>
        <v>90.5981866678489</v>
      </c>
      <c r="U119" s="453" t="n">
        <f aca="false">IF(pos_xz&lt;L_rampe,Poids*COS(Beta),0)</f>
        <v>0</v>
      </c>
      <c r="V119" s="450" t="n">
        <f aca="false">Rho_moyen*(20000-Alt_rampe-pos_z)/(20000+Alt_rampe+pos_z)</f>
        <v>1.21921327293609</v>
      </c>
      <c r="W119" s="449" t="n">
        <f aca="false">1/2*Rho*Sref*Cx*vit_xz^2</f>
        <v>18.6311639672588</v>
      </c>
      <c r="X119" s="438"/>
      <c r="Y119" s="454" t="str">
        <f aca="false">IF(AND(pos_z&lt;=0,K118&gt;0),"Impact balistique","") &amp; IF(AND(H120&lt;0,vit_z&gt;=0),"Apogée","") &amp; IF(AND(Poussee=0,Q118&gt;0),"Fin de propulsion","") &amp; IF(AND(L120&gt;L_rampe,pos_xz&lt;=L_rampe),"Sortie de rampe","")</f>
        <v/>
      </c>
      <c r="Z119" s="455" t="str">
        <f aca="false">IF(ABS(t-T_para)&lt;pas/2,"Para","")</f>
        <v/>
      </c>
      <c r="AA119" s="456" t="str">
        <f aca="false">IF(ABS(t-T_satellite)&lt;pas/2,"Satellite","")</f>
        <v/>
      </c>
      <c r="AB119" s="444"/>
      <c r="AC119" s="452" t="e">
        <f aca="false">IF(ABS(t-ROUND(t,0))&lt;0.001,t,NA())</f>
        <v>#N/A</v>
      </c>
      <c r="AD119" s="457" t="e">
        <f aca="false">IF(ABS(t-ROUND(t,0))&lt;0.001,pos_x,NA())</f>
        <v>#N/A</v>
      </c>
      <c r="AE119" s="458" t="n">
        <f aca="false">IF(t&lt;T_para, pos_z, NA())</f>
        <v>47.3504266422788</v>
      </c>
      <c r="AF119" s="444"/>
      <c r="AG119" s="450" t="n">
        <f aca="false">IF(AND(L118&lt;L_rampe,Poussee&lt;Poids*SIN(M118)),0,(-W118+Poussee)/m-Poids*SIN(M118)/m)</f>
        <v>65.9143091787222</v>
      </c>
      <c r="AH119" s="449" t="n">
        <f aca="false">IF(AND(L118&lt;L_rampe,Poussee&lt;Poids*SIN(M118)), g*SIN(M118), (-W118+Poussee)/m)</f>
        <v>75.5214519385744</v>
      </c>
    </row>
    <row r="120" customFormat="false" ht="12" hidden="false" customHeight="false" outlineLevel="0" collapsed="false">
      <c r="A120" s="448" t="n">
        <f aca="false">IF(B119+0.01&lt;=T_ini+ROUNDUP(Temps_fin_propu,0), 0.01, IF(K119&gt;0, 0.1, 0.0001))</f>
        <v>0.01</v>
      </c>
      <c r="B120" s="449" t="n">
        <f aca="false">B119+pas</f>
        <v>1.16</v>
      </c>
      <c r="C120" s="432"/>
      <c r="D120" s="450" t="n">
        <f aca="false">IF(AND(L119&lt;L_rampe,Poussee&lt;Poids*SIN(M119)),0,(-W119+Poussee)/m*COS(M119)-U119/m*SIN(M119))</f>
        <v>15.2608982299464</v>
      </c>
      <c r="E120" s="451" t="n">
        <f aca="false">IF(AND(L119&lt;L_rampe,Poussee&lt;Poids*SIN(M119)),0,(-W119+Poussee)/m*SIN(M119)+U119/m*COS(M119)-Poids/m)</f>
        <v>63.9739577091376</v>
      </c>
      <c r="F120" s="449" t="n">
        <f aca="false">SQRT(acc_x^2+acc_z^2)</f>
        <v>65.7690069847136</v>
      </c>
      <c r="G120" s="450" t="n">
        <f aca="false">G119+acc_x*pas</f>
        <v>16.9438938429554</v>
      </c>
      <c r="H120" s="451" t="n">
        <f aca="false">H119+acc_z*pas</f>
        <v>81.8228674227103</v>
      </c>
      <c r="I120" s="449" t="n">
        <f aca="false">SQRT(vit_x^2+vit_z^2)</f>
        <v>83.5588246197598</v>
      </c>
      <c r="J120" s="450" t="n">
        <f aca="false">J119+0.5*(vit_x+G119)*pas*(K119&gt;=0)</f>
        <v>9.39197884145347</v>
      </c>
      <c r="K120" s="451" t="n">
        <f aca="false">K119+0.5*(vit_z+H119)*pas</f>
        <v>48.1654566186204</v>
      </c>
      <c r="L120" s="449" t="n">
        <f aca="false">SQRT(pos_x^2+pos_z^2)</f>
        <v>49.0726041477168</v>
      </c>
      <c r="M120" s="450" t="n">
        <f aca="false">IF(AND(L119&gt;L_rampe,G120&gt;0),ATAN2(G120,H120),$M$4)</f>
        <v>1.36660226628274</v>
      </c>
      <c r="N120" s="449" t="n">
        <f aca="false">DEGREES(Beta)</f>
        <v>78.3005421310145</v>
      </c>
      <c r="O120" s="438"/>
      <c r="P120" s="452" t="n">
        <f aca="false">MATCH(t-pas/2-T_ini,CdP_t)</f>
        <v>4</v>
      </c>
      <c r="Q120" s="449" t="n">
        <f aca="false">(INDEX(CdP,2,i_P+1)-INDEX(CdP,2,i_P+0))/(INDEX(CdP,1,i_P+1)-INDEX(CdP,1,i_P+0))*(t-pas/2-T_ini-INDEX(CdP,1,i_P+0))+INDEX(CdP,2,i_P+0)</f>
        <v>714.2</v>
      </c>
      <c r="R120" s="450" t="n">
        <f aca="false">Poussee/(g*ISP)</f>
        <v>0.358423704193124</v>
      </c>
      <c r="S120" s="451" t="n">
        <f aca="false">S119-Débit*pas</f>
        <v>9.23170492379893</v>
      </c>
      <c r="T120" s="449" t="n">
        <f aca="false">m*g</f>
        <v>90.5630253024675</v>
      </c>
      <c r="U120" s="453" t="n">
        <f aca="false">IF(pos_xz&lt;L_rampe,Poids*COS(Beta),0)</f>
        <v>0</v>
      </c>
      <c r="V120" s="450" t="n">
        <f aca="false">Rho_moyen*(20000-Alt_rampe-pos_z)/(20000+Alt_rampe+pos_z)</f>
        <v>1.21911390688235</v>
      </c>
      <c r="W120" s="449" t="n">
        <f aca="false">1/2*Rho*Sref*Cx*vit_xz^2</f>
        <v>18.9262759147922</v>
      </c>
      <c r="X120" s="438"/>
      <c r="Y120" s="454" t="str">
        <f aca="false">IF(AND(pos_z&lt;=0,K119&gt;0),"Impact balistique","") &amp; IF(AND(H121&lt;0,vit_z&gt;=0),"Apogée","") &amp; IF(AND(Poussee=0,Q119&gt;0),"Fin de propulsion","") &amp; IF(AND(L121&gt;L_rampe,pos_xz&lt;=L_rampe),"Sortie de rampe","")</f>
        <v/>
      </c>
      <c r="Z120" s="455" t="str">
        <f aca="false">IF(ABS(t-T_para)&lt;pas/2,"Para","")</f>
        <v/>
      </c>
      <c r="AA120" s="456" t="str">
        <f aca="false">IF(ABS(t-T_satellite)&lt;pas/2,"Satellite","")</f>
        <v/>
      </c>
      <c r="AB120" s="444"/>
      <c r="AC120" s="452" t="e">
        <f aca="false">IF(ABS(t-ROUND(t,0))&lt;0.001,t,NA())</f>
        <v>#N/A</v>
      </c>
      <c r="AD120" s="457" t="e">
        <f aca="false">IF(ABS(t-ROUND(t,0))&lt;0.001,pos_x,NA())</f>
        <v>#N/A</v>
      </c>
      <c r="AE120" s="458" t="n">
        <f aca="false">IF(t&lt;T_para, pos_z, NA())</f>
        <v>48.1654566186204</v>
      </c>
      <c r="AF120" s="444"/>
      <c r="AG120" s="450" t="n">
        <f aca="false">IF(AND(L119&lt;L_rampe,Poussee&lt;Poids*SIN(M119)),0,(-W119+Poussee)/m-Poids*SIN(M119)/m)</f>
        <v>65.7389856735549</v>
      </c>
      <c r="AH120" s="449" t="n">
        <f aca="false">IF(AND(L119&lt;L_rampe,Poussee&lt;Poids*SIN(M119)), g*SIN(M119), (-W119+Poussee)/m)</f>
        <v>75.3456530266251</v>
      </c>
    </row>
    <row r="121" customFormat="false" ht="12" hidden="false" customHeight="false" outlineLevel="0" collapsed="false">
      <c r="A121" s="448" t="n">
        <f aca="false">IF(B120+0.01&lt;=T_ini+ROUNDUP(Temps_fin_propu,0), 0.01, IF(K120&gt;0, 0.1, 0.0001))</f>
        <v>0.01</v>
      </c>
      <c r="B121" s="449" t="n">
        <f aca="false">B120+pas</f>
        <v>1.17</v>
      </c>
      <c r="C121" s="432"/>
      <c r="D121" s="450" t="n">
        <f aca="false">IF(AND(L120&lt;L_rampe,Poussee&lt;Poids*SIN(M120)),0,(-W120+Poussee)/m*COS(M120)-U120/m*SIN(M120))</f>
        <v>15.2427209821418</v>
      </c>
      <c r="E121" s="451" t="n">
        <f aca="false">IF(AND(L120&lt;L_rampe,Poussee&lt;Poids*SIN(M120)),0,(-W120+Poussee)/m*SIN(M120)+U120/m*COS(M120)-Poids/m)</f>
        <v>63.7978229504307</v>
      </c>
      <c r="F121" s="449" t="n">
        <f aca="false">SQRT(acc_x^2+acc_z^2)</f>
        <v>65.5934658037974</v>
      </c>
      <c r="G121" s="450" t="n">
        <f aca="false">G120+acc_x*pas</f>
        <v>17.0963210527768</v>
      </c>
      <c r="H121" s="451" t="n">
        <f aca="false">H120+acc_z*pas</f>
        <v>82.4608456522146</v>
      </c>
      <c r="I121" s="449" t="n">
        <f aca="false">SQRT(vit_x^2+vit_z^2)</f>
        <v>84.2144599176293</v>
      </c>
      <c r="J121" s="450" t="n">
        <f aca="false">J120+0.5*(vit_x+G120)*pas*(K120&gt;=0)</f>
        <v>9.56217991593213</v>
      </c>
      <c r="K121" s="451" t="n">
        <f aca="false">K120+0.5*(vit_z+H120)*pas</f>
        <v>48.9868751839951</v>
      </c>
      <c r="L121" s="449" t="n">
        <f aca="false">SQRT(pos_x^2+pos_z^2)</f>
        <v>49.9114137751774</v>
      </c>
      <c r="M121" s="450" t="n">
        <f aca="false">IF(AND(L120&gt;L_rampe,G121&gt;0),ATAN2(G121,H121),$M$4)</f>
        <v>1.36636605358311</v>
      </c>
      <c r="N121" s="449" t="n">
        <f aca="false">DEGREES(Beta)</f>
        <v>78.2870081402583</v>
      </c>
      <c r="O121" s="438"/>
      <c r="P121" s="452" t="n">
        <f aca="false">MATCH(t-pas/2-T_ini,CdP_t)</f>
        <v>4</v>
      </c>
      <c r="Q121" s="449" t="n">
        <f aca="false">(INDEX(CdP,2,i_P+1)-INDEX(CdP,2,i_P+0))/(INDEX(CdP,1,i_P+1)-INDEX(CdP,1,i_P+0))*(t-pas/2-T_ini-INDEX(CdP,1,i_P+0))+INDEX(CdP,2,i_P+0)</f>
        <v>712.6</v>
      </c>
      <c r="R121" s="450" t="n">
        <f aca="false">Poussee/(g*ISP)</f>
        <v>0.357620738739877</v>
      </c>
      <c r="S121" s="451" t="n">
        <f aca="false">S120-Débit*pas</f>
        <v>9.22812871641153</v>
      </c>
      <c r="T121" s="449" t="n">
        <f aca="false">m*g</f>
        <v>90.5279427079971</v>
      </c>
      <c r="U121" s="453" t="n">
        <f aca="false">IF(pos_xz&lt;L_rampe,Poids*COS(Beta),0)</f>
        <v>0</v>
      </c>
      <c r="V121" s="450" t="n">
        <f aca="false">Rho_moyen*(20000-Alt_rampe-pos_z)/(20000+Alt_rampe+pos_z)</f>
        <v>1.21901377012475</v>
      </c>
      <c r="W121" s="449" t="n">
        <f aca="false">1/2*Rho*Sref*Cx*vit_xz^2</f>
        <v>19.2228680132173</v>
      </c>
      <c r="X121" s="438"/>
      <c r="Y121" s="454" t="str">
        <f aca="false">IF(AND(pos_z&lt;=0,K120&gt;0),"Impact balistique","") &amp; IF(AND(H122&lt;0,vit_z&gt;=0),"Apogée","") &amp; IF(AND(Poussee=0,Q120&gt;0),"Fin de propulsion","") &amp; IF(AND(L122&gt;L_rampe,pos_xz&lt;=L_rampe),"Sortie de rampe","")</f>
        <v/>
      </c>
      <c r="Z121" s="455" t="str">
        <f aca="false">IF(ABS(t-T_para)&lt;pas/2,"Para","")</f>
        <v/>
      </c>
      <c r="AA121" s="456" t="str">
        <f aca="false">IF(ABS(t-T_satellite)&lt;pas/2,"Satellite","")</f>
        <v/>
      </c>
      <c r="AB121" s="444"/>
      <c r="AC121" s="452" t="e">
        <f aca="false">IF(ABS(t-ROUND(t,0))&lt;0.001,t,NA())</f>
        <v>#N/A</v>
      </c>
      <c r="AD121" s="457" t="e">
        <f aca="false">IF(ABS(t-ROUND(t,0))&lt;0.001,pos_x,NA())</f>
        <v>#N/A</v>
      </c>
      <c r="AE121" s="458" t="n">
        <f aca="false">IF(t&lt;T_para, pos_z, NA())</f>
        <v>48.9868751839951</v>
      </c>
      <c r="AF121" s="444"/>
      <c r="AG121" s="450" t="n">
        <f aca="false">IF(AND(L120&lt;L_rampe,Poussee&lt;Poids*SIN(M120)),0,(-W120+Poussee)/m-Poids*SIN(M120)/m)</f>
        <v>65.5632948435984</v>
      </c>
      <c r="AH121" s="449" t="n">
        <f aca="false">IF(AND(L120&lt;L_rampe,Poussee&lt;Poids*SIN(M120)), g*SIN(M120), (-W120+Poussee)/m)</f>
        <v>75.1694894384775</v>
      </c>
    </row>
    <row r="122" customFormat="false" ht="12" hidden="false" customHeight="false" outlineLevel="0" collapsed="false">
      <c r="A122" s="448" t="n">
        <f aca="false">IF(B121+0.01&lt;=T_ini+ROUNDUP(Temps_fin_propu,0), 0.01, IF(K121&gt;0, 0.1, 0.0001))</f>
        <v>0.01</v>
      </c>
      <c r="B122" s="449" t="n">
        <f aca="false">B121+pas</f>
        <v>1.18</v>
      </c>
      <c r="C122" s="432"/>
      <c r="D122" s="450" t="n">
        <f aca="false">IF(AND(L121&lt;L_rampe,Poussee&lt;Poids*SIN(M121)),0,(-W121+Poussee)/m*COS(M121)-U121/m*SIN(M121))</f>
        <v>15.2242712514122</v>
      </c>
      <c r="E122" s="451" t="n">
        <f aca="false">IF(AND(L121&lt;L_rampe,Poussee&lt;Poids*SIN(M121)),0,(-W121+Poussee)/m*SIN(M121)+U121/m*COS(M121)-Poids/m)</f>
        <v>63.6213702904081</v>
      </c>
      <c r="F122" s="449" t="n">
        <f aca="false">SQRT(acc_x^2+acc_z^2)</f>
        <v>65.417560278306</v>
      </c>
      <c r="G122" s="450" t="n">
        <f aca="false">G121+acc_x*pas</f>
        <v>17.2485637652909</v>
      </c>
      <c r="H122" s="451" t="n">
        <f aca="false">H121+acc_z*pas</f>
        <v>83.0970593551187</v>
      </c>
      <c r="I122" s="449" t="n">
        <f aca="false">SQRT(vit_x^2+vit_z^2)</f>
        <v>84.8683346451044</v>
      </c>
      <c r="J122" s="450" t="n">
        <f aca="false">J121+0.5*(vit_x+G121)*pas*(K121&gt;=0)</f>
        <v>9.73390434002247</v>
      </c>
      <c r="K122" s="451" t="n">
        <f aca="false">K121+0.5*(vit_z+H121)*pas</f>
        <v>49.8146647090317</v>
      </c>
      <c r="L122" s="449" t="n">
        <f aca="false">SQRT(pos_x^2+pos_z^2)</f>
        <v>50.7567701274811</v>
      </c>
      <c r="M122" s="450" t="n">
        <f aca="false">IF(AND(L121&gt;L_rampe,G122&gt;0),ATAN2(G122,H122),$M$4)</f>
        <v>1.36613139344158</v>
      </c>
      <c r="N122" s="449" t="n">
        <f aca="false">DEGREES(Beta)</f>
        <v>78.2735631045287</v>
      </c>
      <c r="O122" s="438"/>
      <c r="P122" s="452" t="n">
        <f aca="false">MATCH(t-pas/2-T_ini,CdP_t)</f>
        <v>4</v>
      </c>
      <c r="Q122" s="449" t="n">
        <f aca="false">(INDEX(CdP,2,i_P+1)-INDEX(CdP,2,i_P+0))/(INDEX(CdP,1,i_P+1)-INDEX(CdP,1,i_P+0))*(t-pas/2-T_ini-INDEX(CdP,1,i_P+0))+INDEX(CdP,2,i_P+0)</f>
        <v>711</v>
      </c>
      <c r="R122" s="450" t="n">
        <f aca="false">Poussee/(g*ISP)</f>
        <v>0.35681777328663</v>
      </c>
      <c r="S122" s="451" t="n">
        <f aca="false">S121-Débit*pas</f>
        <v>9.22456053867867</v>
      </c>
      <c r="T122" s="449" t="n">
        <f aca="false">m*g</f>
        <v>90.4929388844377</v>
      </c>
      <c r="U122" s="453" t="n">
        <f aca="false">IF(pos_xz&lt;L_rampe,Poids*COS(Beta),0)</f>
        <v>0</v>
      </c>
      <c r="V122" s="450" t="n">
        <f aca="false">Rho_moyen*(20000-Alt_rampe-pos_z)/(20000+Alt_rampe+pos_z)</f>
        <v>1.21891286500259</v>
      </c>
      <c r="W122" s="449" t="n">
        <f aca="false">1/2*Rho*Sref*Cx*vit_xz^2</f>
        <v>19.5209189445432</v>
      </c>
      <c r="X122" s="438"/>
      <c r="Y122" s="454" t="str">
        <f aca="false">IF(AND(pos_z&lt;=0,K121&gt;0),"Impact balistique","") &amp; IF(AND(H123&lt;0,vit_z&gt;=0),"Apogée","") &amp; IF(AND(Poussee=0,Q121&gt;0),"Fin de propulsion","") &amp; IF(AND(L123&gt;L_rampe,pos_xz&lt;=L_rampe),"Sortie de rampe","")</f>
        <v/>
      </c>
      <c r="Z122" s="455" t="str">
        <f aca="false">IF(ABS(t-T_para)&lt;pas/2,"Para","")</f>
        <v/>
      </c>
      <c r="AA122" s="456" t="str">
        <f aca="false">IF(ABS(t-T_satellite)&lt;pas/2,"Satellite","")</f>
        <v/>
      </c>
      <c r="AB122" s="444"/>
      <c r="AC122" s="452" t="e">
        <f aca="false">IF(ABS(t-ROUND(t,0))&lt;0.001,t,NA())</f>
        <v>#N/A</v>
      </c>
      <c r="AD122" s="457" t="e">
        <f aca="false">IF(ABS(t-ROUND(t,0))&lt;0.001,pos_x,NA())</f>
        <v>#N/A</v>
      </c>
      <c r="AE122" s="458" t="n">
        <f aca="false">IF(t&lt;T_para, pos_z, NA())</f>
        <v>49.8146647090317</v>
      </c>
      <c r="AF122" s="444"/>
      <c r="AG122" s="450" t="n">
        <f aca="false">IF(AND(L121&lt;L_rampe,Poussee&lt;Poids*SIN(M121)),0,(-W121+Poussee)/m-Poids*SIN(M121)/m)</f>
        <v>65.3872390821533</v>
      </c>
      <c r="AH122" s="449" t="n">
        <f aca="false">IF(AND(L121&lt;L_rampe,Poussee&lt;Poids*SIN(M121)), g*SIN(M121), (-W121+Poussee)/m)</f>
        <v>74.992963522344</v>
      </c>
    </row>
    <row r="123" customFormat="false" ht="12" hidden="false" customHeight="false" outlineLevel="0" collapsed="false">
      <c r="A123" s="448" t="n">
        <f aca="false">IF(B122+0.01&lt;=T_ini+ROUNDUP(Temps_fin_propu,0), 0.01, IF(K122&gt;0, 0.1, 0.0001))</f>
        <v>0.01</v>
      </c>
      <c r="B123" s="449" t="n">
        <f aca="false">B122+pas</f>
        <v>1.19</v>
      </c>
      <c r="C123" s="432"/>
      <c r="D123" s="450" t="n">
        <f aca="false">IF(AND(L122&lt;L_rampe,Poussee&lt;Poids*SIN(M122)),0,(-W122+Poussee)/m*COS(M122)-U122/m*SIN(M122))</f>
        <v>15.2055521187931</v>
      </c>
      <c r="E123" s="451" t="n">
        <f aca="false">IF(AND(L122&lt;L_rampe,Poussee&lt;Poids*SIN(M122)),0,(-W122+Poussee)/m*SIN(M122)+U122/m*COS(M122)-Poids/m)</f>
        <v>63.4446016083556</v>
      </c>
      <c r="F123" s="449" t="n">
        <f aca="false">SQRT(acc_x^2+acc_z^2)</f>
        <v>65.2412928173583</v>
      </c>
      <c r="G123" s="450" t="n">
        <f aca="false">G122+acc_x*pas</f>
        <v>17.4006192864788</v>
      </c>
      <c r="H123" s="451" t="n">
        <f aca="false">H122+acc_z*pas</f>
        <v>83.7315053712023</v>
      </c>
      <c r="I123" s="449" t="n">
        <f aca="false">SQRT(vit_x^2+vit_z^2)</f>
        <v>85.5204451770491</v>
      </c>
      <c r="J123" s="450" t="n">
        <f aca="false">J122+0.5*(vit_x+G122)*pas*(K122&gt;=0)</f>
        <v>9.90715025528132</v>
      </c>
      <c r="K123" s="451" t="n">
        <f aca="false">K122+0.5*(vit_z+H122)*pas</f>
        <v>50.6488075326633</v>
      </c>
      <c r="L123" s="449" t="n">
        <f aca="false">SQRT(pos_x^2+pos_z^2)</f>
        <v>51.6086555788997</v>
      </c>
      <c r="M123" s="450" t="n">
        <f aca="false">IF(AND(L122&gt;L_rampe,G123&gt;0),ATAN2(G123,H123),$M$4)</f>
        <v>1.36589825906496</v>
      </c>
      <c r="N123" s="449" t="n">
        <f aca="false">DEGREES(Beta)</f>
        <v>78.2602054886887</v>
      </c>
      <c r="O123" s="438"/>
      <c r="P123" s="452" t="n">
        <f aca="false">MATCH(t-pas/2-T_ini,CdP_t)</f>
        <v>4</v>
      </c>
      <c r="Q123" s="449" t="n">
        <f aca="false">(INDEX(CdP,2,i_P+1)-INDEX(CdP,2,i_P+0))/(INDEX(CdP,1,i_P+1)-INDEX(CdP,1,i_P+0))*(t-pas/2-T_ini-INDEX(CdP,1,i_P+0))+INDEX(CdP,2,i_P+0)</f>
        <v>709.4</v>
      </c>
      <c r="R123" s="450" t="n">
        <f aca="false">Poussee/(g*ISP)</f>
        <v>0.356014807833383</v>
      </c>
      <c r="S123" s="451" t="n">
        <f aca="false">S122-Débit*pas</f>
        <v>9.22100039060033</v>
      </c>
      <c r="T123" s="449" t="n">
        <f aca="false">m*g</f>
        <v>90.4580138317892</v>
      </c>
      <c r="U123" s="453" t="n">
        <f aca="false">IF(pos_xz&lt;L_rampe,Poids*COS(Beta),0)</f>
        <v>0</v>
      </c>
      <c r="V123" s="450" t="n">
        <f aca="false">Rho_moyen*(20000-Alt_rampe-pos_z)/(20000+Alt_rampe+pos_z)</f>
        <v>1.2188111938598</v>
      </c>
      <c r="W123" s="449" t="n">
        <f aca="false">1/2*Rho*Sref*Cx*vit_xz^2</f>
        <v>19.8204074038371</v>
      </c>
      <c r="X123" s="438"/>
      <c r="Y123" s="454" t="str">
        <f aca="false">IF(AND(pos_z&lt;=0,K122&gt;0),"Impact balistique","") &amp; IF(AND(H124&lt;0,vit_z&gt;=0),"Apogée","") &amp; IF(AND(Poussee=0,Q122&gt;0),"Fin de propulsion","") &amp; IF(AND(L124&gt;L_rampe,pos_xz&lt;=L_rampe),"Sortie de rampe","")</f>
        <v/>
      </c>
      <c r="Z123" s="455" t="str">
        <f aca="false">IF(ABS(t-T_para)&lt;pas/2,"Para","")</f>
        <v/>
      </c>
      <c r="AA123" s="456" t="str">
        <f aca="false">IF(ABS(t-T_satellite)&lt;pas/2,"Satellite","")</f>
        <v/>
      </c>
      <c r="AB123" s="444"/>
      <c r="AC123" s="452" t="e">
        <f aca="false">IF(ABS(t-ROUND(t,0))&lt;0.001,t,NA())</f>
        <v>#N/A</v>
      </c>
      <c r="AD123" s="457" t="e">
        <f aca="false">IF(ABS(t-ROUND(t,0))&lt;0.001,pos_x,NA())</f>
        <v>#N/A</v>
      </c>
      <c r="AE123" s="458" t="n">
        <f aca="false">IF(t&lt;T_para, pos_z, NA())</f>
        <v>50.6488075326633</v>
      </c>
      <c r="AF123" s="444"/>
      <c r="AG123" s="450" t="n">
        <f aca="false">IF(AND(L122&lt;L_rampe,Poussee&lt;Poids*SIN(M122)),0,(-W122+Poussee)/m-Poids*SIN(M122)/m)</f>
        <v>65.2108207856544</v>
      </c>
      <c r="AH123" s="449" t="n">
        <f aca="false">IF(AND(L122&lt;L_rampe,Poussee&lt;Poids*SIN(M122)), g*SIN(M122), (-W122+Poussee)/m)</f>
        <v>74.8160776306552</v>
      </c>
    </row>
    <row r="124" customFormat="false" ht="12" hidden="false" customHeight="false" outlineLevel="0" collapsed="false">
      <c r="A124" s="448" t="n">
        <f aca="false">IF(B123+0.01&lt;=T_ini+ROUNDUP(Temps_fin_propu,0), 0.01, IF(K123&gt;0, 0.1, 0.0001))</f>
        <v>0.01</v>
      </c>
      <c r="B124" s="449" t="n">
        <f aca="false">B123+pas</f>
        <v>1.2</v>
      </c>
      <c r="C124" s="432"/>
      <c r="D124" s="450" t="n">
        <f aca="false">IF(AND(L123&lt;L_rampe,Poussee&lt;Poids*SIN(M123)),0,(-W123+Poussee)/m*COS(M123)-U123/m*SIN(M123))</f>
        <v>15.1865666019284</v>
      </c>
      <c r="E124" s="451" t="n">
        <f aca="false">IF(AND(L123&lt;L_rampe,Poussee&lt;Poids*SIN(M123)),0,(-W123+Poussee)/m*SIN(M123)+U123/m*COS(M123)-Poids/m)</f>
        <v>63.2675187977119</v>
      </c>
      <c r="F124" s="449" t="n">
        <f aca="false">SQRT(acc_x^2+acc_z^2)</f>
        <v>65.0646658331051</v>
      </c>
      <c r="G124" s="450" t="n">
        <f aca="false">G123+acc_x*pas</f>
        <v>17.5524849524981</v>
      </c>
      <c r="H124" s="451" t="n">
        <f aca="false">H123+acc_z*pas</f>
        <v>84.3641805591794</v>
      </c>
      <c r="I124" s="449" t="n">
        <f aca="false">SQRT(vit_x^2+vit_z^2)</f>
        <v>86.1707879123169</v>
      </c>
      <c r="J124" s="450" t="n">
        <f aca="false">J123+0.5*(vit_x+G123)*pas*(K123&gt;=0)</f>
        <v>10.0819157764762</v>
      </c>
      <c r="K124" s="451" t="n">
        <f aca="false">K123+0.5*(vit_z+H123)*pas</f>
        <v>51.4892859623152</v>
      </c>
      <c r="L124" s="449" t="n">
        <f aca="false">SQRT(pos_x^2+pos_z^2)</f>
        <v>52.4670524675537</v>
      </c>
      <c r="M124" s="450" t="n">
        <f aca="false">IF(AND(L123&gt;L_rampe,G124&gt;0),ATAN2(G124,H124),$M$4)</f>
        <v>1.36566662432225</v>
      </c>
      <c r="N124" s="449" t="n">
        <f aca="false">DEGREES(Beta)</f>
        <v>78.2469337955432</v>
      </c>
      <c r="O124" s="438"/>
      <c r="P124" s="452" t="n">
        <f aca="false">MATCH(t-pas/2-T_ini,CdP_t)</f>
        <v>4</v>
      </c>
      <c r="Q124" s="449" t="n">
        <f aca="false">(INDEX(CdP,2,i_P+1)-INDEX(CdP,2,i_P+0))/(INDEX(CdP,1,i_P+1)-INDEX(CdP,1,i_P+0))*(t-pas/2-T_ini-INDEX(CdP,1,i_P+0))+INDEX(CdP,2,i_P+0)</f>
        <v>707.8</v>
      </c>
      <c r="R124" s="450" t="n">
        <f aca="false">Poussee/(g*ISP)</f>
        <v>0.355211842380136</v>
      </c>
      <c r="S124" s="451" t="n">
        <f aca="false">S123-Débit*pas</f>
        <v>9.21744827217653</v>
      </c>
      <c r="T124" s="449" t="n">
        <f aca="false">m*g</f>
        <v>90.4231675500518</v>
      </c>
      <c r="U124" s="453" t="n">
        <f aca="false">IF(pos_xz&lt;L_rampe,Poids*COS(Beta),0)</f>
        <v>0</v>
      </c>
      <c r="V124" s="450" t="n">
        <f aca="false">Rho_moyen*(20000-Alt_rampe-pos_z)/(20000+Alt_rampe+pos_z)</f>
        <v>1.21870875904485</v>
      </c>
      <c r="W124" s="449" t="n">
        <f aca="false">1/2*Rho*Sref*Cx*vit_xz^2</f>
        <v>20.1213121001686</v>
      </c>
      <c r="X124" s="438"/>
      <c r="Y124" s="454" t="str">
        <f aca="false">IF(AND(pos_z&lt;=0,K123&gt;0),"Impact balistique","") &amp; IF(AND(H125&lt;0,vit_z&gt;=0),"Apogée","") &amp; IF(AND(Poussee=0,Q123&gt;0),"Fin de propulsion","") &amp; IF(AND(L125&gt;L_rampe,pos_xz&lt;=L_rampe),"Sortie de rampe","")</f>
        <v/>
      </c>
      <c r="Z124" s="455" t="str">
        <f aca="false">IF(ABS(t-T_para)&lt;pas/2,"Para","")</f>
        <v/>
      </c>
      <c r="AA124" s="456" t="str">
        <f aca="false">IF(ABS(t-T_satellite)&lt;pas/2,"Satellite","")</f>
        <v/>
      </c>
      <c r="AB124" s="444"/>
      <c r="AC124" s="452" t="e">
        <f aca="false">IF(ABS(t-ROUND(t,0))&lt;0.001,t,NA())</f>
        <v>#N/A</v>
      </c>
      <c r="AD124" s="457" t="e">
        <f aca="false">IF(ABS(t-ROUND(t,0))&lt;0.001,pos_x,NA())</f>
        <v>#N/A</v>
      </c>
      <c r="AE124" s="458" t="n">
        <f aca="false">IF(t&lt;T_para, pos_z, NA())</f>
        <v>51.4892859623152</v>
      </c>
      <c r="AF124" s="444"/>
      <c r="AG124" s="450" t="n">
        <f aca="false">IF(AND(L123&lt;L_rampe,Poussee&lt;Poids*SIN(M123)),0,(-W123+Poussee)/m-Poids*SIN(M123)/m)</f>
        <v>65.034042353591</v>
      </c>
      <c r="AH124" s="449" t="n">
        <f aca="false">IF(AND(L123&lt;L_rampe,Poussee&lt;Poids*SIN(M123)), g*SIN(M123), (-W123+Poussee)/m)</f>
        <v>74.6388341199456</v>
      </c>
    </row>
    <row r="125" customFormat="false" ht="12" hidden="false" customHeight="false" outlineLevel="0" collapsed="false">
      <c r="A125" s="448" t="n">
        <f aca="false">IF(B124+0.01&lt;=T_ini+ROUNDUP(Temps_fin_propu,0), 0.01, IF(K124&gt;0, 0.1, 0.0001))</f>
        <v>0.01</v>
      </c>
      <c r="B125" s="449" t="n">
        <f aca="false">B124+pas</f>
        <v>1.21</v>
      </c>
      <c r="C125" s="432"/>
      <c r="D125" s="450" t="n">
        <f aca="false">IF(AND(L124&lt;L_rampe,Poussee&lt;Poids*SIN(M124)),0,(-W124+Poussee)/m*COS(M124)-U124/m*SIN(M124))</f>
        <v>15.1673176572107</v>
      </c>
      <c r="E125" s="451" t="n">
        <f aca="false">IF(AND(L124&lt;L_rampe,Poussee&lt;Poids*SIN(M124)),0,(-W124+Poussee)/m*SIN(M124)+U124/m*COS(M124)-Poids/m)</f>
        <v>63.0901237656231</v>
      </c>
      <c r="F125" s="449" t="n">
        <f aca="false">SQRT(acc_x^2+acc_z^2)</f>
        <v>64.8876817406538</v>
      </c>
      <c r="G125" s="450" t="n">
        <f aca="false">G124+acc_x*pas</f>
        <v>17.7041581290702</v>
      </c>
      <c r="H125" s="451" t="n">
        <f aca="false">H124+acc_z*pas</f>
        <v>84.9950817968356</v>
      </c>
      <c r="I125" s="449" t="n">
        <f aca="false">SQRT(vit_x^2+vit_z^2)</f>
        <v>86.8193592737812</v>
      </c>
      <c r="J125" s="450" t="n">
        <f aca="false">J124+0.5*(vit_x+G124)*pas*(K124&gt;=0)</f>
        <v>10.258198991884</v>
      </c>
      <c r="K125" s="451" t="n">
        <f aca="false">K124+0.5*(vit_z+H124)*pas</f>
        <v>52.3360822740953</v>
      </c>
      <c r="L125" s="449" t="n">
        <f aca="false">SQRT(pos_x^2+pos_z^2)</f>
        <v>53.3319430956529</v>
      </c>
      <c r="M125" s="450" t="n">
        <f aca="false">IF(AND(L124&gt;L_rampe,G125&gt;0),ATAN2(G125,H125),$M$4)</f>
        <v>1.3654364637227</v>
      </c>
      <c r="N125" s="449" t="n">
        <f aca="false">DEGREES(Beta)</f>
        <v>78.2337465645785</v>
      </c>
      <c r="O125" s="438"/>
      <c r="P125" s="452" t="n">
        <f aca="false">MATCH(t-pas/2-T_ini,CdP_t)</f>
        <v>4</v>
      </c>
      <c r="Q125" s="449" t="n">
        <f aca="false">(INDEX(CdP,2,i_P+1)-INDEX(CdP,2,i_P+0))/(INDEX(CdP,1,i_P+1)-INDEX(CdP,1,i_P+0))*(t-pas/2-T_ini-INDEX(CdP,1,i_P+0))+INDEX(CdP,2,i_P+0)</f>
        <v>706.2</v>
      </c>
      <c r="R125" s="450" t="n">
        <f aca="false">Poussee/(g*ISP)</f>
        <v>0.354408876926889</v>
      </c>
      <c r="S125" s="451" t="n">
        <f aca="false">S124-Débit*pas</f>
        <v>9.21390418340726</v>
      </c>
      <c r="T125" s="449" t="n">
        <f aca="false">m*g</f>
        <v>90.3884000392252</v>
      </c>
      <c r="U125" s="453" t="n">
        <f aca="false">IF(pos_xz&lt;L_rampe,Poids*COS(Beta),0)</f>
        <v>0</v>
      </c>
      <c r="V125" s="450" t="n">
        <f aca="false">Rho_moyen*(20000-Alt_rampe-pos_z)/(20000+Alt_rampe+pos_z)</f>
        <v>1.2186055629107</v>
      </c>
      <c r="W125" s="449" t="n">
        <f aca="false">1/2*Rho*Sref*Cx*vit_xz^2</f>
        <v>20.4236117575486</v>
      </c>
      <c r="X125" s="438"/>
      <c r="Y125" s="454" t="str">
        <f aca="false">IF(AND(pos_z&lt;=0,K124&gt;0),"Impact balistique","") &amp; IF(AND(H126&lt;0,vit_z&gt;=0),"Apogée","") &amp; IF(AND(Poussee=0,Q124&gt;0),"Fin de propulsion","") &amp; IF(AND(L126&gt;L_rampe,pos_xz&lt;=L_rampe),"Sortie de rampe","")</f>
        <v/>
      </c>
      <c r="Z125" s="455" t="str">
        <f aca="false">IF(ABS(t-T_para)&lt;pas/2,"Para","")</f>
        <v/>
      </c>
      <c r="AA125" s="456" t="str">
        <f aca="false">IF(ABS(t-T_satellite)&lt;pas/2,"Satellite","")</f>
        <v/>
      </c>
      <c r="AB125" s="444"/>
      <c r="AC125" s="452" t="e">
        <f aca="false">IF(ABS(t-ROUND(t,0))&lt;0.001,t,NA())</f>
        <v>#N/A</v>
      </c>
      <c r="AD125" s="457" t="e">
        <f aca="false">IF(ABS(t-ROUND(t,0))&lt;0.001,pos_x,NA())</f>
        <v>#N/A</v>
      </c>
      <c r="AE125" s="458" t="n">
        <f aca="false">IF(t&lt;T_para, pos_z, NA())</f>
        <v>52.3360822740953</v>
      </c>
      <c r="AF125" s="444"/>
      <c r="AG125" s="450" t="n">
        <f aca="false">IF(AND(L124&lt;L_rampe,Poussee&lt;Poids*SIN(M124)),0,(-W124+Poussee)/m-Poids*SIN(M124)/m)</f>
        <v>64.8569061884267</v>
      </c>
      <c r="AH125" s="449" t="n">
        <f aca="false">IF(AND(L124&lt;L_rampe,Poussee&lt;Poids*SIN(M124)), g*SIN(M124), (-W124+Poussee)/m)</f>
        <v>74.4612353507373</v>
      </c>
    </row>
    <row r="126" customFormat="false" ht="12" hidden="false" customHeight="false" outlineLevel="0" collapsed="false">
      <c r="A126" s="448" t="n">
        <f aca="false">IF(B125+0.01&lt;=T_ini+ROUNDUP(Temps_fin_propu,0), 0.01, IF(K125&gt;0, 0.1, 0.0001))</f>
        <v>0.01</v>
      </c>
      <c r="B126" s="449" t="n">
        <f aca="false">B125+pas</f>
        <v>1.22</v>
      </c>
      <c r="C126" s="432"/>
      <c r="D126" s="450" t="n">
        <f aca="false">IF(AND(L125&lt;L_rampe,Poussee&lt;Poids*SIN(M125)),0,(-W125+Poussee)/m*COS(M125)-U125/m*SIN(M125))</f>
        <v>15.1478081818318</v>
      </c>
      <c r="E126" s="451" t="n">
        <f aca="false">IF(AND(L125&lt;L_rampe,Poussee&lt;Poids*SIN(M125)),0,(-W125+Poussee)/m*SIN(M125)+U125/m*COS(M125)-Poids/m)</f>
        <v>62.9124184325102</v>
      </c>
      <c r="F126" s="449" t="n">
        <f aca="false">SQRT(acc_x^2+acc_z^2)</f>
        <v>64.7103429579911</v>
      </c>
      <c r="G126" s="450" t="n">
        <f aca="false">G125+acc_x*pas</f>
        <v>17.8556362108885</v>
      </c>
      <c r="H126" s="451" t="n">
        <f aca="false">H125+acc_z*pas</f>
        <v>85.6242059811607</v>
      </c>
      <c r="I126" s="449" t="n">
        <f aca="false">SQRT(vit_x^2+vit_z^2)</f>
        <v>87.4661557083643</v>
      </c>
      <c r="J126" s="450" t="n">
        <f aca="false">J125+0.5*(vit_x+G125)*pas*(K125&gt;=0)</f>
        <v>10.4359979635838</v>
      </c>
      <c r="K126" s="451" t="n">
        <f aca="false">K125+0.5*(vit_z+H125)*pas</f>
        <v>53.1891787129853</v>
      </c>
      <c r="L126" s="449" t="n">
        <f aca="false">SQRT(pos_x^2+pos_z^2)</f>
        <v>54.2033097297371</v>
      </c>
      <c r="M126" s="450" t="n">
        <f aca="false">IF(AND(L125&gt;L_rampe,G126&gt;0),ATAN2(G126,H126),$M$4)</f>
        <v>1.36520775239462</v>
      </c>
      <c r="N126" s="449" t="n">
        <f aca="false">DEGREES(Beta)</f>
        <v>78.220642370753</v>
      </c>
      <c r="O126" s="438"/>
      <c r="P126" s="452" t="n">
        <f aca="false">MATCH(t-pas/2-T_ini,CdP_t)</f>
        <v>4</v>
      </c>
      <c r="Q126" s="449" t="n">
        <f aca="false">(INDEX(CdP,2,i_P+1)-INDEX(CdP,2,i_P+0))/(INDEX(CdP,1,i_P+1)-INDEX(CdP,1,i_P+0))*(t-pas/2-T_ini-INDEX(CdP,1,i_P+0))+INDEX(CdP,2,i_P+0)</f>
        <v>704.6</v>
      </c>
      <c r="R126" s="450" t="n">
        <f aca="false">Poussee/(g*ISP)</f>
        <v>0.353605911473642</v>
      </c>
      <c r="S126" s="451" t="n">
        <f aca="false">S125-Débit*pas</f>
        <v>9.21036812429252</v>
      </c>
      <c r="T126" s="449" t="n">
        <f aca="false">m*g</f>
        <v>90.3537112993097</v>
      </c>
      <c r="U126" s="453" t="n">
        <f aca="false">IF(pos_xz&lt;L_rampe,Poids*COS(Beta),0)</f>
        <v>0</v>
      </c>
      <c r="V126" s="450" t="n">
        <f aca="false">Rho_moyen*(20000-Alt_rampe-pos_z)/(20000+Alt_rampe+pos_z)</f>
        <v>1.21850160781482</v>
      </c>
      <c r="W126" s="449" t="n">
        <f aca="false">1/2*Rho*Sref*Cx*vit_xz^2</f>
        <v>20.7272851158663</v>
      </c>
      <c r="X126" s="438"/>
      <c r="Y126" s="454" t="str">
        <f aca="false">IF(AND(pos_z&lt;=0,K125&gt;0),"Impact balistique","") &amp; IF(AND(H127&lt;0,vit_z&gt;=0),"Apogée","") &amp; IF(AND(Poussee=0,Q125&gt;0),"Fin de propulsion","") &amp; IF(AND(L127&gt;L_rampe,pos_xz&lt;=L_rampe),"Sortie de rampe","")</f>
        <v/>
      </c>
      <c r="Z126" s="455" t="str">
        <f aca="false">IF(ABS(t-T_para)&lt;pas/2,"Para","")</f>
        <v/>
      </c>
      <c r="AA126" s="456" t="str">
        <f aca="false">IF(ABS(t-T_satellite)&lt;pas/2,"Satellite","")</f>
        <v/>
      </c>
      <c r="AB126" s="444"/>
      <c r="AC126" s="452" t="e">
        <f aca="false">IF(ABS(t-ROUND(t,0))&lt;0.001,t,NA())</f>
        <v>#N/A</v>
      </c>
      <c r="AD126" s="457" t="e">
        <f aca="false">IF(ABS(t-ROUND(t,0))&lt;0.001,pos_x,NA())</f>
        <v>#N/A</v>
      </c>
      <c r="AE126" s="458" t="n">
        <f aca="false">IF(t&lt;T_para, pos_z, NA())</f>
        <v>53.1891787129853</v>
      </c>
      <c r="AF126" s="444"/>
      <c r="AG126" s="450" t="n">
        <f aca="false">IF(AND(L125&lt;L_rampe,Poussee&lt;Poids*SIN(M125)),0,(-W125+Poussee)/m-Poids*SIN(M125)/m)</f>
        <v>64.6794146955165</v>
      </c>
      <c r="AH126" s="449" t="n">
        <f aca="false">IF(AND(L125&lt;L_rampe,Poussee&lt;Poids*SIN(M125)), g*SIN(M125), (-W125+Poussee)/m)</f>
        <v>74.2832836874264</v>
      </c>
    </row>
    <row r="127" customFormat="false" ht="12" hidden="false" customHeight="false" outlineLevel="0" collapsed="false">
      <c r="A127" s="448" t="n">
        <f aca="false">IF(B126+0.01&lt;=T_ini+ROUNDUP(Temps_fin_propu,0), 0.01, IF(K126&gt;0, 0.1, 0.0001))</f>
        <v>0.01</v>
      </c>
      <c r="B127" s="449" t="n">
        <f aca="false">B126+pas</f>
        <v>1.23</v>
      </c>
      <c r="C127" s="432"/>
      <c r="D127" s="450" t="n">
        <f aca="false">IF(AND(L126&lt;L_rampe,Poussee&lt;Poids*SIN(M126)),0,(-W126+Poussee)/m*COS(M126)-U126/m*SIN(M126))</f>
        <v>15.1280410157476</v>
      </c>
      <c r="E127" s="451" t="n">
        <f aca="false">IF(AND(L126&lt;L_rampe,Poussee&lt;Poids*SIN(M126)),0,(-W126+Poussee)/m*SIN(M126)+U126/m*COS(M126)-Poids/m)</f>
        <v>62.7344047316509</v>
      </c>
      <c r="F127" s="449" t="n">
        <f aca="false">SQRT(acc_x^2+acc_z^2)</f>
        <v>64.5326519059051</v>
      </c>
      <c r="G127" s="450" t="n">
        <f aca="false">G126+acc_x*pas</f>
        <v>18.006916621046</v>
      </c>
      <c r="H127" s="451" t="n">
        <f aca="false">H126+acc_z*pas</f>
        <v>86.2515500284773</v>
      </c>
      <c r="I127" s="449" t="n">
        <f aca="false">SQRT(vit_x^2+vit_z^2)</f>
        <v>88.1111736870655</v>
      </c>
      <c r="J127" s="450" t="n">
        <f aca="false">J126+0.5*(vit_x+G126)*pas*(K126&gt;=0)</f>
        <v>10.6153107277435</v>
      </c>
      <c r="K127" s="451" t="n">
        <f aca="false">K126+0.5*(vit_z+H126)*pas</f>
        <v>54.0485574930335</v>
      </c>
      <c r="L127" s="449" t="n">
        <f aca="false">SQRT(pos_x^2+pos_z^2)</f>
        <v>55.0811346009166</v>
      </c>
      <c r="M127" s="450" t="n">
        <f aca="false">IF(AND(L126&gt;L_rampe,G127&gt;0),ATAN2(G127,H127),$M$4)</f>
        <v>1.36498046606524</v>
      </c>
      <c r="N127" s="449" t="n">
        <f aca="false">DEGREES(Beta)</f>
        <v>78.2076198233386</v>
      </c>
      <c r="O127" s="438"/>
      <c r="P127" s="452" t="n">
        <f aca="false">MATCH(t-pas/2-T_ini,CdP_t)</f>
        <v>4</v>
      </c>
      <c r="Q127" s="449" t="n">
        <f aca="false">(INDEX(CdP,2,i_P+1)-INDEX(CdP,2,i_P+0))/(INDEX(CdP,1,i_P+1)-INDEX(CdP,1,i_P+0))*(t-pas/2-T_ini-INDEX(CdP,1,i_P+0))+INDEX(CdP,2,i_P+0)</f>
        <v>703</v>
      </c>
      <c r="R127" s="450" t="n">
        <f aca="false">Poussee/(g*ISP)</f>
        <v>0.352802946020395</v>
      </c>
      <c r="S127" s="451" t="n">
        <f aca="false">S126-Débit*pas</f>
        <v>9.20684009483232</v>
      </c>
      <c r="T127" s="449" t="n">
        <f aca="false">m*g</f>
        <v>90.3191013303051</v>
      </c>
      <c r="U127" s="453" t="n">
        <f aca="false">IF(pos_xz&lt;L_rampe,Poids*COS(Beta),0)</f>
        <v>0</v>
      </c>
      <c r="V127" s="450" t="n">
        <f aca="false">Rho_moyen*(20000-Alt_rampe-pos_z)/(20000+Alt_rampe+pos_z)</f>
        <v>1.21839689611909</v>
      </c>
      <c r="W127" s="449" t="n">
        <f aca="false">1/2*Rho*Sref*Cx*vit_xz^2</f>
        <v>21.0323109318207</v>
      </c>
      <c r="X127" s="438"/>
      <c r="Y127" s="454" t="str">
        <f aca="false">IF(AND(pos_z&lt;=0,K126&gt;0),"Impact balistique","") &amp; IF(AND(H128&lt;0,vit_z&gt;=0),"Apogée","") &amp; IF(AND(Poussee=0,Q126&gt;0),"Fin de propulsion","") &amp; IF(AND(L128&gt;L_rampe,pos_xz&lt;=L_rampe),"Sortie de rampe","")</f>
        <v/>
      </c>
      <c r="Z127" s="455" t="str">
        <f aca="false">IF(ABS(t-T_para)&lt;pas/2,"Para","")</f>
        <v/>
      </c>
      <c r="AA127" s="456" t="str">
        <f aca="false">IF(ABS(t-T_satellite)&lt;pas/2,"Satellite","")</f>
        <v/>
      </c>
      <c r="AB127" s="444"/>
      <c r="AC127" s="452" t="e">
        <f aca="false">IF(ABS(t-ROUND(t,0))&lt;0.001,t,NA())</f>
        <v>#N/A</v>
      </c>
      <c r="AD127" s="457" t="e">
        <f aca="false">IF(ABS(t-ROUND(t,0))&lt;0.001,pos_x,NA())</f>
        <v>#N/A</v>
      </c>
      <c r="AE127" s="458" t="n">
        <f aca="false">IF(t&lt;T_para, pos_z, NA())</f>
        <v>54.0485574930335</v>
      </c>
      <c r="AF127" s="444"/>
      <c r="AG127" s="450" t="n">
        <f aca="false">IF(AND(L126&lt;L_rampe,Poussee&lt;Poids*SIN(M126)),0,(-W126+Poussee)/m-Poids*SIN(M126)/m)</f>
        <v>64.5015702830238</v>
      </c>
      <c r="AH127" s="449" t="n">
        <f aca="false">IF(AND(L126&lt;L_rampe,Poussee&lt;Poids*SIN(M126)), g*SIN(M126), (-W126+Poussee)/m)</f>
        <v>74.1049814981673</v>
      </c>
    </row>
    <row r="128" customFormat="false" ht="12" hidden="false" customHeight="false" outlineLevel="0" collapsed="false">
      <c r="A128" s="448" t="n">
        <f aca="false">IF(B127+0.01&lt;=T_ini+ROUNDUP(Temps_fin_propu,0), 0.01, IF(K127&gt;0, 0.1, 0.0001))</f>
        <v>0.01</v>
      </c>
      <c r="B128" s="449" t="n">
        <f aca="false">B127+pas</f>
        <v>1.24</v>
      </c>
      <c r="C128" s="432"/>
      <c r="D128" s="450" t="n">
        <f aca="false">IF(AND(L127&lt;L_rampe,Poussee&lt;Poids*SIN(M127)),0,(-W127+Poussee)/m*COS(M127)-U127/m*SIN(M127))</f>
        <v>15.1080189435608</v>
      </c>
      <c r="E128" s="451" t="n">
        <f aca="false">IF(AND(L127&lt;L_rampe,Poussee&lt;Poids*SIN(M127)),0,(-W127+Poussee)/m*SIN(M127)+U127/m*COS(M127)-Poids/m)</f>
        <v>62.5560846087721</v>
      </c>
      <c r="F128" s="449" t="n">
        <f aca="false">SQRT(acc_x^2+acc_z^2)</f>
        <v>64.3546110079056</v>
      </c>
      <c r="G128" s="450" t="n">
        <f aca="false">G127+acc_x*pas</f>
        <v>18.1579968104816</v>
      </c>
      <c r="H128" s="451" t="n">
        <f aca="false">H127+acc_z*pas</f>
        <v>86.877110874565</v>
      </c>
      <c r="I128" s="449" t="n">
        <f aca="false">SQRT(vit_x^2+vit_z^2)</f>
        <v>88.7544097049883</v>
      </c>
      <c r="J128" s="450" t="n">
        <f aca="false">J127+0.5*(vit_x+G127)*pas*(K127&gt;=0)</f>
        <v>10.7961352949011</v>
      </c>
      <c r="K128" s="451" t="n">
        <f aca="false">K127+0.5*(vit_z+H127)*pas</f>
        <v>54.9142007975487</v>
      </c>
      <c r="L128" s="449" t="n">
        <f aca="false">SQRT(pos_x^2+pos_z^2)</f>
        <v>55.9653999051138</v>
      </c>
      <c r="M128" s="450" t="n">
        <f aca="false">IF(AND(L127&gt;L_rampe,G128&gt;0),ATAN2(G128,H128),$M$4)</f>
        <v>1.36475458104125</v>
      </c>
      <c r="N128" s="449" t="n">
        <f aca="false">DEGREES(Beta)</f>
        <v>78.1946775648083</v>
      </c>
      <c r="O128" s="438"/>
      <c r="P128" s="452" t="n">
        <f aca="false">MATCH(t-pas/2-T_ini,CdP_t)</f>
        <v>4</v>
      </c>
      <c r="Q128" s="449" t="n">
        <f aca="false">(INDEX(CdP,2,i_P+1)-INDEX(CdP,2,i_P+0))/(INDEX(CdP,1,i_P+1)-INDEX(CdP,1,i_P+0))*(t-pas/2-T_ini-INDEX(CdP,1,i_P+0))+INDEX(CdP,2,i_P+0)</f>
        <v>701.4</v>
      </c>
      <c r="R128" s="450" t="n">
        <f aca="false">Poussee/(g*ISP)</f>
        <v>0.351999980567148</v>
      </c>
      <c r="S128" s="451" t="n">
        <f aca="false">S127-Débit*pas</f>
        <v>9.20332009502665</v>
      </c>
      <c r="T128" s="449" t="n">
        <f aca="false">m*g</f>
        <v>90.2845701322114</v>
      </c>
      <c r="U128" s="453" t="n">
        <f aca="false">IF(pos_xz&lt;L_rampe,Poids*COS(Beta),0)</f>
        <v>0</v>
      </c>
      <c r="V128" s="450" t="n">
        <f aca="false">Rho_moyen*(20000-Alt_rampe-pos_z)/(20000+Alt_rampe+pos_z)</f>
        <v>1.21829143018978</v>
      </c>
      <c r="W128" s="449" t="n">
        <f aca="false">1/2*Rho*Sref*Cx*vit_xz^2</f>
        <v>21.3386679798491</v>
      </c>
      <c r="X128" s="438"/>
      <c r="Y128" s="454" t="str">
        <f aca="false">IF(AND(pos_z&lt;=0,K127&gt;0),"Impact balistique","") &amp; IF(AND(H129&lt;0,vit_z&gt;=0),"Apogée","") &amp; IF(AND(Poussee=0,Q127&gt;0),"Fin de propulsion","") &amp; IF(AND(L129&gt;L_rampe,pos_xz&lt;=L_rampe),"Sortie de rampe","")</f>
        <v/>
      </c>
      <c r="Z128" s="455" t="str">
        <f aca="false">IF(ABS(t-T_para)&lt;pas/2,"Para","")</f>
        <v/>
      </c>
      <c r="AA128" s="456" t="str">
        <f aca="false">IF(ABS(t-T_satellite)&lt;pas/2,"Satellite","")</f>
        <v/>
      </c>
      <c r="AB128" s="444"/>
      <c r="AC128" s="452" t="e">
        <f aca="false">IF(ABS(t-ROUND(t,0))&lt;0.001,t,NA())</f>
        <v>#N/A</v>
      </c>
      <c r="AD128" s="457" t="e">
        <f aca="false">IF(ABS(t-ROUND(t,0))&lt;0.001,pos_x,NA())</f>
        <v>#N/A</v>
      </c>
      <c r="AE128" s="458" t="n">
        <f aca="false">IF(t&lt;T_para, pos_z, NA())</f>
        <v>54.9142007975487</v>
      </c>
      <c r="AF128" s="444"/>
      <c r="AG128" s="450" t="n">
        <f aca="false">IF(AND(L127&lt;L_rampe,Poussee&lt;Poids*SIN(M127)),0,(-W127+Poussee)/m-Poids*SIN(M127)/m)</f>
        <v>64.323375361836</v>
      </c>
      <c r="AH128" s="449" t="n">
        <f aca="false">IF(AND(L127&lt;L_rampe,Poussee&lt;Poids*SIN(M127)), g*SIN(M127), (-W127+Poussee)/m)</f>
        <v>73.9263311547581</v>
      </c>
    </row>
    <row r="129" customFormat="false" ht="12" hidden="false" customHeight="false" outlineLevel="0" collapsed="false">
      <c r="A129" s="448" t="n">
        <f aca="false">IF(B128+0.01&lt;=T_ini+ROUNDUP(Temps_fin_propu,0), 0.01, IF(K128&gt;0, 0.1, 0.0001))</f>
        <v>0.01</v>
      </c>
      <c r="B129" s="449" t="n">
        <f aca="false">B128+pas</f>
        <v>1.25</v>
      </c>
      <c r="C129" s="432"/>
      <c r="D129" s="450" t="n">
        <f aca="false">IF(AND(L128&lt;L_rampe,Poussee&lt;Poids*SIN(M128)),0,(-W128+Poussee)/m*COS(M128)-U128/m*SIN(M128))</f>
        <v>15.0877446963277</v>
      </c>
      <c r="E129" s="451" t="n">
        <f aca="false">IF(AND(L128&lt;L_rampe,Poussee&lt;Poids*SIN(M128)),0,(-W128+Poussee)/m*SIN(M128)+U128/m*COS(M128)-Poids/m)</f>
        <v>62.3774600216554</v>
      </c>
      <c r="F129" s="449" t="n">
        <f aca="false">SQRT(acc_x^2+acc_z^2)</f>
        <v>64.1762226901427</v>
      </c>
      <c r="G129" s="450" t="n">
        <f aca="false">G128+acc_x*pas</f>
        <v>18.3088742574449</v>
      </c>
      <c r="H129" s="451" t="n">
        <f aca="false">H128+acc_z*pas</f>
        <v>87.5008854747815</v>
      </c>
      <c r="I129" s="449" t="n">
        <f aca="false">SQRT(vit_x^2+vit_z^2)</f>
        <v>89.3958602813674</v>
      </c>
      <c r="J129" s="450" t="n">
        <f aca="false">J128+0.5*(vit_x+G128)*pas*(K128&gt;=0)</f>
        <v>10.9784696502408</v>
      </c>
      <c r="K129" s="451" t="n">
        <f aca="false">K128+0.5*(vit_z+H128)*pas</f>
        <v>55.7860907792954</v>
      </c>
      <c r="L129" s="449" t="n">
        <f aca="false">SQRT(pos_x^2+pos_z^2)</f>
        <v>56.8560878033043</v>
      </c>
      <c r="M129" s="450" t="n">
        <f aca="false">IF(AND(L128&gt;L_rampe,G129&gt;0),ATAN2(G129,H129),$M$4)</f>
        <v>1.36453007419017</v>
      </c>
      <c r="N129" s="449" t="n">
        <f aca="false">DEGREES(Beta)</f>
        <v>78.1818142697696</v>
      </c>
      <c r="O129" s="438"/>
      <c r="P129" s="452" t="n">
        <f aca="false">MATCH(t-pas/2-T_ini,CdP_t)</f>
        <v>4</v>
      </c>
      <c r="Q129" s="449" t="n">
        <f aca="false">(INDEX(CdP,2,i_P+1)-INDEX(CdP,2,i_P+0))/(INDEX(CdP,1,i_P+1)-INDEX(CdP,1,i_P+0))*(t-pas/2-T_ini-INDEX(CdP,1,i_P+0))+INDEX(CdP,2,i_P+0)</f>
        <v>699.8</v>
      </c>
      <c r="R129" s="450" t="n">
        <f aca="false">Poussee/(g*ISP)</f>
        <v>0.351197015113901</v>
      </c>
      <c r="S129" s="451" t="n">
        <f aca="false">S128-Débit*pas</f>
        <v>9.19980812487551</v>
      </c>
      <c r="T129" s="449" t="n">
        <f aca="false">m*g</f>
        <v>90.2501177050287</v>
      </c>
      <c r="U129" s="453" t="n">
        <f aca="false">IF(pos_xz&lt;L_rampe,Poids*COS(Beta),0)</f>
        <v>0</v>
      </c>
      <c r="V129" s="450" t="n">
        <f aca="false">Rho_moyen*(20000-Alt_rampe-pos_z)/(20000+Alt_rampe+pos_z)</f>
        <v>1.21818521239753</v>
      </c>
      <c r="W129" s="449" t="n">
        <f aca="false">1/2*Rho*Sref*Cx*vit_xz^2</f>
        <v>21.6463350530517</v>
      </c>
      <c r="X129" s="438"/>
      <c r="Y129" s="454" t="str">
        <f aca="false">IF(AND(pos_z&lt;=0,K128&gt;0),"Impact balistique","") &amp; IF(AND(H130&lt;0,vit_z&gt;=0),"Apogée","") &amp; IF(AND(Poussee=0,Q128&gt;0),"Fin de propulsion","") &amp; IF(AND(L130&gt;L_rampe,pos_xz&lt;=L_rampe),"Sortie de rampe","")</f>
        <v/>
      </c>
      <c r="Z129" s="455" t="str">
        <f aca="false">IF(ABS(t-T_para)&lt;pas/2,"Para","")</f>
        <v/>
      </c>
      <c r="AA129" s="456" t="str">
        <f aca="false">IF(ABS(t-T_satellite)&lt;pas/2,"Satellite","")</f>
        <v/>
      </c>
      <c r="AB129" s="444"/>
      <c r="AC129" s="452" t="e">
        <f aca="false">IF(ABS(t-ROUND(t,0))&lt;0.001,t,NA())</f>
        <v>#N/A</v>
      </c>
      <c r="AD129" s="457" t="e">
        <f aca="false">IF(ABS(t-ROUND(t,0))&lt;0.001,pos_x,NA())</f>
        <v>#N/A</v>
      </c>
      <c r="AE129" s="458" t="n">
        <f aca="false">IF(t&lt;T_para, pos_z, NA())</f>
        <v>55.7860907792954</v>
      </c>
      <c r="AF129" s="444"/>
      <c r="AG129" s="450" t="n">
        <f aca="false">IF(AND(L128&lt;L_rampe,Poussee&lt;Poids*SIN(M128)),0,(-W128+Poussee)/m-Poids*SIN(M128)/m)</f>
        <v>64.1448323454785</v>
      </c>
      <c r="AH129" s="449" t="n">
        <f aca="false">IF(AND(L128&lt;L_rampe,Poussee&lt;Poids*SIN(M128)), g*SIN(M128), (-W128+Poussee)/m)</f>
        <v>73.7473350325262</v>
      </c>
    </row>
    <row r="130" customFormat="false" ht="12" hidden="false" customHeight="false" outlineLevel="0" collapsed="false">
      <c r="A130" s="448" t="n">
        <f aca="false">IF(B129+0.01&lt;=T_ini+ROUNDUP(Temps_fin_propu,0), 0.01, IF(K129&gt;0, 0.1, 0.0001))</f>
        <v>0.01</v>
      </c>
      <c r="B130" s="449" t="n">
        <f aca="false">B129+pas</f>
        <v>1.26</v>
      </c>
      <c r="C130" s="432"/>
      <c r="D130" s="450" t="n">
        <f aca="false">IF(AND(L129&lt;L_rampe,Poussee&lt;Poids*SIN(M129)),0,(-W129+Poussee)/m*COS(M129)-U129/m*SIN(M129))</f>
        <v>15.0672209532897</v>
      </c>
      <c r="E130" s="451" t="n">
        <f aca="false">IF(AND(L129&lt;L_rampe,Poussee&lt;Poids*SIN(M129)),0,(-W129+Poussee)/m*SIN(M129)+U129/m*COS(M129)-Poids/m)</f>
        <v>62.1985329397537</v>
      </c>
      <c r="F130" s="449" t="n">
        <f aca="false">SQRT(acc_x^2+acc_z^2)</f>
        <v>63.9974893813256</v>
      </c>
      <c r="G130" s="450" t="n">
        <f aca="false">G129+acc_x*pas</f>
        <v>18.4595464669778</v>
      </c>
      <c r="H130" s="451" t="n">
        <f aca="false">H129+acc_z*pas</f>
        <v>88.1228708041791</v>
      </c>
      <c r="I130" s="449" t="n">
        <f aca="false">SQRT(vit_x^2+vit_z^2)</f>
        <v>90.0355219595941</v>
      </c>
      <c r="J130" s="450" t="n">
        <f aca="false">J129+0.5*(vit_x+G129)*pas*(K129&gt;=0)</f>
        <v>11.1623117538629</v>
      </c>
      <c r="K130" s="451" t="n">
        <f aca="false">K129+0.5*(vit_z+H129)*pas</f>
        <v>56.6642095606902</v>
      </c>
      <c r="L130" s="449" t="n">
        <f aca="false">SQRT(pos_x^2+pos_z^2)</f>
        <v>57.753180421759</v>
      </c>
      <c r="M130" s="450" t="n">
        <f aca="false">IF(AND(L129&gt;L_rampe,G130&gt;0),ATAN2(G130,H130),$M$4)</f>
        <v>1.3643069229225</v>
      </c>
      <c r="N130" s="449" t="n">
        <f aca="false">DEGREES(Beta)</f>
        <v>78.1690286439395</v>
      </c>
      <c r="O130" s="438"/>
      <c r="P130" s="452" t="n">
        <f aca="false">MATCH(t-pas/2-T_ini,CdP_t)</f>
        <v>4</v>
      </c>
      <c r="Q130" s="449" t="n">
        <f aca="false">(INDEX(CdP,2,i_P+1)-INDEX(CdP,2,i_P+0))/(INDEX(CdP,1,i_P+1)-INDEX(CdP,1,i_P+0))*(t-pas/2-T_ini-INDEX(CdP,1,i_P+0))+INDEX(CdP,2,i_P+0)</f>
        <v>698.2</v>
      </c>
      <c r="R130" s="450" t="n">
        <f aca="false">Poussee/(g*ISP)</f>
        <v>0.350394049660654</v>
      </c>
      <c r="S130" s="451" t="n">
        <f aca="false">S129-Débit*pas</f>
        <v>9.1963041843789</v>
      </c>
      <c r="T130" s="449" t="n">
        <f aca="false">m*g</f>
        <v>90.215744048757</v>
      </c>
      <c r="U130" s="453" t="n">
        <f aca="false">IF(pos_xz&lt;L_rampe,Poids*COS(Beta),0)</f>
        <v>0</v>
      </c>
      <c r="V130" s="450" t="n">
        <f aca="false">Rho_moyen*(20000-Alt_rampe-pos_z)/(20000+Alt_rampe+pos_z)</f>
        <v>1.21807824511728</v>
      </c>
      <c r="W130" s="449" t="n">
        <f aca="false">1/2*Rho*Sref*Cx*vit_xz^2</f>
        <v>21.9552909641116</v>
      </c>
      <c r="X130" s="438"/>
      <c r="Y130" s="454" t="str">
        <f aca="false">IF(AND(pos_z&lt;=0,K129&gt;0),"Impact balistique","") &amp; IF(AND(H131&lt;0,vit_z&gt;=0),"Apogée","") &amp; IF(AND(Poussee=0,Q129&gt;0),"Fin de propulsion","") &amp; IF(AND(L131&gt;L_rampe,pos_xz&lt;=L_rampe),"Sortie de rampe","")</f>
        <v/>
      </c>
      <c r="Z130" s="455" t="str">
        <f aca="false">IF(ABS(t-T_para)&lt;pas/2,"Para","")</f>
        <v/>
      </c>
      <c r="AA130" s="456" t="str">
        <f aca="false">IF(ABS(t-T_satellite)&lt;pas/2,"Satellite","")</f>
        <v/>
      </c>
      <c r="AB130" s="444"/>
      <c r="AC130" s="452" t="e">
        <f aca="false">IF(ABS(t-ROUND(t,0))&lt;0.001,t,NA())</f>
        <v>#N/A</v>
      </c>
      <c r="AD130" s="457" t="e">
        <f aca="false">IF(ABS(t-ROUND(t,0))&lt;0.001,pos_x,NA())</f>
        <v>#N/A</v>
      </c>
      <c r="AE130" s="458" t="n">
        <f aca="false">IF(t&lt;T_para, pos_z, NA())</f>
        <v>56.6642095606902</v>
      </c>
      <c r="AF130" s="444"/>
      <c r="AG130" s="450" t="n">
        <f aca="false">IF(AND(L129&lt;L_rampe,Poussee&lt;Poids*SIN(M129)),0,(-W129+Poussee)/m-Poids*SIN(M129)/m)</f>
        <v>63.9659436500282</v>
      </c>
      <c r="AH130" s="449" t="n">
        <f aca="false">IF(AND(L129&lt;L_rampe,Poussee&lt;Poids*SIN(M129)), g*SIN(M129), (-W129+Poussee)/m)</f>
        <v>73.5679955102139</v>
      </c>
    </row>
    <row r="131" customFormat="false" ht="12" hidden="false" customHeight="false" outlineLevel="0" collapsed="false">
      <c r="A131" s="448" t="n">
        <f aca="false">IF(B130+0.01&lt;=T_ini+ROUNDUP(Temps_fin_propu,0), 0.01, IF(K130&gt;0, 0.1, 0.0001))</f>
        <v>0.01</v>
      </c>
      <c r="B131" s="449" t="n">
        <f aca="false">B130+pas</f>
        <v>1.27</v>
      </c>
      <c r="C131" s="432"/>
      <c r="D131" s="450" t="n">
        <f aca="false">IF(AND(L130&lt;L_rampe,Poussee&lt;Poids*SIN(M130)),0,(-W130+Poussee)/m*COS(M130)-U130/m*SIN(M130))</f>
        <v>15.0464503435362</v>
      </c>
      <c r="E131" s="451" t="n">
        <f aca="false">IF(AND(L130&lt;L_rampe,Poussee&lt;Poids*SIN(M130)),0,(-W130+Poussee)/m*SIN(M130)+U130/m*COS(M130)-Poids/m)</f>
        <v>62.0193053438177</v>
      </c>
      <c r="F131" s="449" t="n">
        <f aca="false">SQRT(acc_x^2+acc_z^2)</f>
        <v>63.8184135126391</v>
      </c>
      <c r="G131" s="450" t="n">
        <f aca="false">G130+acc_x*pas</f>
        <v>18.6100109704132</v>
      </c>
      <c r="H131" s="451" t="n">
        <f aca="false">H130+acc_z*pas</f>
        <v>88.7430638576172</v>
      </c>
      <c r="I131" s="449" t="n">
        <f aca="false">SQRT(vit_x^2+vit_z^2)</f>
        <v>90.6733913072409</v>
      </c>
      <c r="J131" s="450" t="n">
        <f aca="false">J130+0.5*(vit_x+G130)*pas*(K130&gt;=0)</f>
        <v>11.3476595410498</v>
      </c>
      <c r="K131" s="451" t="n">
        <f aca="false">K130+0.5*(vit_z+H130)*pas</f>
        <v>57.5485392339992</v>
      </c>
      <c r="L131" s="449" t="n">
        <f aca="false">SQRT(pos_x^2+pos_z^2)</f>
        <v>58.6566598522855</v>
      </c>
      <c r="M131" s="450" t="n">
        <f aca="false">IF(AND(L130&gt;L_rampe,G131&gt;0),ATAN2(G131,H131),$M$4)</f>
        <v>1.36408510517456</v>
      </c>
      <c r="N131" s="449" t="n">
        <f aca="false">DEGREES(Beta)</f>
        <v>78.1563194231612</v>
      </c>
      <c r="O131" s="438"/>
      <c r="P131" s="452" t="n">
        <f aca="false">MATCH(t-pas/2-T_ini,CdP_t)</f>
        <v>4</v>
      </c>
      <c r="Q131" s="449" t="n">
        <f aca="false">(INDEX(CdP,2,i_P+1)-INDEX(CdP,2,i_P+0))/(INDEX(CdP,1,i_P+1)-INDEX(CdP,1,i_P+0))*(t-pas/2-T_ini-INDEX(CdP,1,i_P+0))+INDEX(CdP,2,i_P+0)</f>
        <v>696.6</v>
      </c>
      <c r="R131" s="450" t="n">
        <f aca="false">Poussee/(g*ISP)</f>
        <v>0.349591084207407</v>
      </c>
      <c r="S131" s="451" t="n">
        <f aca="false">S130-Débit*pas</f>
        <v>9.19280827353683</v>
      </c>
      <c r="T131" s="449" t="n">
        <f aca="false">m*g</f>
        <v>90.1814491633963</v>
      </c>
      <c r="U131" s="453" t="n">
        <f aca="false">IF(pos_xz&lt;L_rampe,Poids*COS(Beta),0)</f>
        <v>0</v>
      </c>
      <c r="V131" s="450" t="n">
        <f aca="false">Rho_moyen*(20000-Alt_rampe-pos_z)/(20000+Alt_rampe+pos_z)</f>
        <v>1.21797053072824</v>
      </c>
      <c r="W131" s="449" t="n">
        <f aca="false">1/2*Rho*Sref*Cx*vit_xz^2</f>
        <v>22.2655145462113</v>
      </c>
      <c r="X131" s="438"/>
      <c r="Y131" s="454" t="str">
        <f aca="false">IF(AND(pos_z&lt;=0,K130&gt;0),"Impact balistique","") &amp; IF(AND(H132&lt;0,vit_z&gt;=0),"Apogée","") &amp; IF(AND(Poussee=0,Q130&gt;0),"Fin de propulsion","") &amp; IF(AND(L132&gt;L_rampe,pos_xz&lt;=L_rampe),"Sortie de rampe","")</f>
        <v/>
      </c>
      <c r="Z131" s="455" t="str">
        <f aca="false">IF(ABS(t-T_para)&lt;pas/2,"Para","")</f>
        <v/>
      </c>
      <c r="AA131" s="456" t="str">
        <f aca="false">IF(ABS(t-T_satellite)&lt;pas/2,"Satellite","")</f>
        <v/>
      </c>
      <c r="AB131" s="444"/>
      <c r="AC131" s="452" t="e">
        <f aca="false">IF(ABS(t-ROUND(t,0))&lt;0.001,t,NA())</f>
        <v>#N/A</v>
      </c>
      <c r="AD131" s="457" t="e">
        <f aca="false">IF(ABS(t-ROUND(t,0))&lt;0.001,pos_x,NA())</f>
        <v>#N/A</v>
      </c>
      <c r="AE131" s="458" t="n">
        <f aca="false">IF(t&lt;T_para, pos_z, NA())</f>
        <v>57.5485392339992</v>
      </c>
      <c r="AF131" s="444"/>
      <c r="AG131" s="450" t="n">
        <f aca="false">IF(AND(L130&lt;L_rampe,Poussee&lt;Poids*SIN(M130)),0,(-W130+Poussee)/m-Poids*SIN(M130)/m)</f>
        <v>63.7867116940259</v>
      </c>
      <c r="AH131" s="449" t="n">
        <f aca="false">IF(AND(L130&lt;L_rampe,Poussee&lt;Poids*SIN(M130)), g*SIN(M130), (-W130+Poussee)/m)</f>
        <v>73.3883149698636</v>
      </c>
    </row>
    <row r="132" customFormat="false" ht="12" hidden="false" customHeight="false" outlineLevel="0" collapsed="false">
      <c r="A132" s="448" t="n">
        <f aca="false">IF(B131+0.01&lt;=T_ini+ROUNDUP(Temps_fin_propu,0), 0.01, IF(K131&gt;0, 0.1, 0.0001))</f>
        <v>0.01</v>
      </c>
      <c r="B132" s="449" t="n">
        <f aca="false">B131+pas</f>
        <v>1.28</v>
      </c>
      <c r="C132" s="432"/>
      <c r="D132" s="450" t="n">
        <f aca="false">IF(AND(L131&lt;L_rampe,Poussee&lt;Poids*SIN(M131)),0,(-W131+Poussee)/m*COS(M131)-U131/m*SIN(M131))</f>
        <v>15.0254354475998</v>
      </c>
      <c r="E132" s="451" t="n">
        <f aca="false">IF(AND(L131&lt;L_rampe,Poussee&lt;Poids*SIN(M131)),0,(-W131+Poussee)/m*SIN(M131)+U131/m*COS(M131)-Poids/m)</f>
        <v>61.8397792255335</v>
      </c>
      <c r="F132" s="449" t="n">
        <f aca="false">SQRT(acc_x^2+acc_z^2)</f>
        <v>63.6389975176598</v>
      </c>
      <c r="G132" s="450" t="n">
        <f aca="false">G131+acc_x*pas</f>
        <v>18.7602653248892</v>
      </c>
      <c r="H132" s="451" t="n">
        <f aca="false">H131+acc_z*pas</f>
        <v>89.3614616498726</v>
      </c>
      <c r="I132" s="449" t="n">
        <f aca="false">SQRT(vit_x^2+vit_z^2)</f>
        <v>91.3094649160857</v>
      </c>
      <c r="J132" s="450" t="n">
        <f aca="false">J131+0.5*(vit_x+G131)*pas*(K131&gt;=0)</f>
        <v>11.5345109225264</v>
      </c>
      <c r="K132" s="451" t="n">
        <f aca="false">K131+0.5*(vit_z+H131)*pas</f>
        <v>58.4390618615367</v>
      </c>
      <c r="L132" s="449" t="n">
        <f aca="false">SQRT(pos_x^2+pos_z^2)</f>
        <v>59.566508152471</v>
      </c>
      <c r="M132" s="450" t="n">
        <f aca="false">IF(AND(L131&gt;L_rampe,G132&gt;0),ATAN2(G132,H132),$M$4)</f>
        <v>1.36386459939194</v>
      </c>
      <c r="N132" s="449" t="n">
        <f aca="false">DEGREES(Beta)</f>
        <v>78.143685372459</v>
      </c>
      <c r="O132" s="438"/>
      <c r="P132" s="452" t="n">
        <f aca="false">MATCH(t-pas/2-T_ini,CdP_t)</f>
        <v>4</v>
      </c>
      <c r="Q132" s="449" t="n">
        <f aca="false">(INDEX(CdP,2,i_P+1)-INDEX(CdP,2,i_P+0))/(INDEX(CdP,1,i_P+1)-INDEX(CdP,1,i_P+0))*(t-pas/2-T_ini-INDEX(CdP,1,i_P+0))+INDEX(CdP,2,i_P+0)</f>
        <v>695</v>
      </c>
      <c r="R132" s="450" t="n">
        <f aca="false">Poussee/(g*ISP)</f>
        <v>0.34878811875416</v>
      </c>
      <c r="S132" s="451" t="n">
        <f aca="false">S131-Débit*pas</f>
        <v>9.18932039234928</v>
      </c>
      <c r="T132" s="449" t="n">
        <f aca="false">m*g</f>
        <v>90.1472330489465</v>
      </c>
      <c r="U132" s="453" t="n">
        <f aca="false">IF(pos_xz&lt;L_rampe,Poids*COS(Beta),0)</f>
        <v>0</v>
      </c>
      <c r="V132" s="450" t="n">
        <f aca="false">Rho_moyen*(20000-Alt_rampe-pos_z)/(20000+Alt_rampe+pos_z)</f>
        <v>1.21786207161389</v>
      </c>
      <c r="W132" s="449" t="n">
        <f aca="false">1/2*Rho*Sref*Cx*vit_xz^2</f>
        <v>22.5769846539447</v>
      </c>
      <c r="X132" s="438"/>
      <c r="Y132" s="454" t="str">
        <f aca="false">IF(AND(pos_z&lt;=0,K131&gt;0),"Impact balistique","") &amp; IF(AND(H133&lt;0,vit_z&gt;=0),"Apogée","") &amp; IF(AND(Poussee=0,Q131&gt;0),"Fin de propulsion","") &amp; IF(AND(L133&gt;L_rampe,pos_xz&lt;=L_rampe),"Sortie de rampe","")</f>
        <v/>
      </c>
      <c r="Z132" s="455" t="str">
        <f aca="false">IF(ABS(t-T_para)&lt;pas/2,"Para","")</f>
        <v/>
      </c>
      <c r="AA132" s="456" t="str">
        <f aca="false">IF(ABS(t-T_satellite)&lt;pas/2,"Satellite","")</f>
        <v/>
      </c>
      <c r="AB132" s="444"/>
      <c r="AC132" s="452" t="e">
        <f aca="false">IF(ABS(t-ROUND(t,0))&lt;0.001,t,NA())</f>
        <v>#N/A</v>
      </c>
      <c r="AD132" s="457" t="e">
        <f aca="false">IF(ABS(t-ROUND(t,0))&lt;0.001,pos_x,NA())</f>
        <v>#N/A</v>
      </c>
      <c r="AE132" s="458" t="n">
        <f aca="false">IF(t&lt;T_para, pos_z, NA())</f>
        <v>58.4390618615367</v>
      </c>
      <c r="AF132" s="444"/>
      <c r="AG132" s="450" t="n">
        <f aca="false">IF(AND(L131&lt;L_rampe,Poussee&lt;Poids*SIN(M131)),0,(-W131+Poussee)/m-Poids*SIN(M131)/m)</f>
        <v>63.6071388983878</v>
      </c>
      <c r="AH132" s="449" t="n">
        <f aca="false">IF(AND(L131&lt;L_rampe,Poussee&lt;Poids*SIN(M131)), g*SIN(M131), (-W131+Poussee)/m)</f>
        <v>73.2082957967038</v>
      </c>
    </row>
    <row r="133" customFormat="false" ht="12" hidden="false" customHeight="false" outlineLevel="0" collapsed="false">
      <c r="A133" s="448" t="n">
        <f aca="false">IF(B132+0.01&lt;=T_ini+ROUNDUP(Temps_fin_propu,0), 0.01, IF(K132&gt;0, 0.1, 0.0001))</f>
        <v>0.01</v>
      </c>
      <c r="B133" s="449" t="n">
        <f aca="false">B132+pas</f>
        <v>1.29</v>
      </c>
      <c r="C133" s="432"/>
      <c r="D133" s="450" t="n">
        <f aca="false">IF(AND(L132&lt;L_rampe,Poussee&lt;Poids*SIN(M132)),0,(-W132+Poussee)/m*COS(M132)-U132/m*SIN(M132))</f>
        <v>15.0041787989882</v>
      </c>
      <c r="E133" s="451" t="n">
        <f aca="false">IF(AND(L132&lt;L_rampe,Poussee&lt;Poids*SIN(M132)),0,(-W132+Poussee)/m*SIN(M132)+U132/m*COS(M132)-Poids/m)</f>
        <v>61.6599565871696</v>
      </c>
      <c r="F133" s="449" t="n">
        <f aca="false">SQRT(acc_x^2+acc_z^2)</f>
        <v>63.4592438322712</v>
      </c>
      <c r="G133" s="450" t="n">
        <f aca="false">G132+acc_x*pas</f>
        <v>18.910307112879</v>
      </c>
      <c r="H133" s="451" t="n">
        <f aca="false">H132+acc_z*pas</f>
        <v>89.9780612157443</v>
      </c>
      <c r="I133" s="449" t="n">
        <f aca="false">SQRT(vit_x^2+vit_z^2)</f>
        <v>91.9437394021345</v>
      </c>
      <c r="J133" s="450" t="n">
        <f aca="false">J132+0.5*(vit_x+G132)*pas*(K132&gt;=0)</f>
        <v>11.7228637847152</v>
      </c>
      <c r="K133" s="451" t="n">
        <f aca="false">K132+0.5*(vit_z+H132)*pas</f>
        <v>59.3357594758647</v>
      </c>
      <c r="L133" s="449" t="n">
        <f aca="false">SQRT(pos_x^2+pos_z^2)</f>
        <v>60.4827073459238</v>
      </c>
      <c r="M133" s="450" t="n">
        <f aca="false">IF(AND(L132&gt;L_rampe,G133&gt;0),ATAN2(G133,H133),$M$4)</f>
        <v>1.36364538451372</v>
      </c>
      <c r="N133" s="449" t="n">
        <f aca="false">DEGREES(Beta)</f>
        <v>78.1311252851303</v>
      </c>
      <c r="O133" s="438"/>
      <c r="P133" s="452" t="n">
        <f aca="false">MATCH(t-pas/2-T_ini,CdP_t)</f>
        <v>4</v>
      </c>
      <c r="Q133" s="449" t="n">
        <f aca="false">(INDEX(CdP,2,i_P+1)-INDEX(CdP,2,i_P+0))/(INDEX(CdP,1,i_P+1)-INDEX(CdP,1,i_P+0))*(t-pas/2-T_ini-INDEX(CdP,1,i_P+0))+INDEX(CdP,2,i_P+0)</f>
        <v>693.4</v>
      </c>
      <c r="R133" s="450" t="n">
        <f aca="false">Poussee/(g*ISP)</f>
        <v>0.347985153300913</v>
      </c>
      <c r="S133" s="451" t="n">
        <f aca="false">S132-Débit*pas</f>
        <v>9.18584054081627</v>
      </c>
      <c r="T133" s="449" t="n">
        <f aca="false">m*g</f>
        <v>90.1130957054077</v>
      </c>
      <c r="U133" s="453" t="n">
        <f aca="false">IF(pos_xz&lt;L_rampe,Poids*COS(Beta),0)</f>
        <v>0</v>
      </c>
      <c r="V133" s="450" t="n">
        <f aca="false">Rho_moyen*(20000-Alt_rampe-pos_z)/(20000+Alt_rampe+pos_z)</f>
        <v>1.21775287016186</v>
      </c>
      <c r="W133" s="449" t="n">
        <f aca="false">1/2*Rho*Sref*Cx*vit_xz^2</f>
        <v>22.8896801642252</v>
      </c>
      <c r="X133" s="438"/>
      <c r="Y133" s="454" t="str">
        <f aca="false">IF(AND(pos_z&lt;=0,K132&gt;0),"Impact balistique","") &amp; IF(AND(H134&lt;0,vit_z&gt;=0),"Apogée","") &amp; IF(AND(Poussee=0,Q132&gt;0),"Fin de propulsion","") &amp; IF(AND(L134&gt;L_rampe,pos_xz&lt;=L_rampe),"Sortie de rampe","")</f>
        <v/>
      </c>
      <c r="Z133" s="455" t="str">
        <f aca="false">IF(ABS(t-T_para)&lt;pas/2,"Para","")</f>
        <v/>
      </c>
      <c r="AA133" s="456" t="str">
        <f aca="false">IF(ABS(t-T_satellite)&lt;pas/2,"Satellite","")</f>
        <v/>
      </c>
      <c r="AB133" s="444"/>
      <c r="AC133" s="452" t="e">
        <f aca="false">IF(ABS(t-ROUND(t,0))&lt;0.001,t,NA())</f>
        <v>#N/A</v>
      </c>
      <c r="AD133" s="457" t="e">
        <f aca="false">IF(ABS(t-ROUND(t,0))&lt;0.001,pos_x,NA())</f>
        <v>#N/A</v>
      </c>
      <c r="AE133" s="458" t="n">
        <f aca="false">IF(t&lt;T_para, pos_z, NA())</f>
        <v>59.3357594758647</v>
      </c>
      <c r="AF133" s="444"/>
      <c r="AG133" s="450" t="n">
        <f aca="false">IF(AND(L132&lt;L_rampe,Poussee&lt;Poids*SIN(M132)),0,(-W132+Poussee)/m-Poids*SIN(M132)/m)</f>
        <v>63.4272276863161</v>
      </c>
      <c r="AH133" s="449" t="n">
        <f aca="false">IF(AND(L132&lt;L_rampe,Poussee&lt;Poids*SIN(M132)), g*SIN(M132), (-W132+Poussee)/m)</f>
        <v>73.0279403790352</v>
      </c>
    </row>
    <row r="134" customFormat="false" ht="12" hidden="false" customHeight="false" outlineLevel="0" collapsed="false">
      <c r="A134" s="448" t="n">
        <f aca="false">IF(B133+0.01&lt;=T_ini+ROUNDUP(Temps_fin_propu,0), 0.01, IF(K133&gt;0, 0.1, 0.0001))</f>
        <v>0.01</v>
      </c>
      <c r="B134" s="449" t="n">
        <f aca="false">B133+pas</f>
        <v>1.3</v>
      </c>
      <c r="C134" s="432"/>
      <c r="D134" s="450" t="n">
        <f aca="false">IF(AND(L133&lt;L_rampe,Poussee&lt;Poids*SIN(M133)),0,(-W133+Poussee)/m*COS(M133)-U133/m*SIN(M133))</f>
        <v>14.9826828856552</v>
      </c>
      <c r="E134" s="451" t="n">
        <f aca="false">IF(AND(L133&lt;L_rampe,Poussee&lt;Poids*SIN(M133)),0,(-W133+Poussee)/m*SIN(M133)+U133/m*COS(M133)-Poids/m)</f>
        <v>61.4798394412336</v>
      </c>
      <c r="F134" s="449" t="n">
        <f aca="false">SQRT(acc_x^2+acc_z^2)</f>
        <v>63.2791548945777</v>
      </c>
      <c r="G134" s="450" t="n">
        <f aca="false">G133+acc_x*pas</f>
        <v>19.0601339417356</v>
      </c>
      <c r="H134" s="451" t="n">
        <f aca="false">H133+acc_z*pas</f>
        <v>90.5928596101566</v>
      </c>
      <c r="I134" s="449" t="n">
        <f aca="false">SQRT(vit_x^2+vit_z^2)</f>
        <v>92.5762114056438</v>
      </c>
      <c r="J134" s="450" t="n">
        <f aca="false">J133+0.5*(vit_x+G133)*pas*(K133&gt;=0)</f>
        <v>11.9127159899883</v>
      </c>
      <c r="K134" s="451" t="n">
        <f aca="false">K133+0.5*(vit_z+H133)*pas</f>
        <v>60.2386140799942</v>
      </c>
      <c r="L134" s="449" t="n">
        <f aca="false">SQRT(pos_x^2+pos_z^2)</f>
        <v>61.4052394225167</v>
      </c>
      <c r="M134" s="450" t="n">
        <f aca="false">IF(AND(L133&gt;L_rampe,G134&gt;0),ATAN2(G134,H134),$M$4)</f>
        <v>1.36342743995718</v>
      </c>
      <c r="N134" s="449" t="n">
        <f aca="false">DEGREES(Beta)</f>
        <v>78.1186379818728</v>
      </c>
      <c r="O134" s="438"/>
      <c r="P134" s="452" t="n">
        <f aca="false">MATCH(t-pas/2-T_ini,CdP_t)</f>
        <v>4</v>
      </c>
      <c r="Q134" s="449" t="n">
        <f aca="false">(INDEX(CdP,2,i_P+1)-INDEX(CdP,2,i_P+0))/(INDEX(CdP,1,i_P+1)-INDEX(CdP,1,i_P+0))*(t-pas/2-T_ini-INDEX(CdP,1,i_P+0))+INDEX(CdP,2,i_P+0)</f>
        <v>691.8</v>
      </c>
      <c r="R134" s="450" t="n">
        <f aca="false">Poussee/(g*ISP)</f>
        <v>0.347182187847666</v>
      </c>
      <c r="S134" s="451" t="n">
        <f aca="false">S133-Débit*pas</f>
        <v>9.1823687189378</v>
      </c>
      <c r="T134" s="449" t="n">
        <f aca="false">m*g</f>
        <v>90.0790371327798</v>
      </c>
      <c r="U134" s="453" t="n">
        <f aca="false">IF(pos_xz&lt;L_rampe,Poids*COS(Beta),0)</f>
        <v>0</v>
      </c>
      <c r="V134" s="450" t="n">
        <f aca="false">Rho_moyen*(20000-Alt_rampe-pos_z)/(20000+Alt_rampe+pos_z)</f>
        <v>1.21764292876395</v>
      </c>
      <c r="W134" s="449" t="n">
        <f aca="false">1/2*Rho*Sref*Cx*vit_xz^2</f>
        <v>23.2035799771893</v>
      </c>
      <c r="X134" s="438"/>
      <c r="Y134" s="454" t="str">
        <f aca="false">IF(AND(pos_z&lt;=0,K133&gt;0),"Impact balistique","") &amp; IF(AND(H135&lt;0,vit_z&gt;=0),"Apogée","") &amp; IF(AND(Poussee=0,Q133&gt;0),"Fin de propulsion","") &amp; IF(AND(L135&gt;L_rampe,pos_xz&lt;=L_rampe),"Sortie de rampe","")</f>
        <v/>
      </c>
      <c r="Z134" s="455" t="str">
        <f aca="false">IF(ABS(t-T_para)&lt;pas/2,"Para","")</f>
        <v/>
      </c>
      <c r="AA134" s="456" t="str">
        <f aca="false">IF(ABS(t-T_satellite)&lt;pas/2,"Satellite","")</f>
        <v/>
      </c>
      <c r="AB134" s="444"/>
      <c r="AC134" s="452" t="e">
        <f aca="false">IF(ABS(t-ROUND(t,0))&lt;0.001,t,NA())</f>
        <v>#N/A</v>
      </c>
      <c r="AD134" s="457" t="e">
        <f aca="false">IF(ABS(t-ROUND(t,0))&lt;0.001,pos_x,NA())</f>
        <v>#N/A</v>
      </c>
      <c r="AE134" s="458" t="n">
        <f aca="false">IF(t&lt;T_para, pos_z, NA())</f>
        <v>60.2386140799942</v>
      </c>
      <c r="AF134" s="444"/>
      <c r="AG134" s="450" t="n">
        <f aca="false">IF(AND(L133&lt;L_rampe,Poussee&lt;Poids*SIN(M133)),0,(-W133+Poussee)/m-Poids*SIN(M133)/m)</f>
        <v>63.246980483209</v>
      </c>
      <c r="AH134" s="449" t="n">
        <f aca="false">IF(AND(L133&lt;L_rampe,Poussee&lt;Poids*SIN(M133)), g*SIN(M133), (-W133+Poussee)/m)</f>
        <v>72.8472511081164</v>
      </c>
    </row>
    <row r="135" customFormat="false" ht="12" hidden="false" customHeight="false" outlineLevel="0" collapsed="false">
      <c r="A135" s="448" t="n">
        <f aca="false">IF(B134+0.01&lt;=T_ini+ROUNDUP(Temps_fin_propu,0), 0.01, IF(K134&gt;0, 0.1, 0.0001))</f>
        <v>0.01</v>
      </c>
      <c r="B135" s="449" t="n">
        <f aca="false">B134+pas</f>
        <v>1.31</v>
      </c>
      <c r="C135" s="432"/>
      <c r="D135" s="450" t="n">
        <f aca="false">IF(AND(L134&lt;L_rampe,Poussee&lt;Poids*SIN(M134)),0,(-W134+Poussee)/m*COS(M134)-U134/m*SIN(M134))</f>
        <v>14.9609501514146</v>
      </c>
      <c r="E135" s="451" t="n">
        <f aca="false">IF(AND(L134&lt;L_rampe,Poussee&lt;Poids*SIN(M134)),0,(-W134+Poussee)/m*SIN(M134)+U134/m*COS(M134)-Poids/m)</f>
        <v>61.2994298101369</v>
      </c>
      <c r="F135" s="449" t="n">
        <f aca="false">SQRT(acc_x^2+acc_z^2)</f>
        <v>63.0987331448184</v>
      </c>
      <c r="G135" s="450" t="n">
        <f aca="false">G134+acc_x*pas</f>
        <v>19.2097434432497</v>
      </c>
      <c r="H135" s="451" t="n">
        <f aca="false">H134+acc_z*pas</f>
        <v>91.205853908258</v>
      </c>
      <c r="I135" s="449" t="n">
        <f aca="false">SQRT(vit_x^2+vit_z^2)</f>
        <v>93.2068775911412</v>
      </c>
      <c r="J135" s="450" t="n">
        <f aca="false">J134+0.5*(vit_x+G134)*pas*(K134&gt;=0)</f>
        <v>12.1040653769132</v>
      </c>
      <c r="K135" s="451" t="n">
        <f aca="false">K134+0.5*(vit_z+H134)*pas</f>
        <v>61.1476076475863</v>
      </c>
      <c r="L135" s="449" t="n">
        <f aca="false">SQRT(pos_x^2+pos_z^2)</f>
        <v>62.3340863386297</v>
      </c>
      <c r="M135" s="450" t="n">
        <f aca="false">IF(AND(L134&gt;L_rampe,G135&gt;0),ATAN2(G135,H135),$M$4)</f>
        <v>1.36321074560319</v>
      </c>
      <c r="N135" s="449" t="n">
        <f aca="false">DEGREES(Beta)</f>
        <v>78.1062223099448</v>
      </c>
      <c r="O135" s="438"/>
      <c r="P135" s="452" t="n">
        <f aca="false">MATCH(t-pas/2-T_ini,CdP_t)</f>
        <v>4</v>
      </c>
      <c r="Q135" s="449" t="n">
        <f aca="false">(INDEX(CdP,2,i_P+1)-INDEX(CdP,2,i_P+0))/(INDEX(CdP,1,i_P+1)-INDEX(CdP,1,i_P+0))*(t-pas/2-T_ini-INDEX(CdP,1,i_P+0))+INDEX(CdP,2,i_P+0)</f>
        <v>690.2</v>
      </c>
      <c r="R135" s="450" t="n">
        <f aca="false">Poussee/(g*ISP)</f>
        <v>0.346379222394419</v>
      </c>
      <c r="S135" s="451" t="n">
        <f aca="false">S134-Débit*pas</f>
        <v>9.17890492671385</v>
      </c>
      <c r="T135" s="449" t="n">
        <f aca="false">m*g</f>
        <v>90.0450573310629</v>
      </c>
      <c r="U135" s="453" t="n">
        <f aca="false">IF(pos_xz&lt;L_rampe,Poids*COS(Beta),0)</f>
        <v>0</v>
      </c>
      <c r="V135" s="450" t="n">
        <f aca="false">Rho_moyen*(20000-Alt_rampe-pos_z)/(20000+Alt_rampe+pos_z)</f>
        <v>1.21753224981608</v>
      </c>
      <c r="W135" s="449" t="n">
        <f aca="false">1/2*Rho*Sref*Cx*vit_xz^2</f>
        <v>23.518663017096</v>
      </c>
      <c r="X135" s="438"/>
      <c r="Y135" s="454" t="str">
        <f aca="false">IF(AND(pos_z&lt;=0,K134&gt;0),"Impact balistique","") &amp; IF(AND(H136&lt;0,vit_z&gt;=0),"Apogée","") &amp; IF(AND(Poussee=0,Q134&gt;0),"Fin de propulsion","") &amp; IF(AND(L136&gt;L_rampe,pos_xz&lt;=L_rampe),"Sortie de rampe","")</f>
        <v/>
      </c>
      <c r="Z135" s="455" t="str">
        <f aca="false">IF(ABS(t-T_para)&lt;pas/2,"Para","")</f>
        <v/>
      </c>
      <c r="AA135" s="456" t="str">
        <f aca="false">IF(ABS(t-T_satellite)&lt;pas/2,"Satellite","")</f>
        <v/>
      </c>
      <c r="AB135" s="444"/>
      <c r="AC135" s="452" t="e">
        <f aca="false">IF(ABS(t-ROUND(t,0))&lt;0.001,t,NA())</f>
        <v>#N/A</v>
      </c>
      <c r="AD135" s="457" t="e">
        <f aca="false">IF(ABS(t-ROUND(t,0))&lt;0.001,pos_x,NA())</f>
        <v>#N/A</v>
      </c>
      <c r="AE135" s="458" t="n">
        <f aca="false">IF(t&lt;T_para, pos_z, NA())</f>
        <v>61.1476076475863</v>
      </c>
      <c r="AF135" s="444"/>
      <c r="AG135" s="450" t="n">
        <f aca="false">IF(AND(L134&lt;L_rampe,Poussee&lt;Poids*SIN(M134)),0,(-W134+Poussee)/m-Poids*SIN(M134)/m)</f>
        <v>63.0663997165695</v>
      </c>
      <c r="AH135" s="449" t="n">
        <f aca="false">IF(AND(L134&lt;L_rampe,Poussee&lt;Poids*SIN(M134)), g*SIN(M134), (-W134+Poussee)/m)</f>
        <v>72.6662303780504</v>
      </c>
    </row>
    <row r="136" customFormat="false" ht="12" hidden="false" customHeight="false" outlineLevel="0" collapsed="false">
      <c r="A136" s="448" t="n">
        <f aca="false">IF(B135+0.01&lt;=T_ini+ROUNDUP(Temps_fin_propu,0), 0.01, IF(K135&gt;0, 0.1, 0.0001))</f>
        <v>0.01</v>
      </c>
      <c r="B136" s="449" t="n">
        <f aca="false">B135+pas</f>
        <v>1.32</v>
      </c>
      <c r="C136" s="432"/>
      <c r="D136" s="450" t="n">
        <f aca="false">IF(AND(L135&lt;L_rampe,Poussee&lt;Poids*SIN(M135)),0,(-W135+Poussee)/m*COS(M135)-U135/m*SIN(M135))</f>
        <v>14.9389829972984</v>
      </c>
      <c r="E136" s="451" t="n">
        <f aca="false">IF(AND(L135&lt;L_rampe,Poussee&lt;Poids*SIN(M135)),0,(-W135+Poussee)/m*SIN(M135)+U135/m*COS(M135)-Poids/m)</f>
        <v>61.1187297258692</v>
      </c>
      <c r="F136" s="449" t="n">
        <f aca="false">SQRT(acc_x^2+acc_z^2)</f>
        <v>62.9179810252794</v>
      </c>
      <c r="G136" s="450" t="n">
        <f aca="false">G135+acc_x*pas</f>
        <v>19.3591332732227</v>
      </c>
      <c r="H136" s="451" t="n">
        <f aca="false">H135+acc_z*pas</f>
        <v>91.8170412055167</v>
      </c>
      <c r="I136" s="449" t="n">
        <f aca="false">SQRT(vit_x^2+vit_z^2)</f>
        <v>93.8357346474462</v>
      </c>
      <c r="J136" s="450" t="n">
        <f aca="false">J135+0.5*(vit_x+G135)*pas*(K135&gt;=0)</f>
        <v>12.2969097604956</v>
      </c>
      <c r="K136" s="451" t="n">
        <f aca="false">K135+0.5*(vit_z+H135)*pas</f>
        <v>62.0627221231552</v>
      </c>
      <c r="L136" s="449" t="n">
        <f aca="false">SQRT(pos_x^2+pos_z^2)</f>
        <v>63.2692300173927</v>
      </c>
      <c r="M136" s="450" t="n">
        <f aca="false">IF(AND(L135&gt;L_rampe,G136&gt;0),ATAN2(G136,H136),$M$4)</f>
        <v>1.3629952817821</v>
      </c>
      <c r="N136" s="449" t="n">
        <f aca="false">DEGREES(Beta)</f>
        <v>78.0938771423584</v>
      </c>
      <c r="O136" s="438"/>
      <c r="P136" s="452" t="n">
        <f aca="false">MATCH(t-pas/2-T_ini,CdP_t)</f>
        <v>4</v>
      </c>
      <c r="Q136" s="449" t="n">
        <f aca="false">(INDEX(CdP,2,i_P+1)-INDEX(CdP,2,i_P+0))/(INDEX(CdP,1,i_P+1)-INDEX(CdP,1,i_P+0))*(t-pas/2-T_ini-INDEX(CdP,1,i_P+0))+INDEX(CdP,2,i_P+0)</f>
        <v>688.6</v>
      </c>
      <c r="R136" s="450" t="n">
        <f aca="false">Poussee/(g*ISP)</f>
        <v>0.345576256941172</v>
      </c>
      <c r="S136" s="451" t="n">
        <f aca="false">S135-Débit*pas</f>
        <v>9.17544916414444</v>
      </c>
      <c r="T136" s="449" t="n">
        <f aca="false">m*g</f>
        <v>90.011156300257</v>
      </c>
      <c r="U136" s="453" t="n">
        <f aca="false">IF(pos_xz&lt;L_rampe,Poids*COS(Beta),0)</f>
        <v>0</v>
      </c>
      <c r="V136" s="450" t="n">
        <f aca="false">Rho_moyen*(20000-Alt_rampe-pos_z)/(20000+Alt_rampe+pos_z)</f>
        <v>1.21742083571825</v>
      </c>
      <c r="W136" s="449" t="n">
        <f aca="false">1/2*Rho*Sref*Cx*vit_xz^2</f>
        <v>23.8349082332219</v>
      </c>
      <c r="X136" s="438"/>
      <c r="Y136" s="454" t="str">
        <f aca="false">IF(AND(pos_z&lt;=0,K135&gt;0),"Impact balistique","") &amp; IF(AND(H137&lt;0,vit_z&gt;=0),"Apogée","") &amp; IF(AND(Poussee=0,Q135&gt;0),"Fin de propulsion","") &amp; IF(AND(L137&gt;L_rampe,pos_xz&lt;=L_rampe),"Sortie de rampe","")</f>
        <v/>
      </c>
      <c r="Z136" s="455" t="str">
        <f aca="false">IF(ABS(t-T_para)&lt;pas/2,"Para","")</f>
        <v/>
      </c>
      <c r="AA136" s="456" t="str">
        <f aca="false">IF(ABS(t-T_satellite)&lt;pas/2,"Satellite","")</f>
        <v/>
      </c>
      <c r="AB136" s="444"/>
      <c r="AC136" s="452" t="e">
        <f aca="false">IF(ABS(t-ROUND(t,0))&lt;0.001,t,NA())</f>
        <v>#N/A</v>
      </c>
      <c r="AD136" s="457" t="e">
        <f aca="false">IF(ABS(t-ROUND(t,0))&lt;0.001,pos_x,NA())</f>
        <v>#N/A</v>
      </c>
      <c r="AE136" s="458" t="n">
        <f aca="false">IF(t&lt;T_para, pos_z, NA())</f>
        <v>62.0627221231552</v>
      </c>
      <c r="AF136" s="444"/>
      <c r="AG136" s="450" t="n">
        <f aca="false">IF(AND(L135&lt;L_rampe,Poussee&lt;Poids*SIN(M135)),0,(-W135+Poussee)/m-Poids*SIN(M135)/m)</f>
        <v>62.8854878159141</v>
      </c>
      <c r="AH136" s="449" t="n">
        <f aca="false">IF(AND(L135&lt;L_rampe,Poussee&lt;Poids*SIN(M135)), g*SIN(M135), (-W135+Poussee)/m)</f>
        <v>72.4848805856709</v>
      </c>
    </row>
    <row r="137" customFormat="false" ht="12" hidden="false" customHeight="false" outlineLevel="0" collapsed="false">
      <c r="A137" s="448" t="n">
        <f aca="false">IF(B136+0.01&lt;=T_ini+ROUNDUP(Temps_fin_propu,0), 0.01, IF(K136&gt;0, 0.1, 0.0001))</f>
        <v>0.01</v>
      </c>
      <c r="B137" s="449" t="n">
        <f aca="false">B136+pas</f>
        <v>1.33</v>
      </c>
      <c r="C137" s="432"/>
      <c r="D137" s="450" t="n">
        <f aca="false">IF(AND(L136&lt;L_rampe,Poussee&lt;Poids*SIN(M136)),0,(-W136+Poussee)/m*COS(M136)-U136/m*SIN(M136))</f>
        <v>14.9167837828624</v>
      </c>
      <c r="E137" s="451" t="n">
        <f aca="false">IF(AND(L136&lt;L_rampe,Poussee&lt;Poids*SIN(M136)),0,(-W136+Poussee)/m*SIN(M136)+U136/m*COS(M136)-Poids/m)</f>
        <v>60.9377412296804</v>
      </c>
      <c r="F137" s="449" t="n">
        <f aca="false">SQRT(acc_x^2+acc_z^2)</f>
        <v>62.7369009802059</v>
      </c>
      <c r="G137" s="450" t="n">
        <f aca="false">G136+acc_x*pas</f>
        <v>19.5083011110513</v>
      </c>
      <c r="H137" s="451" t="n">
        <f aca="false">H136+acc_z*pas</f>
        <v>92.4264186178135</v>
      </c>
      <c r="I137" s="449" t="n">
        <f aca="false">SQRT(vit_x^2+vit_z^2)</f>
        <v>94.4627792876895</v>
      </c>
      <c r="J137" s="450" t="n">
        <f aca="false">J136+0.5*(vit_x+G136)*pas*(K136&gt;=0)</f>
        <v>12.4912469324169</v>
      </c>
      <c r="K137" s="451" t="n">
        <f aca="false">K136+0.5*(vit_z+H136)*pas</f>
        <v>62.9839394222718</v>
      </c>
      <c r="L137" s="449" t="n">
        <f aca="false">SQRT(pos_x^2+pos_z^2)</f>
        <v>64.210652348929</v>
      </c>
      <c r="M137" s="450" t="n">
        <f aca="false">IF(AND(L136&gt;L_rampe,G137&gt;0),ATAN2(G137,H137),$M$4)</f>
        <v>1.36278102926018</v>
      </c>
      <c r="N137" s="449" t="n">
        <f aca="false">DEGREES(Beta)</f>
        <v>78.0816013771026</v>
      </c>
      <c r="O137" s="438"/>
      <c r="P137" s="452" t="n">
        <f aca="false">MATCH(t-pas/2-T_ini,CdP_t)</f>
        <v>4</v>
      </c>
      <c r="Q137" s="449" t="n">
        <f aca="false">(INDEX(CdP,2,i_P+1)-INDEX(CdP,2,i_P+0))/(INDEX(CdP,1,i_P+1)-INDEX(CdP,1,i_P+0))*(t-pas/2-T_ini-INDEX(CdP,1,i_P+0))+INDEX(CdP,2,i_P+0)</f>
        <v>687</v>
      </c>
      <c r="R137" s="450" t="n">
        <f aca="false">Poussee/(g*ISP)</f>
        <v>0.344773291487925</v>
      </c>
      <c r="S137" s="451" t="n">
        <f aca="false">S136-Débit*pas</f>
        <v>9.17200143122956</v>
      </c>
      <c r="T137" s="449" t="n">
        <f aca="false">m*g</f>
        <v>89.977334040362</v>
      </c>
      <c r="U137" s="453" t="n">
        <f aca="false">IF(pos_xz&lt;L_rampe,Poids*COS(Beta),0)</f>
        <v>0</v>
      </c>
      <c r="V137" s="450" t="n">
        <f aca="false">Rho_moyen*(20000-Alt_rampe-pos_z)/(20000+Alt_rampe+pos_z)</f>
        <v>1.21730868887447</v>
      </c>
      <c r="W137" s="449" t="n">
        <f aca="false">1/2*Rho*Sref*Cx*vit_xz^2</f>
        <v>24.152294600752</v>
      </c>
      <c r="X137" s="438"/>
      <c r="Y137" s="454" t="str">
        <f aca="false">IF(AND(pos_z&lt;=0,K136&gt;0),"Impact balistique","") &amp; IF(AND(H138&lt;0,vit_z&gt;=0),"Apogée","") &amp; IF(AND(Poussee=0,Q136&gt;0),"Fin de propulsion","") &amp; IF(AND(L138&gt;L_rampe,pos_xz&lt;=L_rampe),"Sortie de rampe","")</f>
        <v/>
      </c>
      <c r="Z137" s="455" t="str">
        <f aca="false">IF(ABS(t-T_para)&lt;pas/2,"Para","")</f>
        <v/>
      </c>
      <c r="AA137" s="456" t="str">
        <f aca="false">IF(ABS(t-T_satellite)&lt;pas/2,"Satellite","")</f>
        <v/>
      </c>
      <c r="AB137" s="444"/>
      <c r="AC137" s="452" t="e">
        <f aca="false">IF(ABS(t-ROUND(t,0))&lt;0.001,t,NA())</f>
        <v>#N/A</v>
      </c>
      <c r="AD137" s="457" t="e">
        <f aca="false">IF(ABS(t-ROUND(t,0))&lt;0.001,pos_x,NA())</f>
        <v>#N/A</v>
      </c>
      <c r="AE137" s="458" t="n">
        <f aca="false">IF(t&lt;T_para, pos_z, NA())</f>
        <v>62.9839394222718</v>
      </c>
      <c r="AF137" s="444"/>
      <c r="AG137" s="450" t="n">
        <f aca="false">IF(AND(L136&lt;L_rampe,Poussee&lt;Poids*SIN(M136)),0,(-W136+Poussee)/m-Poids*SIN(M136)/m)</f>
        <v>62.7042472126805</v>
      </c>
      <c r="AH137" s="449" t="n">
        <f aca="false">IF(AND(L136&lt;L_rampe,Poussee&lt;Poids*SIN(M136)), g*SIN(M136), (-W136+Poussee)/m)</f>
        <v>72.303204130429</v>
      </c>
    </row>
    <row r="138" customFormat="false" ht="12" hidden="false" customHeight="false" outlineLevel="0" collapsed="false">
      <c r="A138" s="448" t="n">
        <f aca="false">IF(B137+0.01&lt;=T_ini+ROUNDUP(Temps_fin_propu,0), 0.01, IF(K137&gt;0, 0.1, 0.0001))</f>
        <v>0.01</v>
      </c>
      <c r="B138" s="449" t="n">
        <f aca="false">B137+pas</f>
        <v>1.34</v>
      </c>
      <c r="C138" s="432"/>
      <c r="D138" s="450" t="n">
        <f aca="false">IF(AND(L137&lt;L_rampe,Poussee&lt;Poids*SIN(M137)),0,(-W137+Poussee)/m*COS(M137)-U137/m*SIN(M137))</f>
        <v>14.8943548274417</v>
      </c>
      <c r="E138" s="451" t="n">
        <f aca="false">IF(AND(L137&lt;L_rampe,Poussee&lt;Poids*SIN(M137)),0,(-W137+Poussee)/m*SIN(M137)+U137/m*COS(M137)-Poids/m)</f>
        <v>60.7564663717702</v>
      </c>
      <c r="F138" s="449" t="n">
        <f aca="false">SQRT(acc_x^2+acc_z^2)</f>
        <v>62.5554954557134</v>
      </c>
      <c r="G138" s="450" t="n">
        <f aca="false">G137+acc_x*pas</f>
        <v>19.6572446593258</v>
      </c>
      <c r="H138" s="451" t="n">
        <f aca="false">H137+acc_z*pas</f>
        <v>93.0339832815312</v>
      </c>
      <c r="I138" s="449" t="n">
        <f aca="false">SQRT(vit_x^2+vit_z^2)</f>
        <v>95.0880082493308</v>
      </c>
      <c r="J138" s="450" t="n">
        <f aca="false">J137+0.5*(vit_x+G137)*pas*(K137&gt;=0)</f>
        <v>12.6870746612688</v>
      </c>
      <c r="K138" s="451" t="n">
        <f aca="false">K137+0.5*(vit_z+H137)*pas</f>
        <v>63.9112414317686</v>
      </c>
      <c r="L138" s="449" t="n">
        <f aca="false">SQRT(pos_x^2+pos_z^2)</f>
        <v>65.1583351905988</v>
      </c>
      <c r="M138" s="450" t="n">
        <f aca="false">IF(AND(L137&gt;L_rampe,G138&gt;0),ATAN2(G138,H138),$M$4)</f>
        <v>1.3625679692266</v>
      </c>
      <c r="N138" s="449" t="n">
        <f aca="false">DEGREES(Beta)</f>
        <v>78.0693939363956</v>
      </c>
      <c r="O138" s="438"/>
      <c r="P138" s="452" t="n">
        <f aca="false">MATCH(t-pas/2-T_ini,CdP_t)</f>
        <v>4</v>
      </c>
      <c r="Q138" s="449" t="n">
        <f aca="false">(INDEX(CdP,2,i_P+1)-INDEX(CdP,2,i_P+0))/(INDEX(CdP,1,i_P+1)-INDEX(CdP,1,i_P+0))*(t-pas/2-T_ini-INDEX(CdP,1,i_P+0))+INDEX(CdP,2,i_P+0)</f>
        <v>685.4</v>
      </c>
      <c r="R138" s="450" t="n">
        <f aca="false">Poussee/(g*ISP)</f>
        <v>0.343970326034678</v>
      </c>
      <c r="S138" s="451" t="n">
        <f aca="false">S137-Débit*pas</f>
        <v>9.16856172796922</v>
      </c>
      <c r="T138" s="449" t="n">
        <f aca="false">m*g</f>
        <v>89.943590551378</v>
      </c>
      <c r="U138" s="453" t="n">
        <f aca="false">IF(pos_xz&lt;L_rampe,Poids*COS(Beta),0)</f>
        <v>0</v>
      </c>
      <c r="V138" s="450" t="n">
        <f aca="false">Rho_moyen*(20000-Alt_rampe-pos_z)/(20000+Alt_rampe+pos_z)</f>
        <v>1.21719581169276</v>
      </c>
      <c r="W138" s="449" t="n">
        <f aca="false">1/2*Rho*Sref*Cx*vit_xz^2</f>
        <v>24.4708011216656</v>
      </c>
      <c r="X138" s="438"/>
      <c r="Y138" s="454" t="str">
        <f aca="false">IF(AND(pos_z&lt;=0,K137&gt;0),"Impact balistique","") &amp; IF(AND(H139&lt;0,vit_z&gt;=0),"Apogée","") &amp; IF(AND(Poussee=0,Q137&gt;0),"Fin de propulsion","") &amp; IF(AND(L139&gt;L_rampe,pos_xz&lt;=L_rampe),"Sortie de rampe","")</f>
        <v/>
      </c>
      <c r="Z138" s="455" t="str">
        <f aca="false">IF(ABS(t-T_para)&lt;pas/2,"Para","")</f>
        <v/>
      </c>
      <c r="AA138" s="456" t="str">
        <f aca="false">IF(ABS(t-T_satellite)&lt;pas/2,"Satellite","")</f>
        <v/>
      </c>
      <c r="AB138" s="444"/>
      <c r="AC138" s="452" t="e">
        <f aca="false">IF(ABS(t-ROUND(t,0))&lt;0.001,t,NA())</f>
        <v>#N/A</v>
      </c>
      <c r="AD138" s="457" t="e">
        <f aca="false">IF(ABS(t-ROUND(t,0))&lt;0.001,pos_x,NA())</f>
        <v>#N/A</v>
      </c>
      <c r="AE138" s="458" t="n">
        <f aca="false">IF(t&lt;T_para, pos_z, NA())</f>
        <v>63.9112414317686</v>
      </c>
      <c r="AF138" s="444"/>
      <c r="AG138" s="450" t="n">
        <f aca="false">IF(AND(L137&lt;L_rampe,Poussee&lt;Poids*SIN(M137)),0,(-W137+Poussee)/m-Poids*SIN(M137)/m)</f>
        <v>62.5226803401348</v>
      </c>
      <c r="AH138" s="449" t="n">
        <f aca="false">IF(AND(L137&lt;L_rampe,Poussee&lt;Poids*SIN(M137)), g*SIN(M137), (-W137+Poussee)/m)</f>
        <v>72.1212034142797</v>
      </c>
    </row>
    <row r="139" customFormat="false" ht="12" hidden="false" customHeight="false" outlineLevel="0" collapsed="false">
      <c r="A139" s="448" t="n">
        <f aca="false">IF(B138+0.01&lt;=T_ini+ROUNDUP(Temps_fin_propu,0), 0.01, IF(K138&gt;0, 0.1, 0.0001))</f>
        <v>0.01</v>
      </c>
      <c r="B139" s="449" t="n">
        <f aca="false">B138+pas</f>
        <v>1.35</v>
      </c>
      <c r="C139" s="432"/>
      <c r="D139" s="450" t="n">
        <f aca="false">IF(AND(L138&lt;L_rampe,Poussee&lt;Poids*SIN(M138)),0,(-W138+Poussee)/m*COS(M138)-U138/m*SIN(M138))</f>
        <v>14.8716984113584</v>
      </c>
      <c r="E139" s="451" t="n">
        <f aca="false">IF(AND(L138&lt;L_rampe,Poussee&lt;Poids*SIN(M138)),0,(-W138+Poussee)/m*SIN(M138)+U138/m*COS(M138)-Poids/m)</f>
        <v>60.574907210986</v>
      </c>
      <c r="F139" s="449" t="n">
        <f aca="false">SQRT(acc_x^2+acc_z^2)</f>
        <v>62.3737668996988</v>
      </c>
      <c r="G139" s="450" t="n">
        <f aca="false">G138+acc_x*pas</f>
        <v>19.8059616434393</v>
      </c>
      <c r="H139" s="451" t="n">
        <f aca="false">H138+acc_z*pas</f>
        <v>93.639732353641</v>
      </c>
      <c r="I139" s="449" t="n">
        <f aca="false">SQRT(vit_x^2+vit_z^2)</f>
        <v>95.711418294177</v>
      </c>
      <c r="J139" s="450" t="n">
        <f aca="false">J138+0.5*(vit_x+G138)*pas*(K138&gt;=0)</f>
        <v>12.8843906927826</v>
      </c>
      <c r="K139" s="451" t="n">
        <f aca="false">K138+0.5*(vit_z+H138)*pas</f>
        <v>64.8446100099444</v>
      </c>
      <c r="L139" s="449" t="n">
        <f aca="false">SQRT(pos_x^2+pos_z^2)</f>
        <v>66.1122603672424</v>
      </c>
      <c r="M139" s="450" t="n">
        <f aca="false">IF(AND(L138&gt;L_rampe,G139&gt;0),ATAN2(G139,H139),$M$4)</f>
        <v>1.36235608328084</v>
      </c>
      <c r="N139" s="449" t="n">
        <f aca="false">DEGREES(Beta)</f>
        <v>78.0572537659653</v>
      </c>
      <c r="O139" s="438"/>
      <c r="P139" s="452" t="n">
        <f aca="false">MATCH(t-pas/2-T_ini,CdP_t)</f>
        <v>4</v>
      </c>
      <c r="Q139" s="449" t="n">
        <f aca="false">(INDEX(CdP,2,i_P+1)-INDEX(CdP,2,i_P+0))/(INDEX(CdP,1,i_P+1)-INDEX(CdP,1,i_P+0))*(t-pas/2-T_ini-INDEX(CdP,1,i_P+0))+INDEX(CdP,2,i_P+0)</f>
        <v>683.8</v>
      </c>
      <c r="R139" s="450" t="n">
        <f aca="false">Poussee/(g*ISP)</f>
        <v>0.343167360581431</v>
      </c>
      <c r="S139" s="451" t="n">
        <f aca="false">S138-Débit*pas</f>
        <v>9.1651300543634</v>
      </c>
      <c r="T139" s="449" t="n">
        <f aca="false">m*g</f>
        <v>89.909925833305</v>
      </c>
      <c r="U139" s="453" t="n">
        <f aca="false">IF(pos_xz&lt;L_rampe,Poids*COS(Beta),0)</f>
        <v>0</v>
      </c>
      <c r="V139" s="450" t="n">
        <f aca="false">Rho_moyen*(20000-Alt_rampe-pos_z)/(20000+Alt_rampe+pos_z)</f>
        <v>1.21708220658509</v>
      </c>
      <c r="W139" s="449" t="n">
        <f aca="false">1/2*Rho*Sref*Cx*vit_xz^2</f>
        <v>24.7904068256182</v>
      </c>
      <c r="X139" s="438"/>
      <c r="Y139" s="454" t="str">
        <f aca="false">IF(AND(pos_z&lt;=0,K138&gt;0),"Impact balistique","") &amp; IF(AND(H140&lt;0,vit_z&gt;=0),"Apogée","") &amp; IF(AND(Poussee=0,Q138&gt;0),"Fin de propulsion","") &amp; IF(AND(L140&gt;L_rampe,pos_xz&lt;=L_rampe),"Sortie de rampe","")</f>
        <v/>
      </c>
      <c r="Z139" s="455" t="str">
        <f aca="false">IF(ABS(t-T_para)&lt;pas/2,"Para","")</f>
        <v/>
      </c>
      <c r="AA139" s="456" t="str">
        <f aca="false">IF(ABS(t-T_satellite)&lt;pas/2,"Satellite","")</f>
        <v/>
      </c>
      <c r="AB139" s="444"/>
      <c r="AC139" s="452" t="e">
        <f aca="false">IF(ABS(t-ROUND(t,0))&lt;0.001,t,NA())</f>
        <v>#N/A</v>
      </c>
      <c r="AD139" s="457" t="e">
        <f aca="false">IF(ABS(t-ROUND(t,0))&lt;0.001,pos_x,NA())</f>
        <v>#N/A</v>
      </c>
      <c r="AE139" s="458" t="n">
        <f aca="false">IF(t&lt;T_para, pos_z, NA())</f>
        <v>64.8446100099444</v>
      </c>
      <c r="AF139" s="444"/>
      <c r="AG139" s="450" t="n">
        <f aca="false">IF(AND(L138&lt;L_rampe,Poussee&lt;Poids*SIN(M138)),0,(-W138+Poussee)/m-Poids*SIN(M138)/m)</f>
        <v>62.3407896332781</v>
      </c>
      <c r="AH139" s="449" t="n">
        <f aca="false">IF(AND(L138&lt;L_rampe,Poussee&lt;Poids*SIN(M138)), g*SIN(M138), (-W138+Poussee)/m)</f>
        <v>71.9388808415693</v>
      </c>
    </row>
    <row r="140" customFormat="false" ht="12" hidden="false" customHeight="false" outlineLevel="0" collapsed="false">
      <c r="A140" s="448" t="n">
        <f aca="false">IF(B139+0.01&lt;=T_ini+ROUNDUP(Temps_fin_propu,0), 0.01, IF(K139&gt;0, 0.1, 0.0001))</f>
        <v>0.01</v>
      </c>
      <c r="B140" s="449" t="n">
        <f aca="false">B139+pas</f>
        <v>1.36</v>
      </c>
      <c r="C140" s="432"/>
      <c r="D140" s="450" t="n">
        <f aca="false">IF(AND(L139&lt;L_rampe,Poussee&lt;Poids*SIN(M139)),0,(-W139+Poussee)/m*COS(M139)-U139/m*SIN(M139))</f>
        <v>14.8488167770836</v>
      </c>
      <c r="E140" s="451" t="n">
        <f aca="false">IF(AND(L139&lt;L_rampe,Poussee&lt;Poids*SIN(M139)),0,(-W139+Poussee)/m*SIN(M139)+U139/m*COS(M139)-Poids/m)</f>
        <v>60.3930658145268</v>
      </c>
      <c r="F140" s="449" t="n">
        <f aca="false">SQRT(acc_x^2+acc_z^2)</f>
        <v>62.1917177617499</v>
      </c>
      <c r="G140" s="450" t="n">
        <f aca="false">G139+acc_x*pas</f>
        <v>19.9544498112102</v>
      </c>
      <c r="H140" s="451" t="n">
        <f aca="false">H139+acc_z*pas</f>
        <v>94.2436630117863</v>
      </c>
      <c r="I140" s="449" t="n">
        <f aca="false">SQRT(vit_x^2+vit_z^2)</f>
        <v>96.333006208398</v>
      </c>
      <c r="J140" s="450" t="n">
        <f aca="false">J139+0.5*(vit_x+G139)*pas*(K139&gt;=0)</f>
        <v>13.0831927500559</v>
      </c>
      <c r="K140" s="451" t="n">
        <f aca="false">K139+0.5*(vit_z+H139)*pas</f>
        <v>65.7840269867716</v>
      </c>
      <c r="L140" s="449" t="n">
        <f aca="false">SQRT(pos_x^2+pos_z^2)</f>
        <v>67.0724096714245</v>
      </c>
      <c r="M140" s="450" t="n">
        <f aca="false">IF(AND(L139&gt;L_rampe,G140&gt;0),ATAN2(G140,H140),$M$4)</f>
        <v>1.3621453534206</v>
      </c>
      <c r="N140" s="449" t="n">
        <f aca="false">DEGREES(Beta)</f>
        <v>78.045179834356</v>
      </c>
      <c r="O140" s="438"/>
      <c r="P140" s="452" t="n">
        <f aca="false">MATCH(t-pas/2-T_ini,CdP_t)</f>
        <v>4</v>
      </c>
      <c r="Q140" s="449" t="n">
        <f aca="false">(INDEX(CdP,2,i_P+1)-INDEX(CdP,2,i_P+0))/(INDEX(CdP,1,i_P+1)-INDEX(CdP,1,i_P+0))*(t-pas/2-T_ini-INDEX(CdP,1,i_P+0))+INDEX(CdP,2,i_P+0)</f>
        <v>682.2</v>
      </c>
      <c r="R140" s="450" t="n">
        <f aca="false">Poussee/(g*ISP)</f>
        <v>0.342364395128184</v>
      </c>
      <c r="S140" s="451" t="n">
        <f aca="false">S139-Débit*pas</f>
        <v>9.16170641041212</v>
      </c>
      <c r="T140" s="449" t="n">
        <f aca="false">m*g</f>
        <v>89.8763398861429</v>
      </c>
      <c r="U140" s="453" t="n">
        <f aca="false">IF(pos_xz&lt;L_rampe,Poids*COS(Beta),0)</f>
        <v>0</v>
      </c>
      <c r="V140" s="450" t="n">
        <f aca="false">Rho_moyen*(20000-Alt_rampe-pos_z)/(20000+Alt_rampe+pos_z)</f>
        <v>1.21696787596733</v>
      </c>
      <c r="W140" s="449" t="n">
        <f aca="false">1/2*Rho*Sref*Cx*vit_xz^2</f>
        <v>25.1110907708187</v>
      </c>
      <c r="X140" s="438"/>
      <c r="Y140" s="454" t="str">
        <f aca="false">IF(AND(pos_z&lt;=0,K139&gt;0),"Impact balistique","") &amp; IF(AND(H141&lt;0,vit_z&gt;=0),"Apogée","") &amp; IF(AND(Poussee=0,Q139&gt;0),"Fin de propulsion","") &amp; IF(AND(L141&gt;L_rampe,pos_xz&lt;=L_rampe),"Sortie de rampe","")</f>
        <v/>
      </c>
      <c r="Z140" s="455" t="str">
        <f aca="false">IF(ABS(t-T_para)&lt;pas/2,"Para","")</f>
        <v/>
      </c>
      <c r="AA140" s="456" t="str">
        <f aca="false">IF(ABS(t-T_satellite)&lt;pas/2,"Satellite","")</f>
        <v/>
      </c>
      <c r="AB140" s="444"/>
      <c r="AC140" s="452" t="e">
        <f aca="false">IF(ABS(t-ROUND(t,0))&lt;0.001,t,NA())</f>
        <v>#N/A</v>
      </c>
      <c r="AD140" s="457" t="e">
        <f aca="false">IF(ABS(t-ROUND(t,0))&lt;0.001,pos_x,NA())</f>
        <v>#N/A</v>
      </c>
      <c r="AE140" s="458" t="n">
        <f aca="false">IF(t&lt;T_para, pos_z, NA())</f>
        <v>65.7840269867716</v>
      </c>
      <c r="AF140" s="444"/>
      <c r="AG140" s="450" t="n">
        <f aca="false">IF(AND(L139&lt;L_rampe,Poussee&lt;Poids*SIN(M139)),0,(-W139+Poussee)/m-Poids*SIN(M139)/m)</f>
        <v>62.1585775287528</v>
      </c>
      <c r="AH140" s="449" t="n">
        <f aca="false">IF(AND(L139&lt;L_rampe,Poussee&lt;Poids*SIN(M139)), g*SIN(M139), (-W139+Poussee)/m)</f>
        <v>71.7562388189221</v>
      </c>
    </row>
    <row r="141" customFormat="false" ht="12" hidden="false" customHeight="false" outlineLevel="0" collapsed="false">
      <c r="A141" s="448" t="n">
        <f aca="false">IF(B140+0.01&lt;=T_ini+ROUNDUP(Temps_fin_propu,0), 0.01, IF(K140&gt;0, 0.1, 0.0001))</f>
        <v>0.01</v>
      </c>
      <c r="B141" s="449" t="n">
        <f aca="false">B140+pas</f>
        <v>1.37</v>
      </c>
      <c r="C141" s="432"/>
      <c r="D141" s="450" t="n">
        <f aca="false">IF(AND(L140&lt;L_rampe,Poussee&lt;Poids*SIN(M140)),0,(-W140+Poussee)/m*COS(M140)-U140/m*SIN(M140))</f>
        <v>14.825712130355</v>
      </c>
      <c r="E141" s="451" t="n">
        <f aca="false">IF(AND(L140&lt;L_rampe,Poussee&lt;Poids*SIN(M140)),0,(-W140+Poussee)/m*SIN(M140)+U140/m*COS(M140)-Poids/m)</f>
        <v>60.2109442576554</v>
      </c>
      <c r="F141" s="449" t="n">
        <f aca="false">SQRT(acc_x^2+acc_z^2)</f>
        <v>62.0093504930558</v>
      </c>
      <c r="G141" s="450" t="n">
        <f aca="false">G140+acc_x*pas</f>
        <v>20.1027069325137</v>
      </c>
      <c r="H141" s="451" t="n">
        <f aca="false">H140+acc_z*pas</f>
        <v>94.8457724543628</v>
      </c>
      <c r="I141" s="449" t="n">
        <f aca="false">SQRT(vit_x^2+vit_z^2)</f>
        <v>96.9527688025428</v>
      </c>
      <c r="J141" s="450" t="n">
        <f aca="false">J140+0.5*(vit_x+G140)*pas*(K140&gt;=0)</f>
        <v>13.2834785337745</v>
      </c>
      <c r="K141" s="451" t="n">
        <f aca="false">K140+0.5*(vit_z+H140)*pas</f>
        <v>66.7294741641023</v>
      </c>
      <c r="L141" s="449" t="n">
        <f aca="false">SQRT(pos_x^2+pos_z^2)</f>
        <v>68.0387648636779</v>
      </c>
      <c r="M141" s="450" t="n">
        <f aca="false">IF(AND(L140&gt;L_rampe,G141&gt;0),ATAN2(G141,H141),$M$4)</f>
        <v>1.36193576203015</v>
      </c>
      <c r="N141" s="449" t="n">
        <f aca="false">DEGREES(Beta)</f>
        <v>78.0331711322612</v>
      </c>
      <c r="O141" s="438"/>
      <c r="P141" s="452" t="n">
        <f aca="false">MATCH(t-pas/2-T_ini,CdP_t)</f>
        <v>4</v>
      </c>
      <c r="Q141" s="449" t="n">
        <f aca="false">(INDEX(CdP,2,i_P+1)-INDEX(CdP,2,i_P+0))/(INDEX(CdP,1,i_P+1)-INDEX(CdP,1,i_P+0))*(t-pas/2-T_ini-INDEX(CdP,1,i_P+0))+INDEX(CdP,2,i_P+0)</f>
        <v>680.6</v>
      </c>
      <c r="R141" s="450" t="n">
        <f aca="false">Poussee/(g*ISP)</f>
        <v>0.341561429674937</v>
      </c>
      <c r="S141" s="451" t="n">
        <f aca="false">S140-Débit*pas</f>
        <v>9.15829079611537</v>
      </c>
      <c r="T141" s="449" t="n">
        <f aca="false">m*g</f>
        <v>89.8428327098918</v>
      </c>
      <c r="U141" s="453" t="n">
        <f aca="false">IF(pos_xz&lt;L_rampe,Poids*COS(Beta),0)</f>
        <v>0</v>
      </c>
      <c r="V141" s="450" t="n">
        <f aca="false">Rho_moyen*(20000-Alt_rampe-pos_z)/(20000+Alt_rampe+pos_z)</f>
        <v>1.21685282225923</v>
      </c>
      <c r="W141" s="449" t="n">
        <f aca="false">1/2*Rho*Sref*Cx*vit_xz^2</f>
        <v>25.4328320449015</v>
      </c>
      <c r="X141" s="438"/>
      <c r="Y141" s="454" t="str">
        <f aca="false">IF(AND(pos_z&lt;=0,K140&gt;0),"Impact balistique","") &amp; IF(AND(H142&lt;0,vit_z&gt;=0),"Apogée","") &amp; IF(AND(Poussee=0,Q140&gt;0),"Fin de propulsion","") &amp; IF(AND(L142&gt;L_rampe,pos_xz&lt;=L_rampe),"Sortie de rampe","")</f>
        <v/>
      </c>
      <c r="Z141" s="455" t="str">
        <f aca="false">IF(ABS(t-T_para)&lt;pas/2,"Para","")</f>
        <v/>
      </c>
      <c r="AA141" s="456" t="str">
        <f aca="false">IF(ABS(t-T_satellite)&lt;pas/2,"Satellite","")</f>
        <v/>
      </c>
      <c r="AB141" s="444"/>
      <c r="AC141" s="452" t="e">
        <f aca="false">IF(ABS(t-ROUND(t,0))&lt;0.001,t,NA())</f>
        <v>#N/A</v>
      </c>
      <c r="AD141" s="457" t="e">
        <f aca="false">IF(ABS(t-ROUND(t,0))&lt;0.001,pos_x,NA())</f>
        <v>#N/A</v>
      </c>
      <c r="AE141" s="458" t="n">
        <f aca="false">IF(t&lt;T_para, pos_z, NA())</f>
        <v>66.7294741641023</v>
      </c>
      <c r="AF141" s="444"/>
      <c r="AG141" s="450" t="n">
        <f aca="false">IF(AND(L140&lt;L_rampe,Poussee&lt;Poids*SIN(M140)),0,(-W140+Poussee)/m-Poids*SIN(M140)/m)</f>
        <v>61.9760464647481</v>
      </c>
      <c r="AH141" s="449" t="n">
        <f aca="false">IF(AND(L140&lt;L_rampe,Poussee&lt;Poids*SIN(M140)), g*SIN(M140), (-W140+Poussee)/m)</f>
        <v>71.5732797551282</v>
      </c>
    </row>
    <row r="142" customFormat="false" ht="12" hidden="false" customHeight="false" outlineLevel="0" collapsed="false">
      <c r="A142" s="448" t="n">
        <f aca="false">IF(B141+0.01&lt;=T_ini+ROUNDUP(Temps_fin_propu,0), 0.01, IF(K141&gt;0, 0.1, 0.0001))</f>
        <v>0.01</v>
      </c>
      <c r="B142" s="449" t="n">
        <f aca="false">B141+pas</f>
        <v>1.38</v>
      </c>
      <c r="C142" s="432"/>
      <c r="D142" s="450" t="n">
        <f aca="false">IF(AND(L141&lt;L_rampe,Poussee&lt;Poids*SIN(M141)),0,(-W141+Poussee)/m*COS(M141)-U141/m*SIN(M141))</f>
        <v>14.8023866412533</v>
      </c>
      <c r="E142" s="451" t="n">
        <f aca="false">IF(AND(L141&lt;L_rampe,Poussee&lt;Poids*SIN(M141)),0,(-W141+Poussee)/m*SIN(M141)+U141/m*COS(M141)-Poids/m)</f>
        <v>60.028544623416</v>
      </c>
      <c r="F142" s="449" t="n">
        <f aca="false">SQRT(acc_x^2+acc_z^2)</f>
        <v>61.8266675463153</v>
      </c>
      <c r="G142" s="450" t="n">
        <f aca="false">G141+acc_x*pas</f>
        <v>20.2507307989263</v>
      </c>
      <c r="H142" s="451" t="n">
        <f aca="false">H141+acc_z*pas</f>
        <v>95.446057900597</v>
      </c>
      <c r="I142" s="449" t="n">
        <f aca="false">SQRT(vit_x^2+vit_z^2)</f>
        <v>97.5707029115538</v>
      </c>
      <c r="J142" s="450" t="n">
        <f aca="false">J141+0.5*(vit_x+G141)*pas*(K141&gt;=0)</f>
        <v>13.4852457224317</v>
      </c>
      <c r="K142" s="451" t="n">
        <f aca="false">K141+0.5*(vit_z+H141)*pas</f>
        <v>67.6809333158771</v>
      </c>
      <c r="L142" s="449" t="n">
        <f aca="false">SQRT(pos_x^2+pos_z^2)</f>
        <v>69.0113076727471</v>
      </c>
      <c r="M142" s="450" t="n">
        <f aca="false">IF(AND(L141&gt;L_rampe,G142&gt;0),ATAN2(G142,H142),$M$4)</f>
        <v>1.36172729186912</v>
      </c>
      <c r="N142" s="449" t="n">
        <f aca="false">DEGREES(Beta)</f>
        <v>78.0212266718799</v>
      </c>
      <c r="O142" s="438"/>
      <c r="P142" s="452" t="n">
        <f aca="false">MATCH(t-pas/2-T_ini,CdP_t)</f>
        <v>4</v>
      </c>
      <c r="Q142" s="449" t="n">
        <f aca="false">(INDEX(CdP,2,i_P+1)-INDEX(CdP,2,i_P+0))/(INDEX(CdP,1,i_P+1)-INDEX(CdP,1,i_P+0))*(t-pas/2-T_ini-INDEX(CdP,1,i_P+0))+INDEX(CdP,2,i_P+0)</f>
        <v>679</v>
      </c>
      <c r="R142" s="450" t="n">
        <f aca="false">Poussee/(g*ISP)</f>
        <v>0.34075846422169</v>
      </c>
      <c r="S142" s="451" t="n">
        <f aca="false">S141-Débit*pas</f>
        <v>9.15488321147316</v>
      </c>
      <c r="T142" s="449" t="n">
        <f aca="false">m*g</f>
        <v>89.8094043045517</v>
      </c>
      <c r="U142" s="453" t="n">
        <f aca="false">IF(pos_xz&lt;L_rampe,Poids*COS(Beta),0)</f>
        <v>0</v>
      </c>
      <c r="V142" s="450" t="n">
        <f aca="false">Rho_moyen*(20000-Alt_rampe-pos_z)/(20000+Alt_rampe+pos_z)</f>
        <v>1.21673704788436</v>
      </c>
      <c r="W142" s="449" t="n">
        <f aca="false">1/2*Rho*Sref*Cx*vit_xz^2</f>
        <v>25.7556097657947</v>
      </c>
      <c r="X142" s="438"/>
      <c r="Y142" s="454" t="str">
        <f aca="false">IF(AND(pos_z&lt;=0,K141&gt;0),"Impact balistique","") &amp; IF(AND(H143&lt;0,vit_z&gt;=0),"Apogée","") &amp; IF(AND(Poussee=0,Q141&gt;0),"Fin de propulsion","") &amp; IF(AND(L143&gt;L_rampe,pos_xz&lt;=L_rampe),"Sortie de rampe","")</f>
        <v/>
      </c>
      <c r="Z142" s="455" t="str">
        <f aca="false">IF(ABS(t-T_para)&lt;pas/2,"Para","")</f>
        <v/>
      </c>
      <c r="AA142" s="456" t="str">
        <f aca="false">IF(ABS(t-T_satellite)&lt;pas/2,"Satellite","")</f>
        <v/>
      </c>
      <c r="AB142" s="444"/>
      <c r="AC142" s="452" t="e">
        <f aca="false">IF(ABS(t-ROUND(t,0))&lt;0.001,t,NA())</f>
        <v>#N/A</v>
      </c>
      <c r="AD142" s="457" t="e">
        <f aca="false">IF(ABS(t-ROUND(t,0))&lt;0.001,pos_x,NA())</f>
        <v>#N/A</v>
      </c>
      <c r="AE142" s="458" t="n">
        <f aca="false">IF(t&lt;T_para, pos_z, NA())</f>
        <v>67.6809333158771</v>
      </c>
      <c r="AF142" s="444"/>
      <c r="AG142" s="450" t="n">
        <f aca="false">IF(AND(L141&lt;L_rampe,Poussee&lt;Poids*SIN(M141)),0,(-W141+Poussee)/m-Poids*SIN(M141)/m)</f>
        <v>61.7931988809053</v>
      </c>
      <c r="AH142" s="449" t="n">
        <f aca="false">IF(AND(L141&lt;L_rampe,Poussee&lt;Poids*SIN(M141)), g*SIN(M141), (-W141+Poussee)/m)</f>
        <v>71.3900060610309</v>
      </c>
    </row>
    <row r="143" customFormat="false" ht="12" hidden="false" customHeight="false" outlineLevel="0" collapsed="false">
      <c r="A143" s="448" t="n">
        <f aca="false">IF(B142+0.01&lt;=T_ini+ROUNDUP(Temps_fin_propu,0), 0.01, IF(K142&gt;0, 0.1, 0.0001))</f>
        <v>0.01</v>
      </c>
      <c r="B143" s="449" t="n">
        <f aca="false">B142+pas</f>
        <v>1.39</v>
      </c>
      <c r="C143" s="432"/>
      <c r="D143" s="450" t="n">
        <f aca="false">IF(AND(L142&lt;L_rampe,Poussee&lt;Poids*SIN(M142)),0,(-W142+Poussee)/m*COS(M142)-U142/m*SIN(M142))</f>
        <v>14.7788424452386</v>
      </c>
      <c r="E143" s="451" t="n">
        <f aca="false">IF(AND(L142&lt;L_rampe,Poussee&lt;Poids*SIN(M142)),0,(-W142+Poussee)/m*SIN(M142)+U142/m*COS(M142)-Poids/m)</f>
        <v>59.8458690023588</v>
      </c>
      <c r="F143" s="449" t="n">
        <f aca="false">SQRT(acc_x^2+acc_z^2)</f>
        <v>61.6436713756463</v>
      </c>
      <c r="G143" s="450" t="n">
        <f aca="false">G142+acc_x*pas</f>
        <v>20.3985192233787</v>
      </c>
      <c r="H143" s="451" t="n">
        <f aca="false">H142+acc_z*pas</f>
        <v>96.0445165906206</v>
      </c>
      <c r="I143" s="449" t="n">
        <f aca="false">SQRT(vit_x^2+vit_z^2)</f>
        <v>98.1868053947807</v>
      </c>
      <c r="J143" s="450" t="n">
        <f aca="false">J142+0.5*(vit_x+G142)*pas*(K142&gt;=0)</f>
        <v>13.6884919725432</v>
      </c>
      <c r="K143" s="451" t="n">
        <f aca="false">K142+0.5*(vit_z+H142)*pas</f>
        <v>68.6383861883332</v>
      </c>
      <c r="L143" s="449" t="n">
        <f aca="false">SQRT(pos_x^2+pos_z^2)</f>
        <v>69.9900197958334</v>
      </c>
      <c r="M143" s="450" t="n">
        <f aca="false">IF(AND(L142&gt;L_rampe,G143&gt;0),ATAN2(G143,H143),$M$4)</f>
        <v>1.36151992606165</v>
      </c>
      <c r="N143" s="449" t="n">
        <f aca="false">DEGREES(Beta)</f>
        <v>78.0093454862966</v>
      </c>
      <c r="O143" s="438"/>
      <c r="P143" s="452" t="n">
        <f aca="false">MATCH(t-pas/2-T_ini,CdP_t)</f>
        <v>4</v>
      </c>
      <c r="Q143" s="449" t="n">
        <f aca="false">(INDEX(CdP,2,i_P+1)-INDEX(CdP,2,i_P+0))/(INDEX(CdP,1,i_P+1)-INDEX(CdP,1,i_P+0))*(t-pas/2-T_ini-INDEX(CdP,1,i_P+0))+INDEX(CdP,2,i_P+0)</f>
        <v>677.4</v>
      </c>
      <c r="R143" s="450" t="n">
        <f aca="false">Poussee/(g*ISP)</f>
        <v>0.339955498768443</v>
      </c>
      <c r="S143" s="451" t="n">
        <f aca="false">S142-Débit*pas</f>
        <v>9.15148365648547</v>
      </c>
      <c r="T143" s="449" t="n">
        <f aca="false">m*g</f>
        <v>89.7760546701225</v>
      </c>
      <c r="U143" s="453" t="n">
        <f aca="false">IF(pos_xz&lt;L_rampe,Poids*COS(Beta),0)</f>
        <v>0</v>
      </c>
      <c r="V143" s="450" t="n">
        <f aca="false">Rho_moyen*(20000-Alt_rampe-pos_z)/(20000+Alt_rampe+pos_z)</f>
        <v>1.2166205552701</v>
      </c>
      <c r="W143" s="449" t="n">
        <f aca="false">1/2*Rho*Sref*Cx*vit_xz^2</f>
        <v>26.0794030825832</v>
      </c>
      <c r="X143" s="438"/>
      <c r="Y143" s="454" t="str">
        <f aca="false">IF(AND(pos_z&lt;=0,K142&gt;0),"Impact balistique","") &amp; IF(AND(H144&lt;0,vit_z&gt;=0),"Apogée","") &amp; IF(AND(Poussee=0,Q142&gt;0),"Fin de propulsion","") &amp; IF(AND(L144&gt;L_rampe,pos_xz&lt;=L_rampe),"Sortie de rampe","")</f>
        <v/>
      </c>
      <c r="Z143" s="455" t="str">
        <f aca="false">IF(ABS(t-T_para)&lt;pas/2,"Para","")</f>
        <v/>
      </c>
      <c r="AA143" s="456" t="str">
        <f aca="false">IF(ABS(t-T_satellite)&lt;pas/2,"Satellite","")</f>
        <v/>
      </c>
      <c r="AB143" s="444"/>
      <c r="AC143" s="452" t="e">
        <f aca="false">IF(ABS(t-ROUND(t,0))&lt;0.001,t,NA())</f>
        <v>#N/A</v>
      </c>
      <c r="AD143" s="457" t="e">
        <f aca="false">IF(ABS(t-ROUND(t,0))&lt;0.001,pos_x,NA())</f>
        <v>#N/A</v>
      </c>
      <c r="AE143" s="458" t="n">
        <f aca="false">IF(t&lt;T_para, pos_z, NA())</f>
        <v>68.6383861883332</v>
      </c>
      <c r="AF143" s="444"/>
      <c r="AG143" s="450" t="n">
        <f aca="false">IF(AND(L142&lt;L_rampe,Poussee&lt;Poids*SIN(M142)),0,(-W142+Poussee)/m-Poids*SIN(M142)/m)</f>
        <v>61.6100372182224</v>
      </c>
      <c r="AH143" s="449" t="n">
        <f aca="false">IF(AND(L142&lt;L_rampe,Poussee&lt;Poids*SIN(M142)), g*SIN(M142), (-W142+Poussee)/m)</f>
        <v>71.2064201494146</v>
      </c>
    </row>
    <row r="144" customFormat="false" ht="12" hidden="false" customHeight="false" outlineLevel="0" collapsed="false">
      <c r="A144" s="448" t="n">
        <f aca="false">IF(B143+0.01&lt;=T_ini+ROUNDUP(Temps_fin_propu,0), 0.01, IF(K143&gt;0, 0.1, 0.0001))</f>
        <v>0.01</v>
      </c>
      <c r="B144" s="449" t="n">
        <f aca="false">B143+pas</f>
        <v>1.4</v>
      </c>
      <c r="C144" s="432"/>
      <c r="D144" s="450" t="n">
        <f aca="false">IF(AND(L143&lt;L_rampe,Poussee&lt;Poids*SIN(M143)),0,(-W143+Poussee)/m*COS(M143)-U143/m*SIN(M143))</f>
        <v>14.7550816441478</v>
      </c>
      <c r="E144" s="451" t="n">
        <f aca="false">IF(AND(L143&lt;L_rampe,Poussee&lt;Poids*SIN(M143)),0,(-W143+Poussee)/m*SIN(M143)+U143/m*COS(M143)-Poids/m)</f>
        <v>59.6629194922704</v>
      </c>
      <c r="F144" s="449" t="n">
        <f aca="false">SQRT(acc_x^2+acc_z^2)</f>
        <v>61.4603644364936</v>
      </c>
      <c r="G144" s="450" t="n">
        <f aca="false">G143+acc_x*pas</f>
        <v>20.5460700398201</v>
      </c>
      <c r="H144" s="451" t="n">
        <f aca="false">H143+acc_z*pas</f>
        <v>96.6411457855433</v>
      </c>
      <c r="I144" s="449" t="n">
        <f aca="false">SQRT(vit_x^2+vit_z^2)</f>
        <v>98.8010731359929</v>
      </c>
      <c r="J144" s="450" t="n">
        <f aca="false">J143+0.5*(vit_x+G143)*pas*(K143&gt;=0)</f>
        <v>13.8932149188592</v>
      </c>
      <c r="K144" s="451" t="n">
        <f aca="false">K143+0.5*(vit_z+H143)*pas</f>
        <v>69.601814500214</v>
      </c>
      <c r="L144" s="449" t="n">
        <f aca="false">SQRT(pos_x^2+pos_z^2)</f>
        <v>70.9748828988383</v>
      </c>
      <c r="M144" s="450" t="n">
        <f aca="false">IF(AND(L143&gt;L_rampe,G144&gt;0),ATAN2(G144,H144),$M$4)</f>
        <v>1.36131364808598</v>
      </c>
      <c r="N144" s="449" t="n">
        <f aca="false">DEGREES(Beta)</f>
        <v>77.9975266288838</v>
      </c>
      <c r="O144" s="438"/>
      <c r="P144" s="452" t="n">
        <f aca="false">MATCH(t-pas/2-T_ini,CdP_t)</f>
        <v>4</v>
      </c>
      <c r="Q144" s="449" t="n">
        <f aca="false">(INDEX(CdP,2,i_P+1)-INDEX(CdP,2,i_P+0))/(INDEX(CdP,1,i_P+1)-INDEX(CdP,1,i_P+0))*(t-pas/2-T_ini-INDEX(CdP,1,i_P+0))+INDEX(CdP,2,i_P+0)</f>
        <v>675.8</v>
      </c>
      <c r="R144" s="450" t="n">
        <f aca="false">Poussee/(g*ISP)</f>
        <v>0.339152533315196</v>
      </c>
      <c r="S144" s="451" t="n">
        <f aca="false">S143-Débit*pas</f>
        <v>9.14809213115232</v>
      </c>
      <c r="T144" s="449" t="n">
        <f aca="false">m*g</f>
        <v>89.7427838066043</v>
      </c>
      <c r="U144" s="453" t="n">
        <f aca="false">IF(pos_xz&lt;L_rampe,Poids*COS(Beta),0)</f>
        <v>0</v>
      </c>
      <c r="V144" s="450" t="n">
        <f aca="false">Rho_moyen*(20000-Alt_rampe-pos_z)/(20000+Alt_rampe+pos_z)</f>
        <v>1.21650334684755</v>
      </c>
      <c r="W144" s="449" t="n">
        <f aca="false">1/2*Rho*Sref*Cx*vit_xz^2</f>
        <v>26.4041911763667</v>
      </c>
      <c r="X144" s="438"/>
      <c r="Y144" s="454" t="str">
        <f aca="false">IF(AND(pos_z&lt;=0,K143&gt;0),"Impact balistique","") &amp; IF(AND(H145&lt;0,vit_z&gt;=0),"Apogée","") &amp; IF(AND(Poussee=0,Q143&gt;0),"Fin de propulsion","") &amp; IF(AND(L145&gt;L_rampe,pos_xz&lt;=L_rampe),"Sortie de rampe","")</f>
        <v/>
      </c>
      <c r="Z144" s="455" t="str">
        <f aca="false">IF(ABS(t-T_para)&lt;pas/2,"Para","")</f>
        <v/>
      </c>
      <c r="AA144" s="456" t="str">
        <f aca="false">IF(ABS(t-T_satellite)&lt;pas/2,"Satellite","")</f>
        <v/>
      </c>
      <c r="AB144" s="444"/>
      <c r="AC144" s="452" t="e">
        <f aca="false">IF(ABS(t-ROUND(t,0))&lt;0.001,t,NA())</f>
        <v>#N/A</v>
      </c>
      <c r="AD144" s="457" t="e">
        <f aca="false">IF(ABS(t-ROUND(t,0))&lt;0.001,pos_x,NA())</f>
        <v>#N/A</v>
      </c>
      <c r="AE144" s="458" t="n">
        <f aca="false">IF(t&lt;T_para, pos_z, NA())</f>
        <v>69.601814500214</v>
      </c>
      <c r="AF144" s="444"/>
      <c r="AG144" s="450" t="n">
        <f aca="false">IF(AND(L143&lt;L_rampe,Poussee&lt;Poids*SIN(M143)),0,(-W143+Poussee)/m-Poids*SIN(M143)/m)</f>
        <v>61.4265639189591</v>
      </c>
      <c r="AH144" s="449" t="n">
        <f aca="false">IF(AND(L143&lt;L_rampe,Poussee&lt;Poids*SIN(M143)), g*SIN(M143), (-W143+Poussee)/m)</f>
        <v>71.0225244348928</v>
      </c>
    </row>
    <row r="145" customFormat="false" ht="12" hidden="false" customHeight="false" outlineLevel="0" collapsed="false">
      <c r="A145" s="448" t="n">
        <f aca="false">IF(B144+0.01&lt;=T_ini+ROUNDUP(Temps_fin_propu,0), 0.01, IF(K144&gt;0, 0.1, 0.0001))</f>
        <v>0.01</v>
      </c>
      <c r="B145" s="449" t="n">
        <f aca="false">B144+pas</f>
        <v>1.41</v>
      </c>
      <c r="C145" s="432"/>
      <c r="D145" s="450" t="n">
        <f aca="false">IF(AND(L144&lt;L_rampe,Poussee&lt;Poids*SIN(M144)),0,(-W144+Poussee)/m*COS(M144)-U144/m*SIN(M144))</f>
        <v>14.7311063071567</v>
      </c>
      <c r="E145" s="451" t="n">
        <f aca="false">IF(AND(L144&lt;L_rampe,Poussee&lt;Poids*SIN(M144)),0,(-W144+Poussee)/m*SIN(M144)+U144/m*COS(M144)-Poids/m)</f>
        <v>59.4796981979104</v>
      </c>
      <c r="F145" s="449" t="n">
        <f aca="false">SQRT(acc_x^2+acc_z^2)</f>
        <v>61.2767491855374</v>
      </c>
      <c r="G145" s="450" t="n">
        <f aca="false">G144+acc_x*pas</f>
        <v>20.6933811028917</v>
      </c>
      <c r="H145" s="451" t="n">
        <f aca="false">H144+acc_z*pas</f>
        <v>97.2359427675224</v>
      </c>
      <c r="I145" s="449" t="n">
        <f aca="false">SQRT(vit_x^2+vit_z^2)</f>
        <v>99.4135030433915</v>
      </c>
      <c r="J145" s="450" t="n">
        <f aca="false">J144+0.5*(vit_x+G144)*pas*(K144&gt;=0)</f>
        <v>14.0994121745728</v>
      </c>
      <c r="K145" s="451" t="n">
        <f aca="false">K144+0.5*(vit_z+H144)*pas</f>
        <v>70.5711999429793</v>
      </c>
      <c r="L145" s="449" t="n">
        <f aca="false">SQRT(pos_x^2+pos_z^2)</f>
        <v>71.9658786166087</v>
      </c>
      <c r="M145" s="450" t="n">
        <f aca="false">IF(AND(L144&gt;L_rampe,G145&gt;0),ATAN2(G145,H145),$M$4)</f>
        <v>1.36110844176435</v>
      </c>
      <c r="N145" s="449" t="n">
        <f aca="false">DEGREES(Beta)</f>
        <v>77.9857691727254</v>
      </c>
      <c r="O145" s="438"/>
      <c r="P145" s="452" t="n">
        <f aca="false">MATCH(t-pas/2-T_ini,CdP_t)</f>
        <v>4</v>
      </c>
      <c r="Q145" s="449" t="n">
        <f aca="false">(INDEX(CdP,2,i_P+1)-INDEX(CdP,2,i_P+0))/(INDEX(CdP,1,i_P+1)-INDEX(CdP,1,i_P+0))*(t-pas/2-T_ini-INDEX(CdP,1,i_P+0))+INDEX(CdP,2,i_P+0)</f>
        <v>674.2</v>
      </c>
      <c r="R145" s="450" t="n">
        <f aca="false">Poussee/(g*ISP)</f>
        <v>0.338349567861949</v>
      </c>
      <c r="S145" s="451" t="n">
        <f aca="false">S144-Débit*pas</f>
        <v>9.1447086354737</v>
      </c>
      <c r="T145" s="449" t="n">
        <f aca="false">m*g</f>
        <v>89.709591713997</v>
      </c>
      <c r="U145" s="453" t="n">
        <f aca="false">IF(pos_xz&lt;L_rampe,Poids*COS(Beta),0)</f>
        <v>0</v>
      </c>
      <c r="V145" s="450" t="n">
        <f aca="false">Rho_moyen*(20000-Alt_rampe-pos_z)/(20000+Alt_rampe+pos_z)</f>
        <v>1.21638542505154</v>
      </c>
      <c r="W145" s="449" t="n">
        <f aca="false">1/2*Rho*Sref*Cx*vit_xz^2</f>
        <v>26.7299532611136</v>
      </c>
      <c r="X145" s="438"/>
      <c r="Y145" s="454" t="str">
        <f aca="false">IF(AND(pos_z&lt;=0,K144&gt;0),"Impact balistique","") &amp; IF(AND(H146&lt;0,vit_z&gt;=0),"Apogée","") &amp; IF(AND(Poussee=0,Q144&gt;0),"Fin de propulsion","") &amp; IF(AND(L146&gt;L_rampe,pos_xz&lt;=L_rampe),"Sortie de rampe","")</f>
        <v/>
      </c>
      <c r="Z145" s="455" t="str">
        <f aca="false">IF(ABS(t-T_para)&lt;pas/2,"Para","")</f>
        <v/>
      </c>
      <c r="AA145" s="456" t="str">
        <f aca="false">IF(ABS(t-T_satellite)&lt;pas/2,"Satellite","")</f>
        <v/>
      </c>
      <c r="AB145" s="444"/>
      <c r="AC145" s="452" t="e">
        <f aca="false">IF(ABS(t-ROUND(t,0))&lt;0.001,t,NA())</f>
        <v>#N/A</v>
      </c>
      <c r="AD145" s="457" t="e">
        <f aca="false">IF(ABS(t-ROUND(t,0))&lt;0.001,pos_x,NA())</f>
        <v>#N/A</v>
      </c>
      <c r="AE145" s="458" t="n">
        <f aca="false">IF(t&lt;T_para, pos_z, NA())</f>
        <v>70.5711999429793</v>
      </c>
      <c r="AF145" s="444"/>
      <c r="AG145" s="450" t="n">
        <f aca="false">IF(AND(L144&lt;L_rampe,Poussee&lt;Poids*SIN(M144)),0,(-W144+Poussee)/m-Poids*SIN(M144)/m)</f>
        <v>61.2427814265405</v>
      </c>
      <c r="AH145" s="449" t="n">
        <f aca="false">IF(AND(L144&lt;L_rampe,Poussee&lt;Poids*SIN(M144)), g*SIN(M144), (-W144+Poussee)/m)</f>
        <v>70.8383213337969</v>
      </c>
    </row>
    <row r="146" customFormat="false" ht="12" hidden="false" customHeight="false" outlineLevel="0" collapsed="false">
      <c r="A146" s="448" t="n">
        <f aca="false">IF(B145+0.01&lt;=T_ini+ROUNDUP(Temps_fin_propu,0), 0.01, IF(K145&gt;0, 0.1, 0.0001))</f>
        <v>0.01</v>
      </c>
      <c r="B146" s="449" t="n">
        <f aca="false">B145+pas</f>
        <v>1.42</v>
      </c>
      <c r="C146" s="432"/>
      <c r="D146" s="450" t="n">
        <f aca="false">IF(AND(L145&lt;L_rampe,Poussee&lt;Poids*SIN(M145)),0,(-W145+Poussee)/m*COS(M145)-U145/m*SIN(M145))</f>
        <v>14.7069184717056</v>
      </c>
      <c r="E146" s="451" t="n">
        <f aca="false">IF(AND(L145&lt;L_rampe,Poussee&lt;Poids*SIN(M145)),0,(-W145+Poussee)/m*SIN(M145)+U145/m*COS(M145)-Poids/m)</f>
        <v>59.2962072307532</v>
      </c>
      <c r="F146" s="449" t="n">
        <f aca="false">SQRT(acc_x^2+acc_z^2)</f>
        <v>61.0928280806007</v>
      </c>
      <c r="G146" s="450" t="n">
        <f aca="false">G145+acc_x*pas</f>
        <v>20.8404502876088</v>
      </c>
      <c r="H146" s="451" t="n">
        <f aca="false">H145+acc_z*pas</f>
        <v>97.8289048398299</v>
      </c>
      <c r="I146" s="449" t="n">
        <f aca="false">SQRT(vit_x^2+vit_z^2)</f>
        <v>100.02409204962</v>
      </c>
      <c r="J146" s="450" t="n">
        <f aca="false">J145+0.5*(vit_x+G145)*pas*(K145&gt;=0)</f>
        <v>14.3070813315253</v>
      </c>
      <c r="K146" s="451" t="n">
        <f aca="false">K145+0.5*(vit_z+H145)*pas</f>
        <v>71.5465241810161</v>
      </c>
      <c r="L146" s="449" t="n">
        <f aca="false">SQRT(pos_x^2+pos_z^2)</f>
        <v>72.9629885531809</v>
      </c>
      <c r="M146" s="450" t="n">
        <f aca="false">IF(AND(L145&gt;L_rampe,G146&gt;0),ATAN2(G146,H146),$M$4)</f>
        <v>1.36090429125337</v>
      </c>
      <c r="N146" s="449" t="n">
        <f aca="false">DEGREES(Beta)</f>
        <v>77.9740722100606</v>
      </c>
      <c r="O146" s="438"/>
      <c r="P146" s="452" t="n">
        <f aca="false">MATCH(t-pas/2-T_ini,CdP_t)</f>
        <v>4</v>
      </c>
      <c r="Q146" s="449" t="n">
        <f aca="false">(INDEX(CdP,2,i_P+1)-INDEX(CdP,2,i_P+0))/(INDEX(CdP,1,i_P+1)-INDEX(CdP,1,i_P+0))*(t-pas/2-T_ini-INDEX(CdP,1,i_P+0))+INDEX(CdP,2,i_P+0)</f>
        <v>672.6</v>
      </c>
      <c r="R146" s="450" t="n">
        <f aca="false">Poussee/(g*ISP)</f>
        <v>0.337546602408702</v>
      </c>
      <c r="S146" s="451" t="n">
        <f aca="false">S145-Débit*pas</f>
        <v>9.14133316944962</v>
      </c>
      <c r="T146" s="449" t="n">
        <f aca="false">m*g</f>
        <v>89.6764783923007</v>
      </c>
      <c r="U146" s="453" t="n">
        <f aca="false">IF(pos_xz&lt;L_rampe,Poids*COS(Beta),0)</f>
        <v>0</v>
      </c>
      <c r="V146" s="450" t="n">
        <f aca="false">Rho_moyen*(20000-Alt_rampe-pos_z)/(20000+Alt_rampe+pos_z)</f>
        <v>1.21626679232055</v>
      </c>
      <c r="W146" s="449" t="n">
        <f aca="false">1/2*Rho*Sref*Cx*vit_xz^2</f>
        <v>27.0566685845094</v>
      </c>
      <c r="X146" s="438"/>
      <c r="Y146" s="454" t="str">
        <f aca="false">IF(AND(pos_z&lt;=0,K145&gt;0),"Impact balistique","") &amp; IF(AND(H147&lt;0,vit_z&gt;=0),"Apogée","") &amp; IF(AND(Poussee=0,Q145&gt;0),"Fin de propulsion","") &amp; IF(AND(L147&gt;L_rampe,pos_xz&lt;=L_rampe),"Sortie de rampe","")</f>
        <v/>
      </c>
      <c r="Z146" s="455" t="str">
        <f aca="false">IF(ABS(t-T_para)&lt;pas/2,"Para","")</f>
        <v/>
      </c>
      <c r="AA146" s="456" t="str">
        <f aca="false">IF(ABS(t-T_satellite)&lt;pas/2,"Satellite","")</f>
        <v/>
      </c>
      <c r="AB146" s="444"/>
      <c r="AC146" s="452" t="e">
        <f aca="false">IF(ABS(t-ROUND(t,0))&lt;0.001,t,NA())</f>
        <v>#N/A</v>
      </c>
      <c r="AD146" s="457" t="e">
        <f aca="false">IF(ABS(t-ROUND(t,0))&lt;0.001,pos_x,NA())</f>
        <v>#N/A</v>
      </c>
      <c r="AE146" s="458" t="n">
        <f aca="false">IF(t&lt;T_para, pos_z, NA())</f>
        <v>71.5465241810161</v>
      </c>
      <c r="AF146" s="444"/>
      <c r="AG146" s="450" t="n">
        <f aca="false">IF(AND(L145&lt;L_rampe,Poussee&lt;Poids*SIN(M145)),0,(-W145+Poussee)/m-Poids*SIN(M145)/m)</f>
        <v>61.058692185461</v>
      </c>
      <c r="AH146" s="449" t="n">
        <f aca="false">IF(AND(L145&lt;L_rampe,Poussee&lt;Poids*SIN(M145)), g*SIN(M145), (-W145+Poussee)/m)</f>
        <v>70.6538132640639</v>
      </c>
    </row>
    <row r="147" customFormat="false" ht="12" hidden="false" customHeight="false" outlineLevel="0" collapsed="false">
      <c r="A147" s="448" t="n">
        <f aca="false">IF(B146+0.01&lt;=T_ini+ROUNDUP(Temps_fin_propu,0), 0.01, IF(K146&gt;0, 0.1, 0.0001))</f>
        <v>0.01</v>
      </c>
      <c r="B147" s="449" t="n">
        <f aca="false">B146+pas</f>
        <v>1.43</v>
      </c>
      <c r="C147" s="432"/>
      <c r="D147" s="450" t="n">
        <f aca="false">IF(AND(L146&lt;L_rampe,Poussee&lt;Poids*SIN(M146)),0,(-W146+Poussee)/m*COS(M146)-U146/m*SIN(M146))</f>
        <v>14.6825201443926</v>
      </c>
      <c r="E147" s="451" t="n">
        <f aca="false">IF(AND(L146&lt;L_rampe,Poussee&lt;Poids*SIN(M146)),0,(-W146+Poussee)/m*SIN(M146)+U146/m*COS(M146)-Poids/m)</f>
        <v>59.1124487087356</v>
      </c>
      <c r="F147" s="449" t="n">
        <f aca="false">SQRT(acc_x^2+acc_z^2)</f>
        <v>60.9086035805566</v>
      </c>
      <c r="G147" s="450" t="n">
        <f aca="false">G146+acc_x*pas</f>
        <v>20.9872754890527</v>
      </c>
      <c r="H147" s="451" t="n">
        <f aca="false">H146+acc_z*pas</f>
        <v>98.4200293269173</v>
      </c>
      <c r="I147" s="449" t="n">
        <f aca="false">SQRT(vit_x^2+vit_z^2)</f>
        <v>100.632837111773</v>
      </c>
      <c r="J147" s="450" t="n">
        <f aca="false">J146+0.5*(vit_x+G146)*pas*(K146&gt;=0)</f>
        <v>14.5162199604086</v>
      </c>
      <c r="K147" s="451" t="n">
        <f aca="false">K146+0.5*(vit_z+H146)*pas</f>
        <v>72.5277688518498</v>
      </c>
      <c r="L147" s="449" t="n">
        <f aca="false">SQRT(pos_x^2+pos_z^2)</f>
        <v>73.9661942820254</v>
      </c>
      <c r="M147" s="450" t="n">
        <f aca="false">IF(AND(L146&gt;L_rampe,G147&gt;0),ATAN2(G147,H147),$M$4)</f>
        <v>1.36070118103457</v>
      </c>
      <c r="N147" s="449" t="n">
        <f aca="false">DEGREES(Beta)</f>
        <v>77.9624348517474</v>
      </c>
      <c r="O147" s="438"/>
      <c r="P147" s="452" t="n">
        <f aca="false">MATCH(t-pas/2-T_ini,CdP_t)</f>
        <v>4</v>
      </c>
      <c r="Q147" s="449" t="n">
        <f aca="false">(INDEX(CdP,2,i_P+1)-INDEX(CdP,2,i_P+0))/(INDEX(CdP,1,i_P+1)-INDEX(CdP,1,i_P+0))*(t-pas/2-T_ini-INDEX(CdP,1,i_P+0))+INDEX(CdP,2,i_P+0)</f>
        <v>671</v>
      </c>
      <c r="R147" s="450" t="n">
        <f aca="false">Poussee/(g*ISP)</f>
        <v>0.336743636955455</v>
      </c>
      <c r="S147" s="451" t="n">
        <f aca="false">S146-Débit*pas</f>
        <v>9.13796573308006</v>
      </c>
      <c r="T147" s="449" t="n">
        <f aca="false">m*g</f>
        <v>89.6434438415154</v>
      </c>
      <c r="U147" s="453" t="n">
        <f aca="false">IF(pos_xz&lt;L_rampe,Poids*COS(Beta),0)</f>
        <v>0</v>
      </c>
      <c r="V147" s="450" t="n">
        <f aca="false">Rho_moyen*(20000-Alt_rampe-pos_z)/(20000+Alt_rampe+pos_z)</f>
        <v>1.21614745109668</v>
      </c>
      <c r="W147" s="449" t="n">
        <f aca="false">1/2*Rho*Sref*Cx*vit_xz^2</f>
        <v>27.3843164288007</v>
      </c>
      <c r="X147" s="438"/>
      <c r="Y147" s="454" t="str">
        <f aca="false">IF(AND(pos_z&lt;=0,K146&gt;0),"Impact balistique","") &amp; IF(AND(H148&lt;0,vit_z&gt;=0),"Apogée","") &amp; IF(AND(Poussee=0,Q146&gt;0),"Fin de propulsion","") &amp; IF(AND(L148&gt;L_rampe,pos_xz&lt;=L_rampe),"Sortie de rampe","")</f>
        <v/>
      </c>
      <c r="Z147" s="455" t="str">
        <f aca="false">IF(ABS(t-T_para)&lt;pas/2,"Para","")</f>
        <v/>
      </c>
      <c r="AA147" s="456" t="str">
        <f aca="false">IF(ABS(t-T_satellite)&lt;pas/2,"Satellite","")</f>
        <v/>
      </c>
      <c r="AB147" s="444"/>
      <c r="AC147" s="452" t="e">
        <f aca="false">IF(ABS(t-ROUND(t,0))&lt;0.001,t,NA())</f>
        <v>#N/A</v>
      </c>
      <c r="AD147" s="457" t="e">
        <f aca="false">IF(ABS(t-ROUND(t,0))&lt;0.001,pos_x,NA())</f>
        <v>#N/A</v>
      </c>
      <c r="AE147" s="458" t="n">
        <f aca="false">IF(t&lt;T_para, pos_z, NA())</f>
        <v>72.5277688518498</v>
      </c>
      <c r="AF147" s="444"/>
      <c r="AG147" s="450" t="n">
        <f aca="false">IF(AND(L146&lt;L_rampe,Poussee&lt;Poids*SIN(M146)),0,(-W146+Poussee)/m-Poids*SIN(M146)/m)</f>
        <v>60.8742986411883</v>
      </c>
      <c r="AH147" s="449" t="n">
        <f aca="false">IF(AND(L146&lt;L_rampe,Poussee&lt;Poids*SIN(M146)), g*SIN(M146), (-W146+Poussee)/m)</f>
        <v>70.4690026451261</v>
      </c>
    </row>
    <row r="148" customFormat="false" ht="12" hidden="false" customHeight="false" outlineLevel="0" collapsed="false">
      <c r="A148" s="448" t="n">
        <f aca="false">IF(B147+0.01&lt;=T_ini+ROUNDUP(Temps_fin_propu,0), 0.01, IF(K147&gt;0, 0.1, 0.0001))</f>
        <v>0.01</v>
      </c>
      <c r="B148" s="449" t="n">
        <f aca="false">B147+pas</f>
        <v>1.44</v>
      </c>
      <c r="C148" s="432"/>
      <c r="D148" s="450" t="n">
        <f aca="false">IF(AND(L147&lt;L_rampe,Poussee&lt;Poids*SIN(M147)),0,(-W147+Poussee)/m*COS(M147)-U147/m*SIN(M147))</f>
        <v>14.6579133018337</v>
      </c>
      <c r="E148" s="451" t="n">
        <f aca="false">IF(AND(L147&lt;L_rampe,Poussee&lt;Poids*SIN(M147)),0,(-W147+Poussee)/m*SIN(M147)+U147/m*COS(M147)-Poids/m)</f>
        <v>58.9284247560093</v>
      </c>
      <c r="F148" s="449" t="n">
        <f aca="false">SQRT(acc_x^2+acc_z^2)</f>
        <v>60.7240781452359</v>
      </c>
      <c r="G148" s="450" t="n">
        <f aca="false">G147+acc_x*pas</f>
        <v>21.133854622071</v>
      </c>
      <c r="H148" s="451" t="n">
        <f aca="false">H147+acc_z*pas</f>
        <v>99.0093135744774</v>
      </c>
      <c r="I148" s="449" t="n">
        <f aca="false">SQRT(vit_x^2+vit_z^2)</f>
        <v>101.239735211408</v>
      </c>
      <c r="J148" s="450" t="n">
        <f aca="false">J147+0.5*(vit_x+G147)*pas*(K147&gt;=0)</f>
        <v>14.7268256109642</v>
      </c>
      <c r="K148" s="451" t="n">
        <f aca="false">K147+0.5*(vit_z+H147)*pas</f>
        <v>73.5149155663568</v>
      </c>
      <c r="L148" s="449" t="n">
        <f aca="false">SQRT(pos_x^2+pos_z^2)</f>
        <v>74.9754773462919</v>
      </c>
      <c r="M148" s="450" t="n">
        <f aca="false">IF(AND(L147&gt;L_rampe,G148&gt;0),ATAN2(G148,H148),$M$4)</f>
        <v>1.36049909590542</v>
      </c>
      <c r="N148" s="449" t="n">
        <f aca="false">DEGREES(Beta)</f>
        <v>77.9508562267445</v>
      </c>
      <c r="O148" s="438"/>
      <c r="P148" s="452" t="n">
        <f aca="false">MATCH(t-pas/2-T_ini,CdP_t)</f>
        <v>4</v>
      </c>
      <c r="Q148" s="449" t="n">
        <f aca="false">(INDEX(CdP,2,i_P+1)-INDEX(CdP,2,i_P+0))/(INDEX(CdP,1,i_P+1)-INDEX(CdP,1,i_P+0))*(t-pas/2-T_ini-INDEX(CdP,1,i_P+0))+INDEX(CdP,2,i_P+0)</f>
        <v>669.4</v>
      </c>
      <c r="R148" s="450" t="n">
        <f aca="false">Poussee/(g*ISP)</f>
        <v>0.335940671502208</v>
      </c>
      <c r="S148" s="451" t="n">
        <f aca="false">S147-Débit*pas</f>
        <v>9.13460632636504</v>
      </c>
      <c r="T148" s="449" t="n">
        <f aca="false">m*g</f>
        <v>89.610488061641</v>
      </c>
      <c r="U148" s="453" t="n">
        <f aca="false">IF(pos_xz&lt;L_rampe,Poids*COS(Beta),0)</f>
        <v>0</v>
      </c>
      <c r="V148" s="450" t="n">
        <f aca="false">Rho_moyen*(20000-Alt_rampe-pos_z)/(20000+Alt_rampe+pos_z)</f>
        <v>1.21602740382563</v>
      </c>
      <c r="W148" s="449" t="n">
        <f aca="false">1/2*Rho*Sref*Cx*vit_xz^2</f>
        <v>27.7128761116335</v>
      </c>
      <c r="X148" s="438"/>
      <c r="Y148" s="454" t="str">
        <f aca="false">IF(AND(pos_z&lt;=0,K147&gt;0),"Impact balistique","") &amp; IF(AND(H149&lt;0,vit_z&gt;=0),"Apogée","") &amp; IF(AND(Poussee=0,Q147&gt;0),"Fin de propulsion","") &amp; IF(AND(L149&gt;L_rampe,pos_xz&lt;=L_rampe),"Sortie de rampe","")</f>
        <v/>
      </c>
      <c r="Z148" s="455" t="str">
        <f aca="false">IF(ABS(t-T_para)&lt;pas/2,"Para","")</f>
        <v/>
      </c>
      <c r="AA148" s="456" t="str">
        <f aca="false">IF(ABS(t-T_satellite)&lt;pas/2,"Satellite","")</f>
        <v/>
      </c>
      <c r="AB148" s="444"/>
      <c r="AC148" s="452" t="e">
        <f aca="false">IF(ABS(t-ROUND(t,0))&lt;0.001,t,NA())</f>
        <v>#N/A</v>
      </c>
      <c r="AD148" s="457" t="e">
        <f aca="false">IF(ABS(t-ROUND(t,0))&lt;0.001,pos_x,NA())</f>
        <v>#N/A</v>
      </c>
      <c r="AE148" s="458" t="n">
        <f aca="false">IF(t&lt;T_para, pos_z, NA())</f>
        <v>73.5149155663568</v>
      </c>
      <c r="AF148" s="444"/>
      <c r="AG148" s="450" t="n">
        <f aca="false">IF(AND(L147&lt;L_rampe,Poussee&lt;Poids*SIN(M147)),0,(-W147+Poussee)/m-Poids*SIN(M147)/m)</f>
        <v>60.6896032400661</v>
      </c>
      <c r="AH148" s="449" t="n">
        <f aca="false">IF(AND(L147&lt;L_rampe,Poussee&lt;Poids*SIN(M147)), g*SIN(M147), (-W147+Poussee)/m)</f>
        <v>70.2838918977999</v>
      </c>
    </row>
    <row r="149" customFormat="false" ht="12" hidden="false" customHeight="false" outlineLevel="0" collapsed="false">
      <c r="A149" s="448" t="n">
        <f aca="false">IF(B148+0.01&lt;=T_ini+ROUNDUP(Temps_fin_propu,0), 0.01, IF(K148&gt;0, 0.1, 0.0001))</f>
        <v>0.01</v>
      </c>
      <c r="B149" s="449" t="n">
        <f aca="false">B148+pas</f>
        <v>1.45</v>
      </c>
      <c r="C149" s="432"/>
      <c r="D149" s="450" t="n">
        <f aca="false">IF(AND(L148&lt;L_rampe,Poussee&lt;Poids*SIN(M148)),0,(-W148+Poussee)/m*COS(M148)-U148/m*SIN(M148))</f>
        <v>14.6330998914931</v>
      </c>
      <c r="E149" s="451" t="n">
        <f aca="false">IF(AND(L148&lt;L_rampe,Poussee&lt;Poids*SIN(M148)),0,(-W148+Poussee)/m*SIN(M148)+U148/m*COS(M148)-Poids/m)</f>
        <v>58.7441375026983</v>
      </c>
      <c r="F149" s="449" t="n">
        <f aca="false">SQRT(acc_x^2+acc_z^2)</f>
        <v>60.5392542353335</v>
      </c>
      <c r="G149" s="450" t="n">
        <f aca="false">G148+acc_x*pas</f>
        <v>21.2801856209859</v>
      </c>
      <c r="H149" s="451" t="n">
        <f aca="false">H148+acc_z*pas</f>
        <v>99.5967549495043</v>
      </c>
      <c r="I149" s="449" t="n">
        <f aca="false">SQRT(vit_x^2+vit_z^2)</f>
        <v>101.84478335455</v>
      </c>
      <c r="J149" s="450" t="n">
        <f aca="false">J148+0.5*(vit_x+G148)*pas*(K148&gt;=0)</f>
        <v>14.9388958121795</v>
      </c>
      <c r="K149" s="451" t="n">
        <f aca="false">K148+0.5*(vit_z+H148)*pas</f>
        <v>74.5079459089767</v>
      </c>
      <c r="L149" s="449" t="n">
        <f aca="false">SQRT(pos_x^2+pos_z^2)</f>
        <v>75.9908192590536</v>
      </c>
      <c r="M149" s="450" t="n">
        <f aca="false">IF(AND(L148&gt;L_rampe,G149&gt;0),ATAN2(G149,H149),$M$4)</f>
        <v>1.36029802097057</v>
      </c>
      <c r="N149" s="449" t="n">
        <f aca="false">DEGREES(Beta)</f>
        <v>77.9393354816121</v>
      </c>
      <c r="O149" s="438"/>
      <c r="P149" s="452" t="n">
        <f aca="false">MATCH(t-pas/2-T_ini,CdP_t)</f>
        <v>4</v>
      </c>
      <c r="Q149" s="449" t="n">
        <f aca="false">(INDEX(CdP,2,i_P+1)-INDEX(CdP,2,i_P+0))/(INDEX(CdP,1,i_P+1)-INDEX(CdP,1,i_P+0))*(t-pas/2-T_ini-INDEX(CdP,1,i_P+0))+INDEX(CdP,2,i_P+0)</f>
        <v>667.8</v>
      </c>
      <c r="R149" s="450" t="n">
        <f aca="false">Poussee/(g*ISP)</f>
        <v>0.335137706048961</v>
      </c>
      <c r="S149" s="451" t="n">
        <f aca="false">S148-Débit*pas</f>
        <v>9.13125494930455</v>
      </c>
      <c r="T149" s="449" t="n">
        <f aca="false">m*g</f>
        <v>89.5776110526776</v>
      </c>
      <c r="U149" s="453" t="n">
        <f aca="false">IF(pos_xz&lt;L_rampe,Poids*COS(Beta),0)</f>
        <v>0</v>
      </c>
      <c r="V149" s="450" t="n">
        <f aca="false">Rho_moyen*(20000-Alt_rampe-pos_z)/(20000+Alt_rampe+pos_z)</f>
        <v>1.21590665295663</v>
      </c>
      <c r="W149" s="449" t="n">
        <f aca="false">1/2*Rho*Sref*Cx*vit_xz^2</f>
        <v>28.0423269868875</v>
      </c>
      <c r="X149" s="438"/>
      <c r="Y149" s="454" t="str">
        <f aca="false">IF(AND(pos_z&lt;=0,K148&gt;0),"Impact balistique","") &amp; IF(AND(H150&lt;0,vit_z&gt;=0),"Apogée","") &amp; IF(AND(Poussee=0,Q148&gt;0),"Fin de propulsion","") &amp; IF(AND(L150&gt;L_rampe,pos_xz&lt;=L_rampe),"Sortie de rampe","")</f>
        <v/>
      </c>
      <c r="Z149" s="455" t="str">
        <f aca="false">IF(ABS(t-T_para)&lt;pas/2,"Para","")</f>
        <v/>
      </c>
      <c r="AA149" s="456" t="str">
        <f aca="false">IF(ABS(t-T_satellite)&lt;pas/2,"Satellite","")</f>
        <v/>
      </c>
      <c r="AB149" s="444"/>
      <c r="AC149" s="452" t="e">
        <f aca="false">IF(ABS(t-ROUND(t,0))&lt;0.001,t,NA())</f>
        <v>#N/A</v>
      </c>
      <c r="AD149" s="457" t="e">
        <f aca="false">IF(ABS(t-ROUND(t,0))&lt;0.001,pos_x,NA())</f>
        <v>#N/A</v>
      </c>
      <c r="AE149" s="458" t="n">
        <f aca="false">IF(t&lt;T_para, pos_z, NA())</f>
        <v>74.5079459089767</v>
      </c>
      <c r="AF149" s="444"/>
      <c r="AG149" s="450" t="n">
        <f aca="false">IF(AND(L148&lt;L_rampe,Poussee&lt;Poids*SIN(M148)),0,(-W148+Poussee)/m-Poids*SIN(M148)/m)</f>
        <v>60.5046084292177</v>
      </c>
      <c r="AH149" s="449" t="n">
        <f aca="false">IF(AND(L148&lt;L_rampe,Poussee&lt;Poids*SIN(M148)), g*SIN(M148), (-W148+Poussee)/m)</f>
        <v>70.0984834441751</v>
      </c>
    </row>
    <row r="150" customFormat="false" ht="12" hidden="false" customHeight="false" outlineLevel="0" collapsed="false">
      <c r="A150" s="448" t="n">
        <f aca="false">IF(B149+0.01&lt;=T_ini+ROUNDUP(Temps_fin_propu,0), 0.01, IF(K149&gt;0, 0.1, 0.0001))</f>
        <v>0.01</v>
      </c>
      <c r="B150" s="449" t="n">
        <f aca="false">B149+pas</f>
        <v>1.46</v>
      </c>
      <c r="C150" s="432"/>
      <c r="D150" s="450" t="n">
        <f aca="false">IF(AND(L149&lt;L_rampe,Poussee&lt;Poids*SIN(M149)),0,(-W149+Poussee)/m*COS(M149)-U149/m*SIN(M149))</f>
        <v>14.6080818324833</v>
      </c>
      <c r="E150" s="451" t="n">
        <f aca="false">IF(AND(L149&lt;L_rampe,Poussee&lt;Poids*SIN(M149)),0,(-W149+Poussee)/m*SIN(M149)+U149/m*COS(M149)-Poids/m)</f>
        <v>58.5595890846621</v>
      </c>
      <c r="F150" s="449" t="n">
        <f aca="false">SQRT(acc_x^2+acc_z^2)</f>
        <v>60.3541343123154</v>
      </c>
      <c r="G150" s="450" t="n">
        <f aca="false">G149+acc_x*pas</f>
        <v>21.4262664393108</v>
      </c>
      <c r="H150" s="451" t="n">
        <f aca="false">H149+acc_z*pas</f>
        <v>100.182350840351</v>
      </c>
      <c r="I150" s="449" t="n">
        <f aca="false">SQRT(vit_x^2+vit_z^2)</f>
        <v>102.4479785717</v>
      </c>
      <c r="J150" s="450" t="n">
        <f aca="false">J149+0.5*(vit_x+G149)*pas*(K149&gt;=0)</f>
        <v>15.152428072481</v>
      </c>
      <c r="K150" s="451" t="n">
        <f aca="false">K149+0.5*(vit_z+H149)*pas</f>
        <v>75.506841437926</v>
      </c>
      <c r="L150" s="449" t="n">
        <f aca="false">SQRT(pos_x^2+pos_z^2)</f>
        <v>77.0122015035527</v>
      </c>
      <c r="M150" s="450" t="n">
        <f aca="false">IF(AND(L149&gt;L_rampe,G150&gt;0),ATAN2(G150,H150),$M$4)</f>
        <v>1.36009794163347</v>
      </c>
      <c r="N150" s="449" t="n">
        <f aca="false">DEGREES(Beta)</f>
        <v>77.9278717800286</v>
      </c>
      <c r="O150" s="438"/>
      <c r="P150" s="452" t="n">
        <f aca="false">MATCH(t-pas/2-T_ini,CdP_t)</f>
        <v>4</v>
      </c>
      <c r="Q150" s="449" t="n">
        <f aca="false">(INDEX(CdP,2,i_P+1)-INDEX(CdP,2,i_P+0))/(INDEX(CdP,1,i_P+1)-INDEX(CdP,1,i_P+0))*(t-pas/2-T_ini-INDEX(CdP,1,i_P+0))+INDEX(CdP,2,i_P+0)</f>
        <v>666.2</v>
      </c>
      <c r="R150" s="450" t="n">
        <f aca="false">Poussee/(g*ISP)</f>
        <v>0.334334740595714</v>
      </c>
      <c r="S150" s="451" t="n">
        <f aca="false">S149-Débit*pas</f>
        <v>9.12791160189859</v>
      </c>
      <c r="T150" s="449" t="n">
        <f aca="false">m*g</f>
        <v>89.5448128146252</v>
      </c>
      <c r="U150" s="453" t="n">
        <f aca="false">IF(pos_xz&lt;L_rampe,Poids*COS(Beta),0)</f>
        <v>0</v>
      </c>
      <c r="V150" s="450" t="n">
        <f aca="false">Rho_moyen*(20000-Alt_rampe-pos_z)/(20000+Alt_rampe+pos_z)</f>
        <v>1.21578520094242</v>
      </c>
      <c r="W150" s="449" t="n">
        <f aca="false">1/2*Rho*Sref*Cx*vit_xz^2</f>
        <v>28.3726484455044</v>
      </c>
      <c r="X150" s="438"/>
      <c r="Y150" s="454" t="str">
        <f aca="false">IF(AND(pos_z&lt;=0,K149&gt;0),"Impact balistique","") &amp; IF(AND(H151&lt;0,vit_z&gt;=0),"Apogée","") &amp; IF(AND(Poussee=0,Q149&gt;0),"Fin de propulsion","") &amp; IF(AND(L151&gt;L_rampe,pos_xz&lt;=L_rampe),"Sortie de rampe","")</f>
        <v/>
      </c>
      <c r="Z150" s="455" t="str">
        <f aca="false">IF(ABS(t-T_para)&lt;pas/2,"Para","")</f>
        <v/>
      </c>
      <c r="AA150" s="456" t="str">
        <f aca="false">IF(ABS(t-T_satellite)&lt;pas/2,"Satellite","")</f>
        <v/>
      </c>
      <c r="AB150" s="444"/>
      <c r="AC150" s="452" t="e">
        <f aca="false">IF(ABS(t-ROUND(t,0))&lt;0.001,t,NA())</f>
        <v>#N/A</v>
      </c>
      <c r="AD150" s="457" t="e">
        <f aca="false">IF(ABS(t-ROUND(t,0))&lt;0.001,pos_x,NA())</f>
        <v>#N/A</v>
      </c>
      <c r="AE150" s="458" t="n">
        <f aca="false">IF(t&lt;T_para, pos_z, NA())</f>
        <v>75.506841437926</v>
      </c>
      <c r="AF150" s="444"/>
      <c r="AG150" s="450" t="n">
        <f aca="false">IF(AND(L149&lt;L_rampe,Poussee&lt;Poids*SIN(M149)),0,(-W149+Poussee)/m-Poids*SIN(M149)/m)</f>
        <v>60.3193166564491</v>
      </c>
      <c r="AH150" s="449" t="n">
        <f aca="false">IF(AND(L149&lt;L_rampe,Poussee&lt;Poids*SIN(M149)), g*SIN(M149), (-W149+Poussee)/m)</f>
        <v>69.9127797075047</v>
      </c>
    </row>
    <row r="151" customFormat="false" ht="12" hidden="false" customHeight="false" outlineLevel="0" collapsed="false">
      <c r="A151" s="448" t="n">
        <f aca="false">IF(B150+0.01&lt;=T_ini+ROUNDUP(Temps_fin_propu,0), 0.01, IF(K150&gt;0, 0.1, 0.0001))</f>
        <v>0.01</v>
      </c>
      <c r="B151" s="449" t="n">
        <f aca="false">B150+pas</f>
        <v>1.47</v>
      </c>
      <c r="C151" s="432"/>
      <c r="D151" s="450" t="n">
        <f aca="false">IF(AND(L150&lt;L_rampe,Poussee&lt;Poids*SIN(M150)),0,(-W150+Poussee)/m*COS(M150)-U150/m*SIN(M150))</f>
        <v>14.5828610163371</v>
      </c>
      <c r="E151" s="451" t="n">
        <f aca="false">IF(AND(L150&lt;L_rampe,Poussee&lt;Poids*SIN(M150)),0,(-W150+Poussee)/m*SIN(M150)+U150/m*COS(M150)-Poids/m)</f>
        <v>58.3747816432621</v>
      </c>
      <c r="F151" s="449" t="n">
        <f aca="false">SQRT(acc_x^2+acc_z^2)</f>
        <v>60.1687208383254</v>
      </c>
      <c r="G151" s="450" t="n">
        <f aca="false">G150+acc_x*pas</f>
        <v>21.5720950494741</v>
      </c>
      <c r="H151" s="451" t="n">
        <f aca="false">H150+acc_z*pas</f>
        <v>100.766098656784</v>
      </c>
      <c r="I151" s="449" t="n">
        <f aca="false">SQRT(vit_x^2+vit_z^2)</f>
        <v>103.049317917841</v>
      </c>
      <c r="J151" s="450" t="n">
        <f aca="false">J150+0.5*(vit_x+G150)*pas*(K150&gt;=0)</f>
        <v>15.3674198799249</v>
      </c>
      <c r="K151" s="451" t="n">
        <f aca="false">K150+0.5*(vit_z+H150)*pas</f>
        <v>76.5115836854117</v>
      </c>
      <c r="L151" s="449" t="n">
        <f aca="false">SQRT(pos_x^2+pos_z^2)</f>
        <v>78.0396055334448</v>
      </c>
      <c r="M151" s="450" t="n">
        <f aca="false">IF(AND(L150&gt;L_rampe,G151&gt;0),ATAN2(G151,H151),$M$4)</f>
        <v>1.35989884358819</v>
      </c>
      <c r="N151" s="449" t="n">
        <f aca="false">DEGREES(Beta)</f>
        <v>77.9164643023245</v>
      </c>
      <c r="O151" s="438"/>
      <c r="P151" s="452" t="n">
        <f aca="false">MATCH(t-pas/2-T_ini,CdP_t)</f>
        <v>4</v>
      </c>
      <c r="Q151" s="449" t="n">
        <f aca="false">(INDEX(CdP,2,i_P+1)-INDEX(CdP,2,i_P+0))/(INDEX(CdP,1,i_P+1)-INDEX(CdP,1,i_P+0))*(t-pas/2-T_ini-INDEX(CdP,1,i_P+0))+INDEX(CdP,2,i_P+0)</f>
        <v>664.6</v>
      </c>
      <c r="R151" s="450" t="n">
        <f aca="false">Poussee/(g*ISP)</f>
        <v>0.333531775142467</v>
      </c>
      <c r="S151" s="451" t="n">
        <f aca="false">S150-Débit*pas</f>
        <v>9.12457628414717</v>
      </c>
      <c r="T151" s="449" t="n">
        <f aca="false">m*g</f>
        <v>89.5120933474837</v>
      </c>
      <c r="U151" s="453" t="n">
        <f aca="false">IF(pos_xz&lt;L_rampe,Poids*COS(Beta),0)</f>
        <v>0</v>
      </c>
      <c r="V151" s="450" t="n">
        <f aca="false">Rho_moyen*(20000-Alt_rampe-pos_z)/(20000+Alt_rampe+pos_z)</f>
        <v>1.21566305023919</v>
      </c>
      <c r="W151" s="449" t="n">
        <f aca="false">1/2*Rho*Sref*Cx*vit_xz^2</f>
        <v>28.7038199163117</v>
      </c>
      <c r="X151" s="438"/>
      <c r="Y151" s="454" t="str">
        <f aca="false">IF(AND(pos_z&lt;=0,K150&gt;0),"Impact balistique","") &amp; IF(AND(H152&lt;0,vit_z&gt;=0),"Apogée","") &amp; IF(AND(Poussee=0,Q150&gt;0),"Fin de propulsion","") &amp; IF(AND(L152&gt;L_rampe,pos_xz&lt;=L_rampe),"Sortie de rampe","")</f>
        <v/>
      </c>
      <c r="Z151" s="455" t="str">
        <f aca="false">IF(ABS(t-T_para)&lt;pas/2,"Para","")</f>
        <v/>
      </c>
      <c r="AA151" s="456" t="str">
        <f aca="false">IF(ABS(t-T_satellite)&lt;pas/2,"Satellite","")</f>
        <v/>
      </c>
      <c r="AB151" s="444"/>
      <c r="AC151" s="452" t="e">
        <f aca="false">IF(ABS(t-ROUND(t,0))&lt;0.001,t,NA())</f>
        <v>#N/A</v>
      </c>
      <c r="AD151" s="457" t="e">
        <f aca="false">IF(ABS(t-ROUND(t,0))&lt;0.001,pos_x,NA())</f>
        <v>#N/A</v>
      </c>
      <c r="AE151" s="458" t="n">
        <f aca="false">IF(t&lt;T_para, pos_z, NA())</f>
        <v>76.5115836854117</v>
      </c>
      <c r="AF151" s="444"/>
      <c r="AG151" s="450" t="n">
        <f aca="false">IF(AND(L150&lt;L_rampe,Poussee&lt;Poids*SIN(M150)),0,(-W150+Poussee)/m-Poids*SIN(M150)/m)</f>
        <v>60.1337303701513</v>
      </c>
      <c r="AH151" s="449" t="n">
        <f aca="false">IF(AND(L150&lt;L_rampe,Poussee&lt;Poids*SIN(M150)), g*SIN(M150), (-W150+Poussee)/m)</f>
        <v>69.726783112095</v>
      </c>
    </row>
    <row r="152" customFormat="false" ht="12" hidden="false" customHeight="false" outlineLevel="0" collapsed="false">
      <c r="A152" s="448" t="n">
        <f aca="false">IF(B151+0.01&lt;=T_ini+ROUNDUP(Temps_fin_propu,0), 0.01, IF(K151&gt;0, 0.1, 0.0001))</f>
        <v>0.01</v>
      </c>
      <c r="B152" s="449" t="n">
        <f aca="false">B151+pas</f>
        <v>1.48</v>
      </c>
      <c r="C152" s="432"/>
      <c r="D152" s="450" t="n">
        <f aca="false">IF(AND(L151&lt;L_rampe,Poussee&lt;Poids*SIN(M151)),0,(-W151+Poussee)/m*COS(M151)-U151/m*SIN(M151))</f>
        <v>14.5574393077528</v>
      </c>
      <c r="E152" s="451" t="n">
        <f aca="false">IF(AND(L151&lt;L_rampe,Poussee&lt;Poids*SIN(M151)),0,(-W151+Poussee)/m*SIN(M151)+U151/m*COS(M151)-Poids/m)</f>
        <v>58.1897173251336</v>
      </c>
      <c r="F152" s="449" t="n">
        <f aca="false">SQRT(acc_x^2+acc_z^2)</f>
        <v>59.9830162760915</v>
      </c>
      <c r="G152" s="450" t="n">
        <f aca="false">G151+acc_x*pas</f>
        <v>21.7176694425517</v>
      </c>
      <c r="H152" s="451" t="n">
        <f aca="false">H151+acc_z*pas</f>
        <v>101.347995830035</v>
      </c>
      <c r="I152" s="449" t="n">
        <f aca="false">SQRT(vit_x^2+vit_z^2)</f>
        <v>103.648798472441</v>
      </c>
      <c r="J152" s="450" t="n">
        <f aca="false">J151+0.5*(vit_x+G151)*pas*(K151&gt;=0)</f>
        <v>15.583868702385</v>
      </c>
      <c r="K152" s="451" t="n">
        <f aca="false">K151+0.5*(vit_z+H151)*pas</f>
        <v>77.5221541578458</v>
      </c>
      <c r="L152" s="449" t="n">
        <f aca="false">SQRT(pos_x^2+pos_z^2)</f>
        <v>79.073012773044</v>
      </c>
      <c r="M152" s="450" t="n">
        <f aca="false">IF(AND(L151&gt;L_rampe,G152&gt;0),ATAN2(G152,H152),$M$4)</f>
        <v>1.35970071281156</v>
      </c>
      <c r="N152" s="449" t="n">
        <f aca="false">DEGREES(Beta)</f>
        <v>77.9051122450321</v>
      </c>
      <c r="O152" s="438"/>
      <c r="P152" s="452" t="n">
        <f aca="false">MATCH(t-pas/2-T_ini,CdP_t)</f>
        <v>4</v>
      </c>
      <c r="Q152" s="449" t="n">
        <f aca="false">(INDEX(CdP,2,i_P+1)-INDEX(CdP,2,i_P+0))/(INDEX(CdP,1,i_P+1)-INDEX(CdP,1,i_P+0))*(t-pas/2-T_ini-INDEX(CdP,1,i_P+0))+INDEX(CdP,2,i_P+0)</f>
        <v>663</v>
      </c>
      <c r="R152" s="450" t="n">
        <f aca="false">Poussee/(g*ISP)</f>
        <v>0.33272880968922</v>
      </c>
      <c r="S152" s="451" t="n">
        <f aca="false">S151-Débit*pas</f>
        <v>9.12124899605027</v>
      </c>
      <c r="T152" s="449" t="n">
        <f aca="false">m*g</f>
        <v>89.4794526512532</v>
      </c>
      <c r="U152" s="453" t="n">
        <f aca="false">IF(pos_xz&lt;L_rampe,Poids*COS(Beta),0)</f>
        <v>0</v>
      </c>
      <c r="V152" s="450" t="n">
        <f aca="false">Rho_moyen*(20000-Alt_rampe-pos_z)/(20000+Alt_rampe+pos_z)</f>
        <v>1.21554020330654</v>
      </c>
      <c r="W152" s="449" t="n">
        <f aca="false">1/2*Rho*Sref*Cx*vit_xz^2</f>
        <v>29.0358208668411</v>
      </c>
      <c r="X152" s="438"/>
      <c r="Y152" s="454" t="str">
        <f aca="false">IF(AND(pos_z&lt;=0,K151&gt;0),"Impact balistique","") &amp; IF(AND(H153&lt;0,vit_z&gt;=0),"Apogée","") &amp; IF(AND(Poussee=0,Q151&gt;0),"Fin de propulsion","") &amp; IF(AND(L153&gt;L_rampe,pos_xz&lt;=L_rampe),"Sortie de rampe","")</f>
        <v/>
      </c>
      <c r="Z152" s="455" t="str">
        <f aca="false">IF(ABS(t-T_para)&lt;pas/2,"Para","")</f>
        <v/>
      </c>
      <c r="AA152" s="456" t="str">
        <f aca="false">IF(ABS(t-T_satellite)&lt;pas/2,"Satellite","")</f>
        <v/>
      </c>
      <c r="AB152" s="444"/>
      <c r="AC152" s="452" t="e">
        <f aca="false">IF(ABS(t-ROUND(t,0))&lt;0.001,t,NA())</f>
        <v>#N/A</v>
      </c>
      <c r="AD152" s="457" t="e">
        <f aca="false">IF(ABS(t-ROUND(t,0))&lt;0.001,pos_x,NA())</f>
        <v>#N/A</v>
      </c>
      <c r="AE152" s="458" t="n">
        <f aca="false">IF(t&lt;T_para, pos_z, NA())</f>
        <v>77.5221541578458</v>
      </c>
      <c r="AF152" s="444"/>
      <c r="AG152" s="450" t="n">
        <f aca="false">IF(AND(L151&lt;L_rampe,Poussee&lt;Poids*SIN(M151)),0,(-W151+Poussee)/m-Poids*SIN(M151)/m)</f>
        <v>59.9478520192034</v>
      </c>
      <c r="AH152" s="449" t="n">
        <f aca="false">IF(AND(L151&lt;L_rampe,Poussee&lt;Poids*SIN(M151)), g*SIN(M151), (-W151+Poussee)/m)</f>
        <v>69.5404960831959</v>
      </c>
    </row>
    <row r="153" customFormat="false" ht="12" hidden="false" customHeight="false" outlineLevel="0" collapsed="false">
      <c r="A153" s="448" t="n">
        <f aca="false">IF(B152+0.01&lt;=T_ini+ROUNDUP(Temps_fin_propu,0), 0.01, IF(K152&gt;0, 0.1, 0.0001))</f>
        <v>0.01</v>
      </c>
      <c r="B153" s="449" t="n">
        <f aca="false">B152+pas</f>
        <v>1.49</v>
      </c>
      <c r="C153" s="432"/>
      <c r="D153" s="450" t="n">
        <f aca="false">IF(AND(L152&lt;L_rampe,Poussee&lt;Poids*SIN(M152)),0,(-W152+Poussee)/m*COS(M152)-U152/m*SIN(M152))</f>
        <v>14.5318185453128</v>
      </c>
      <c r="E153" s="451" t="n">
        <f aca="false">IF(AND(L152&lt;L_rampe,Poussee&lt;Poids*SIN(M152)),0,(-W152+Poussee)/m*SIN(M152)+U152/m*COS(M152)-Poids/m)</f>
        <v>58.0043982819614</v>
      </c>
      <c r="F153" s="449" t="n">
        <f aca="false">SQRT(acc_x^2+acc_z^2)</f>
        <v>59.797023088832</v>
      </c>
      <c r="G153" s="450" t="n">
        <f aca="false">G152+acc_x*pas</f>
        <v>21.8629876280048</v>
      </c>
      <c r="H153" s="451" t="n">
        <f aca="false">H152+acc_z*pas</f>
        <v>101.928039812855</v>
      </c>
      <c r="I153" s="449" t="n">
        <f aca="false">SQRT(vit_x^2+vit_z^2)</f>
        <v>104.246417339461</v>
      </c>
      <c r="J153" s="450" t="n">
        <f aca="false">J152+0.5*(vit_x+G152)*pas*(K152&gt;=0)</f>
        <v>15.8017719877378</v>
      </c>
      <c r="K153" s="451" t="n">
        <f aca="false">K152+0.5*(vit_z+H152)*pas</f>
        <v>78.5385343360602</v>
      </c>
      <c r="L153" s="449" t="n">
        <f aca="false">SQRT(pos_x^2+pos_z^2)</f>
        <v>80.1124046175682</v>
      </c>
      <c r="M153" s="450" t="n">
        <f aca="false">IF(AND(L152&gt;L_rampe,G153&gt;0),ATAN2(G153,H153),$M$4)</f>
        <v>1.35950353555561</v>
      </c>
      <c r="N153" s="449" t="n">
        <f aca="false">DEGREES(Beta)</f>
        <v>77.8938148204501</v>
      </c>
      <c r="O153" s="438"/>
      <c r="P153" s="452" t="n">
        <f aca="false">MATCH(t-pas/2-T_ini,CdP_t)</f>
        <v>4</v>
      </c>
      <c r="Q153" s="449" t="n">
        <f aca="false">(INDEX(CdP,2,i_P+1)-INDEX(CdP,2,i_P+0))/(INDEX(CdP,1,i_P+1)-INDEX(CdP,1,i_P+0))*(t-pas/2-T_ini-INDEX(CdP,1,i_P+0))+INDEX(CdP,2,i_P+0)</f>
        <v>661.4</v>
      </c>
      <c r="R153" s="450" t="n">
        <f aca="false">Poussee/(g*ISP)</f>
        <v>0.331925844235973</v>
      </c>
      <c r="S153" s="451" t="n">
        <f aca="false">S152-Débit*pas</f>
        <v>9.11792973760791</v>
      </c>
      <c r="T153" s="449" t="n">
        <f aca="false">m*g</f>
        <v>89.4468907259336</v>
      </c>
      <c r="U153" s="453" t="n">
        <f aca="false">IF(pos_xz&lt;L_rampe,Poids*COS(Beta),0)</f>
        <v>0</v>
      </c>
      <c r="V153" s="450" t="n">
        <f aca="false">Rho_moyen*(20000-Alt_rampe-pos_z)/(20000+Alt_rampe+pos_z)</f>
        <v>1.21541666260748</v>
      </c>
      <c r="W153" s="449" t="n">
        <f aca="false">1/2*Rho*Sref*Cx*vit_xz^2</f>
        <v>29.3686308041418</v>
      </c>
      <c r="X153" s="438"/>
      <c r="Y153" s="454" t="str">
        <f aca="false">IF(AND(pos_z&lt;=0,K152&gt;0),"Impact balistique","") &amp; IF(AND(H154&lt;0,vit_z&gt;=0),"Apogée","") &amp; IF(AND(Poussee=0,Q152&gt;0),"Fin de propulsion","") &amp; IF(AND(L154&gt;L_rampe,pos_xz&lt;=L_rampe),"Sortie de rampe","")</f>
        <v/>
      </c>
      <c r="Z153" s="455" t="str">
        <f aca="false">IF(ABS(t-T_para)&lt;pas/2,"Para","")</f>
        <v/>
      </c>
      <c r="AA153" s="456" t="str">
        <f aca="false">IF(ABS(t-T_satellite)&lt;pas/2,"Satellite","")</f>
        <v/>
      </c>
      <c r="AB153" s="444"/>
      <c r="AC153" s="452" t="e">
        <f aca="false">IF(ABS(t-ROUND(t,0))&lt;0.001,t,NA())</f>
        <v>#N/A</v>
      </c>
      <c r="AD153" s="457" t="e">
        <f aca="false">IF(ABS(t-ROUND(t,0))&lt;0.001,pos_x,NA())</f>
        <v>#N/A</v>
      </c>
      <c r="AE153" s="458" t="n">
        <f aca="false">IF(t&lt;T_para, pos_z, NA())</f>
        <v>78.5385343360602</v>
      </c>
      <c r="AF153" s="444"/>
      <c r="AG153" s="450" t="n">
        <f aca="false">IF(AND(L152&lt;L_rampe,Poussee&lt;Poids*SIN(M152)),0,(-W152+Poussee)/m-Poids*SIN(M152)/m)</f>
        <v>59.7616840528752</v>
      </c>
      <c r="AH153" s="449" t="n">
        <f aca="false">IF(AND(L152&lt;L_rampe,Poussee&lt;Poids*SIN(M152)), g*SIN(M152), (-W152+Poussee)/m)</f>
        <v>69.353921046891</v>
      </c>
    </row>
    <row r="154" customFormat="false" ht="12" hidden="false" customHeight="false" outlineLevel="0" collapsed="false">
      <c r="A154" s="448" t="n">
        <f aca="false">IF(B153+0.01&lt;=T_ini+ROUNDUP(Temps_fin_propu,0), 0.01, IF(K153&gt;0, 0.1, 0.0001))</f>
        <v>0.01</v>
      </c>
      <c r="B154" s="449" t="n">
        <f aca="false">B153+pas</f>
        <v>1.5</v>
      </c>
      <c r="C154" s="432"/>
      <c r="D154" s="450" t="n">
        <f aca="false">IF(AND(L153&lt;L_rampe,Poussee&lt;Poids*SIN(M153)),0,(-W153+Poussee)/m*COS(M153)-U153/m*SIN(M153))</f>
        <v>14.5060005421778</v>
      </c>
      <c r="E154" s="451" t="n">
        <f aca="false">IF(AND(L153&lt;L_rampe,Poussee&lt;Poids*SIN(M153)),0,(-W153+Poussee)/m*SIN(M153)+U153/m*COS(M153)-Poids/m)</f>
        <v>57.8188266702605</v>
      </c>
      <c r="F154" s="449" t="n">
        <f aca="false">SQRT(acc_x^2+acc_z^2)</f>
        <v>59.6107437401622</v>
      </c>
      <c r="G154" s="450" t="n">
        <f aca="false">G153+acc_x*pas</f>
        <v>22.0080476334266</v>
      </c>
      <c r="H154" s="451" t="n">
        <f aca="false">H153+acc_z*pas</f>
        <v>102.506228079557</v>
      </c>
      <c r="I154" s="449" t="n">
        <f aca="false">SQRT(vit_x^2+vit_z^2)</f>
        <v>104.842171647355</v>
      </c>
      <c r="J154" s="450" t="n">
        <f aca="false">J153+0.5*(vit_x+G153)*pas*(K153&gt;=0)</f>
        <v>16.021127164045</v>
      </c>
      <c r="K154" s="451" t="n">
        <f aca="false">K153+0.5*(vit_z+H153)*pas</f>
        <v>79.5607056755223</v>
      </c>
      <c r="L154" s="449" t="n">
        <f aca="false">SQRT(pos_x^2+pos_z^2)</f>
        <v>81.1577624333839</v>
      </c>
      <c r="M154" s="450" t="n">
        <f aca="false">IF(AND(L153&gt;L_rampe,G154&gt;0),ATAN2(G154,H154),$M$4)</f>
        <v>1.35930729834019</v>
      </c>
      <c r="N154" s="449" t="n">
        <f aca="false">DEGREES(Beta)</f>
        <v>77.8825712562232</v>
      </c>
      <c r="O154" s="438"/>
      <c r="P154" s="452" t="n">
        <f aca="false">MATCH(t-pas/2-T_ini,CdP_t)</f>
        <v>4</v>
      </c>
      <c r="Q154" s="449" t="n">
        <f aca="false">(INDEX(CdP,2,i_P+1)-INDEX(CdP,2,i_P+0))/(INDEX(CdP,1,i_P+1)-INDEX(CdP,1,i_P+0))*(t-pas/2-T_ini-INDEX(CdP,1,i_P+0))+INDEX(CdP,2,i_P+0)</f>
        <v>659.8</v>
      </c>
      <c r="R154" s="450" t="n">
        <f aca="false">Poussee/(g*ISP)</f>
        <v>0.331122878782726</v>
      </c>
      <c r="S154" s="451" t="n">
        <f aca="false">S153-Débit*pas</f>
        <v>9.11461850882009</v>
      </c>
      <c r="T154" s="449" t="n">
        <f aca="false">m*g</f>
        <v>89.414407571525</v>
      </c>
      <c r="U154" s="453" t="n">
        <f aca="false">IF(pos_xz&lt;L_rampe,Poids*COS(Beta),0)</f>
        <v>0</v>
      </c>
      <c r="V154" s="450" t="n">
        <f aca="false">Rho_moyen*(20000-Alt_rampe-pos_z)/(20000+Alt_rampe+pos_z)</f>
        <v>1.21529243060831</v>
      </c>
      <c r="W154" s="449" t="n">
        <f aca="false">1/2*Rho*Sref*Cx*vit_xz^2</f>
        <v>29.7022292755886</v>
      </c>
      <c r="X154" s="438"/>
      <c r="Y154" s="454" t="str">
        <f aca="false">IF(AND(pos_z&lt;=0,K153&gt;0),"Impact balistique","") &amp; IF(AND(H155&lt;0,vit_z&gt;=0),"Apogée","") &amp; IF(AND(Poussee=0,Q153&gt;0),"Fin de propulsion","") &amp; IF(AND(L155&gt;L_rampe,pos_xz&lt;=L_rampe),"Sortie de rampe","")</f>
        <v/>
      </c>
      <c r="Z154" s="455" t="str">
        <f aca="false">IF(ABS(t-T_para)&lt;pas/2,"Para","")</f>
        <v/>
      </c>
      <c r="AA154" s="456" t="str">
        <f aca="false">IF(ABS(t-T_satellite)&lt;pas/2,"Satellite","")</f>
        <v/>
      </c>
      <c r="AB154" s="444"/>
      <c r="AC154" s="452" t="e">
        <f aca="false">IF(ABS(t-ROUND(t,0))&lt;0.001,t,NA())</f>
        <v>#N/A</v>
      </c>
      <c r="AD154" s="457" t="e">
        <f aca="false">IF(ABS(t-ROUND(t,0))&lt;0.001,pos_x,NA())</f>
        <v>#N/A</v>
      </c>
      <c r="AE154" s="458" t="n">
        <f aca="false">IF(t&lt;T_para, pos_z, NA())</f>
        <v>79.5607056755223</v>
      </c>
      <c r="AF154" s="444"/>
      <c r="AG154" s="450" t="n">
        <f aca="false">IF(AND(L153&lt;L_rampe,Poussee&lt;Poids*SIN(M153)),0,(-W153+Poussee)/m-Poids*SIN(M153)/m)</f>
        <v>59.5752289207294</v>
      </c>
      <c r="AH154" s="449" t="n">
        <f aca="false">IF(AND(L153&lt;L_rampe,Poussee&lt;Poids*SIN(M153)), g*SIN(M153), (-W153+Poussee)/m)</f>
        <v>69.1670604299893</v>
      </c>
    </row>
    <row r="155" customFormat="false" ht="12" hidden="false" customHeight="false" outlineLevel="0" collapsed="false">
      <c r="A155" s="448" t="n">
        <f aca="false">IF(B154+0.01&lt;=T_ini+ROUNDUP(Temps_fin_propu,0), 0.01, IF(K154&gt;0, 0.1, 0.0001))</f>
        <v>0.01</v>
      </c>
      <c r="B155" s="449" t="n">
        <f aca="false">B154+pas</f>
        <v>1.51</v>
      </c>
      <c r="C155" s="432"/>
      <c r="D155" s="450" t="n">
        <f aca="false">IF(AND(L154&lt;L_rampe,Poussee&lt;Poids*SIN(M154)),0,(-W154+Poussee)/m*COS(M154)-U154/m*SIN(M154))</f>
        <v>14.481600378113</v>
      </c>
      <c r="E155" s="451" t="n">
        <f aca="false">IF(AND(L154&lt;L_rampe,Poussee&lt;Poids*SIN(M154)),0,(-W154+Poussee)/m*SIN(M154)+U154/m*COS(M154)-Poids/m)</f>
        <v>57.6405188302669</v>
      </c>
      <c r="F155" s="449" t="n">
        <f aca="false">SQRT(acc_x^2+acc_z^2)</f>
        <v>59.431861493089</v>
      </c>
      <c r="G155" s="450" t="n">
        <f aca="false">G154+acc_x*pas</f>
        <v>22.1528636372077</v>
      </c>
      <c r="H155" s="451" t="n">
        <f aca="false">H154+acc_z*pas</f>
        <v>103.08263326786</v>
      </c>
      <c r="I155" s="449" t="n">
        <f aca="false">SQRT(vit_x^2+vit_z^2)</f>
        <v>105.436135403214</v>
      </c>
      <c r="J155" s="450" t="n">
        <f aca="false">J154+0.5*(vit_x+G154)*pas*(K154&gt;=0)</f>
        <v>16.2419317203982</v>
      </c>
      <c r="K155" s="451" t="n">
        <f aca="false">K154+0.5*(vit_z+H154)*pas</f>
        <v>80.5886499822593</v>
      </c>
      <c r="L155" s="449" t="n">
        <f aca="false">SQRT(pos_x^2+pos_z^2)</f>
        <v>82.2090679424915</v>
      </c>
      <c r="M155" s="450" t="n">
        <f aca="false">IF(AND(L154&gt;L_rampe,G155&gt;0),ATAN2(G155,H155),$M$4)</f>
        <v>1.35911198808826</v>
      </c>
      <c r="N155" s="449" t="n">
        <f aca="false">DEGREES(Beta)</f>
        <v>77.871380803092</v>
      </c>
      <c r="O155" s="438"/>
      <c r="P155" s="452" t="n">
        <f aca="false">MATCH(t-pas/2-T_ini,CdP_t)</f>
        <v>5</v>
      </c>
      <c r="Q155" s="449" t="n">
        <f aca="false">(INDEX(CdP,2,i_P+1)-INDEX(CdP,2,i_P+0))/(INDEX(CdP,1,i_P+1)-INDEX(CdP,1,i_P+0))*(t-pas/2-T_ini-INDEX(CdP,1,i_P+0))+INDEX(CdP,2,i_P+0)</f>
        <v>658.27</v>
      </c>
      <c r="R155" s="450" t="n">
        <f aca="false">Poussee/(g*ISP)</f>
        <v>0.330355043068059</v>
      </c>
      <c r="S155" s="451" t="n">
        <f aca="false">S154-Débit*pas</f>
        <v>9.1113149583894</v>
      </c>
      <c r="T155" s="449" t="n">
        <f aca="false">m*g</f>
        <v>89.3819997418001</v>
      </c>
      <c r="U155" s="453" t="n">
        <f aca="false">IF(pos_xz&lt;L_rampe,Poids*COS(Beta),0)</f>
        <v>0</v>
      </c>
      <c r="V155" s="450" t="n">
        <f aca="false">Rho_moyen*(20000-Alt_rampe-pos_z)/(20000+Alt_rampe+pos_z)</f>
        <v>1.215167509733</v>
      </c>
      <c r="W155" s="449" t="n">
        <f aca="false">1/2*Rho*Sref*Cx*vit_xz^2</f>
        <v>30.0366396569474</v>
      </c>
      <c r="X155" s="438"/>
      <c r="Y155" s="454" t="str">
        <f aca="false">IF(AND(pos_z&lt;=0,K154&gt;0),"Impact balistique","") &amp; IF(AND(H156&lt;0,vit_z&gt;=0),"Apogée","") &amp; IF(AND(Poussee=0,Q154&gt;0),"Fin de propulsion","") &amp; IF(AND(L156&gt;L_rampe,pos_xz&lt;=L_rampe),"Sortie de rampe","")</f>
        <v/>
      </c>
      <c r="Z155" s="455" t="str">
        <f aca="false">IF(ABS(t-T_para)&lt;pas/2,"Para","")</f>
        <v/>
      </c>
      <c r="AA155" s="456" t="str">
        <f aca="false">IF(ABS(t-T_satellite)&lt;pas/2,"Satellite","")</f>
        <v/>
      </c>
      <c r="AB155" s="444"/>
      <c r="AC155" s="452" t="e">
        <f aca="false">IF(ABS(t-ROUND(t,0))&lt;0.001,t,NA())</f>
        <v>#N/A</v>
      </c>
      <c r="AD155" s="457" t="e">
        <f aca="false">IF(ABS(t-ROUND(t,0))&lt;0.001,pos_x,NA())</f>
        <v>#N/A</v>
      </c>
      <c r="AE155" s="458" t="n">
        <f aca="false">IF(t&lt;T_para, pos_z, NA())</f>
        <v>80.5886499822593</v>
      </c>
      <c r="AF155" s="444"/>
      <c r="AG155" s="450" t="n">
        <f aca="false">IF(AND(L154&lt;L_rampe,Poussee&lt;Poids*SIN(M154)),0,(-W154+Poussee)/m-Poids*SIN(M154)/m)</f>
        <v>59.3961744870651</v>
      </c>
      <c r="AH155" s="449" t="n">
        <f aca="false">IF(AND(L154&lt;L_rampe,Poussee&lt;Poids*SIN(M154)), g*SIN(M154), (-W154+Poussee)/m)</f>
        <v>68.9876020744565</v>
      </c>
    </row>
    <row r="156" customFormat="false" ht="12" hidden="false" customHeight="false" outlineLevel="0" collapsed="false">
      <c r="A156" s="448" t="n">
        <f aca="false">IF(B155+0.01&lt;=T_ini+ROUNDUP(Temps_fin_propu,0), 0.01, IF(K155&gt;0, 0.1, 0.0001))</f>
        <v>0.01</v>
      </c>
      <c r="B156" s="449" t="n">
        <f aca="false">B155+pas</f>
        <v>1.52</v>
      </c>
      <c r="C156" s="432"/>
      <c r="D156" s="450" t="n">
        <f aca="false">IF(AND(L155&lt;L_rampe,Poussee&lt;Poids*SIN(M155)),0,(-W155+Poussee)/m*COS(M155)-U155/m*SIN(M155))</f>
        <v>14.458625506532</v>
      </c>
      <c r="E156" s="451" t="n">
        <f aca="false">IF(AND(L155&lt;L_rampe,Poussee&lt;Poids*SIN(M155)),0,(-W155+Poussee)/m*SIN(M155)+U155/m*COS(M155)-Poids/m)</f>
        <v>57.4694820144085</v>
      </c>
      <c r="F156" s="449" t="n">
        <f aca="false">SQRT(acc_x^2+acc_z^2)</f>
        <v>59.2603848666423</v>
      </c>
      <c r="G156" s="450" t="n">
        <f aca="false">G155+acc_x*pas</f>
        <v>22.297449892273</v>
      </c>
      <c r="H156" s="451" t="n">
        <f aca="false">H155+acc_z*pas</f>
        <v>103.657328088004</v>
      </c>
      <c r="I156" s="449" t="n">
        <f aca="false">SQRT(vit_x^2+vit_z^2)</f>
        <v>106.028382700306</v>
      </c>
      <c r="J156" s="450" t="n">
        <f aca="false">J155+0.5*(vit_x+G155)*pas*(K155&gt;=0)</f>
        <v>16.4641832880456</v>
      </c>
      <c r="K156" s="451" t="n">
        <f aca="false">K155+0.5*(vit_z+H155)*pas</f>
        <v>81.6223497890387</v>
      </c>
      <c r="L156" s="449" t="n">
        <f aca="false">SQRT(pos_x^2+pos_z^2)</f>
        <v>83.2663036073209</v>
      </c>
      <c r="M156" s="450" t="n">
        <f aca="false">IF(AND(L155&gt;L_rampe,G156&gt;0),ATAN2(G156,H156),$M$4)</f>
        <v>1.35891759211342</v>
      </c>
      <c r="N156" s="449" t="n">
        <f aca="false">DEGREES(Beta)</f>
        <v>77.8602427341793</v>
      </c>
      <c r="O156" s="438"/>
      <c r="P156" s="452" t="n">
        <f aca="false">MATCH(t-pas/2-T_ini,CdP_t)</f>
        <v>5</v>
      </c>
      <c r="Q156" s="449" t="n">
        <f aca="false">(INDEX(CdP,2,i_P+1)-INDEX(CdP,2,i_P+0))/(INDEX(CdP,1,i_P+1)-INDEX(CdP,1,i_P+0))*(t-pas/2-T_ini-INDEX(CdP,1,i_P+0))+INDEX(CdP,2,i_P+0)</f>
        <v>656.81</v>
      </c>
      <c r="R156" s="450" t="n">
        <f aca="false">Poussee/(g*ISP)</f>
        <v>0.329622337091971</v>
      </c>
      <c r="S156" s="451" t="n">
        <f aca="false">S155-Débit*pas</f>
        <v>9.10801873501849</v>
      </c>
      <c r="T156" s="449" t="n">
        <f aca="false">m*g</f>
        <v>89.3496637905313</v>
      </c>
      <c r="U156" s="453" t="n">
        <f aca="false">IF(pos_xz&lt;L_rampe,Poids*COS(Beta),0)</f>
        <v>0</v>
      </c>
      <c r="V156" s="450" t="n">
        <f aca="false">Rho_moyen*(20000-Alt_rampe-pos_z)/(20000+Alt_rampe+pos_z)</f>
        <v>1.21504190231746</v>
      </c>
      <c r="W156" s="449" t="n">
        <f aca="false">1/2*Rho*Sref*Cx*vit_xz^2</f>
        <v>30.3718863643723</v>
      </c>
      <c r="X156" s="438"/>
      <c r="Y156" s="454" t="str">
        <f aca="false">IF(AND(pos_z&lt;=0,K155&gt;0),"Impact balistique","") &amp; IF(AND(H157&lt;0,vit_z&gt;=0),"Apogée","") &amp; IF(AND(Poussee=0,Q155&gt;0),"Fin de propulsion","") &amp; IF(AND(L157&gt;L_rampe,pos_xz&lt;=L_rampe),"Sortie de rampe","")</f>
        <v/>
      </c>
      <c r="Z156" s="455" t="str">
        <f aca="false">IF(ABS(t-T_para)&lt;pas/2,"Para","")</f>
        <v/>
      </c>
      <c r="AA156" s="456" t="str">
        <f aca="false">IF(ABS(t-T_satellite)&lt;pas/2,"Satellite","")</f>
        <v/>
      </c>
      <c r="AB156" s="444"/>
      <c r="AC156" s="452" t="e">
        <f aca="false">IF(ABS(t-ROUND(t,0))&lt;0.001,t,NA())</f>
        <v>#N/A</v>
      </c>
      <c r="AD156" s="457" t="e">
        <f aca="false">IF(ABS(t-ROUND(t,0))&lt;0.001,pos_x,NA())</f>
        <v>#N/A</v>
      </c>
      <c r="AE156" s="458" t="n">
        <f aca="false">IF(t&lt;T_para, pos_z, NA())</f>
        <v>81.6223497890387</v>
      </c>
      <c r="AF156" s="444"/>
      <c r="AG156" s="450" t="n">
        <f aca="false">IF(AND(L155&lt;L_rampe,Poussee&lt;Poids*SIN(M155)),0,(-W155+Poussee)/m-Poids*SIN(M155)/m)</f>
        <v>59.2245293696763</v>
      </c>
      <c r="AH156" s="449" t="n">
        <f aca="false">IF(AND(L155&lt;L_rampe,Poussee&lt;Poids*SIN(M155)), g*SIN(M155), (-W155+Poussee)/m)</f>
        <v>68.8155545764565</v>
      </c>
    </row>
    <row r="157" customFormat="false" ht="12" hidden="false" customHeight="false" outlineLevel="0" collapsed="false">
      <c r="A157" s="448" t="n">
        <f aca="false">IF(B156+0.01&lt;=T_ini+ROUNDUP(Temps_fin_propu,0), 0.01, IF(K156&gt;0, 0.1, 0.0001))</f>
        <v>0.01</v>
      </c>
      <c r="B157" s="449" t="n">
        <f aca="false">B156+pas</f>
        <v>1.53</v>
      </c>
      <c r="C157" s="432"/>
      <c r="D157" s="450" t="n">
        <f aca="false">IF(AND(L156&lt;L_rampe,Poussee&lt;Poids*SIN(M156)),0,(-W156+Poussee)/m*COS(M156)-U156/m*SIN(M156))</f>
        <v>14.4354658908414</v>
      </c>
      <c r="E157" s="451" t="n">
        <f aca="false">IF(AND(L156&lt;L_rampe,Poussee&lt;Poids*SIN(M156)),0,(-W156+Poussee)/m*SIN(M156)+U156/m*COS(M156)-Poids/m)</f>
        <v>57.2982043542869</v>
      </c>
      <c r="F157" s="449" t="n">
        <f aca="false">SQRT(acc_x^2+acc_z^2)</f>
        <v>59.0886359439044</v>
      </c>
      <c r="G157" s="450" t="n">
        <f aca="false">G156+acc_x*pas</f>
        <v>22.4418045511814</v>
      </c>
      <c r="H157" s="451" t="n">
        <f aca="false">H156+acc_z*pas</f>
        <v>104.230310131547</v>
      </c>
      <c r="I157" s="449" t="n">
        <f aca="false">SQRT(vit_x^2+vit_z^2)</f>
        <v>106.618910806816</v>
      </c>
      <c r="J157" s="450" t="n">
        <f aca="false">J156+0.5*(vit_x+G156)*pas*(K156&gt;=0)</f>
        <v>16.6878795602628</v>
      </c>
      <c r="K157" s="451" t="n">
        <f aca="false">K156+0.5*(vit_z+H156)*pas</f>
        <v>82.6617879801364</v>
      </c>
      <c r="L157" s="449" t="n">
        <f aca="false">SQRT(pos_x^2+pos_z^2)</f>
        <v>84.32945224707</v>
      </c>
      <c r="M157" s="450" t="n">
        <f aca="false">IF(AND(L156&gt;L_rampe,G157&gt;0),ATAN2(G157,H157),$M$4)</f>
        <v>1.35872409796838</v>
      </c>
      <c r="N157" s="449" t="n">
        <f aca="false">DEGREES(Beta)</f>
        <v>77.8491563363079</v>
      </c>
      <c r="O157" s="438"/>
      <c r="P157" s="452" t="n">
        <f aca="false">MATCH(t-pas/2-T_ini,CdP_t)</f>
        <v>5</v>
      </c>
      <c r="Q157" s="449" t="n">
        <f aca="false">(INDEX(CdP,2,i_P+1)-INDEX(CdP,2,i_P+0))/(INDEX(CdP,1,i_P+1)-INDEX(CdP,1,i_P+0))*(t-pas/2-T_ini-INDEX(CdP,1,i_P+0))+INDEX(CdP,2,i_P+0)</f>
        <v>655.35</v>
      </c>
      <c r="R157" s="450" t="n">
        <f aca="false">Poussee/(g*ISP)</f>
        <v>0.328889631115883</v>
      </c>
      <c r="S157" s="451" t="n">
        <f aca="false">S156-Débit*pas</f>
        <v>9.10472983870733</v>
      </c>
      <c r="T157" s="449" t="n">
        <f aca="false">m*g</f>
        <v>89.3173997177189</v>
      </c>
      <c r="U157" s="453" t="n">
        <f aca="false">IF(pos_xz&lt;L_rampe,Poids*COS(Beta),0)</f>
        <v>0</v>
      </c>
      <c r="V157" s="450" t="n">
        <f aca="false">Rho_moyen*(20000-Alt_rampe-pos_z)/(20000+Alt_rampe+pos_z)</f>
        <v>1.21491561065513</v>
      </c>
      <c r="W157" s="449" t="n">
        <f aca="false">1/2*Rho*Sref*Cx*vit_xz^2</f>
        <v>30.707950545775</v>
      </c>
      <c r="X157" s="438"/>
      <c r="Y157" s="454" t="str">
        <f aca="false">IF(AND(pos_z&lt;=0,K156&gt;0),"Impact balistique","") &amp; IF(AND(H158&lt;0,vit_z&gt;=0),"Apogée","") &amp; IF(AND(Poussee=0,Q156&gt;0),"Fin de propulsion","") &amp; IF(AND(L158&gt;L_rampe,pos_xz&lt;=L_rampe),"Sortie de rampe","")</f>
        <v/>
      </c>
      <c r="Z157" s="455" t="str">
        <f aca="false">IF(ABS(t-T_para)&lt;pas/2,"Para","")</f>
        <v/>
      </c>
      <c r="AA157" s="456" t="str">
        <f aca="false">IF(ABS(t-T_satellite)&lt;pas/2,"Satellite","")</f>
        <v/>
      </c>
      <c r="AB157" s="444"/>
      <c r="AC157" s="452" t="e">
        <f aca="false">IF(ABS(t-ROUND(t,0))&lt;0.001,t,NA())</f>
        <v>#N/A</v>
      </c>
      <c r="AD157" s="457" t="e">
        <f aca="false">IF(ABS(t-ROUND(t,0))&lt;0.001,pos_x,NA())</f>
        <v>#N/A</v>
      </c>
      <c r="AE157" s="458" t="n">
        <f aca="false">IF(t&lt;T_para, pos_z, NA())</f>
        <v>82.6617879801364</v>
      </c>
      <c r="AF157" s="444"/>
      <c r="AG157" s="450" t="n">
        <f aca="false">IF(AND(L156&lt;L_rampe,Poussee&lt;Poids*SIN(M156)),0,(-W156+Poussee)/m-Poids*SIN(M156)/m)</f>
        <v>59.0526110605326</v>
      </c>
      <c r="AH157" s="449" t="n">
        <f aca="false">IF(AND(L156&lt;L_rampe,Poussee&lt;Poids*SIN(M156)), g*SIN(M156), (-W156+Poussee)/m)</f>
        <v>68.6432354070114</v>
      </c>
    </row>
    <row r="158" customFormat="false" ht="12" hidden="false" customHeight="false" outlineLevel="0" collapsed="false">
      <c r="A158" s="448" t="n">
        <f aca="false">IF(B157+0.01&lt;=T_ini+ROUNDUP(Temps_fin_propu,0), 0.01, IF(K157&gt;0, 0.1, 0.0001))</f>
        <v>0.01</v>
      </c>
      <c r="B158" s="449" t="n">
        <f aca="false">B157+pas</f>
        <v>1.54</v>
      </c>
      <c r="C158" s="432"/>
      <c r="D158" s="450" t="n">
        <f aca="false">IF(AND(L157&lt;L_rampe,Poussee&lt;Poids*SIN(M157)),0,(-W157+Poussee)/m*COS(M157)-U157/m*SIN(M157))</f>
        <v>14.4121231443182</v>
      </c>
      <c r="E158" s="451" t="n">
        <f aca="false">IF(AND(L157&lt;L_rampe,Poussee&lt;Poids*SIN(M157)),0,(-W157+Poussee)/m*SIN(M157)+U157/m*COS(M157)-Poids/m)</f>
        <v>57.1266878033545</v>
      </c>
      <c r="F158" s="449" t="n">
        <f aca="false">SQRT(acc_x^2+acc_z^2)</f>
        <v>58.9166169506441</v>
      </c>
      <c r="G158" s="450" t="n">
        <f aca="false">G157+acc_x*pas</f>
        <v>22.5859257826246</v>
      </c>
      <c r="H158" s="451" t="n">
        <f aca="false">H157+acc_z*pas</f>
        <v>104.80157700958</v>
      </c>
      <c r="I158" s="449" t="n">
        <f aca="false">SQRT(vit_x^2+vit_z^2)</f>
        <v>107.207717013064</v>
      </c>
      <c r="J158" s="450" t="n">
        <f aca="false">J157+0.5*(vit_x+G157)*pas*(K157&gt;=0)</f>
        <v>16.9130182119319</v>
      </c>
      <c r="K158" s="451" t="n">
        <f aca="false">K157+0.5*(vit_z+H157)*pas</f>
        <v>83.7069474158421</v>
      </c>
      <c r="L158" s="449" t="n">
        <f aca="false">SQRT(pos_x^2+pos_z^2)</f>
        <v>85.3984966537215</v>
      </c>
      <c r="M158" s="450" t="n">
        <f aca="false">IF(AND(L157&gt;L_rampe,G158&gt;0),ATAN2(G158,H158),$M$4)</f>
        <v>1.35853149343881</v>
      </c>
      <c r="N158" s="449" t="n">
        <f aca="false">DEGREES(Beta)</f>
        <v>77.8381209096487</v>
      </c>
      <c r="O158" s="438"/>
      <c r="P158" s="452" t="n">
        <f aca="false">MATCH(t-pas/2-T_ini,CdP_t)</f>
        <v>5</v>
      </c>
      <c r="Q158" s="449" t="n">
        <f aca="false">(INDEX(CdP,2,i_P+1)-INDEX(CdP,2,i_P+0))/(INDEX(CdP,1,i_P+1)-INDEX(CdP,1,i_P+0))*(t-pas/2-T_ini-INDEX(CdP,1,i_P+0))+INDEX(CdP,2,i_P+0)</f>
        <v>653.89</v>
      </c>
      <c r="R158" s="450" t="n">
        <f aca="false">Poussee/(g*ISP)</f>
        <v>0.328156925139795</v>
      </c>
      <c r="S158" s="451" t="n">
        <f aca="false">S157-Débit*pas</f>
        <v>9.10144826945593</v>
      </c>
      <c r="T158" s="449" t="n">
        <f aca="false">m*g</f>
        <v>89.2852075233627</v>
      </c>
      <c r="U158" s="453" t="n">
        <f aca="false">IF(pos_xz&lt;L_rampe,Poids*COS(Beta),0)</f>
        <v>0</v>
      </c>
      <c r="V158" s="450" t="n">
        <f aca="false">Rho_moyen*(20000-Alt_rampe-pos_z)/(20000+Alt_rampe+pos_z)</f>
        <v>1.21478863704267</v>
      </c>
      <c r="W158" s="449" t="n">
        <f aca="false">1/2*Rho*Sref*Cx*vit_xz^2</f>
        <v>31.0448133819432</v>
      </c>
      <c r="X158" s="438"/>
      <c r="Y158" s="454" t="str">
        <f aca="false">IF(AND(pos_z&lt;=0,K157&gt;0),"Impact balistique","") &amp; IF(AND(H159&lt;0,vit_z&gt;=0),"Apogée","") &amp; IF(AND(Poussee=0,Q157&gt;0),"Fin de propulsion","") &amp; IF(AND(L159&gt;L_rampe,pos_xz&lt;=L_rampe),"Sortie de rampe","")</f>
        <v/>
      </c>
      <c r="Z158" s="455" t="str">
        <f aca="false">IF(ABS(t-T_para)&lt;pas/2,"Para","")</f>
        <v/>
      </c>
      <c r="AA158" s="456" t="str">
        <f aca="false">IF(ABS(t-T_satellite)&lt;pas/2,"Satellite","")</f>
        <v/>
      </c>
      <c r="AB158" s="444"/>
      <c r="AC158" s="452" t="e">
        <f aca="false">IF(ABS(t-ROUND(t,0))&lt;0.001,t,NA())</f>
        <v>#N/A</v>
      </c>
      <c r="AD158" s="457" t="e">
        <f aca="false">IF(ABS(t-ROUND(t,0))&lt;0.001,pos_x,NA())</f>
        <v>#N/A</v>
      </c>
      <c r="AE158" s="458" t="n">
        <f aca="false">IF(t&lt;T_para, pos_z, NA())</f>
        <v>83.7069474158421</v>
      </c>
      <c r="AF158" s="444"/>
      <c r="AG158" s="450" t="n">
        <f aca="false">IF(AND(L157&lt;L_rampe,Poussee&lt;Poids*SIN(M157)),0,(-W157+Poussee)/m-Poids*SIN(M157)/m)</f>
        <v>58.8804217731954</v>
      </c>
      <c r="AH158" s="449" t="n">
        <f aca="false">IF(AND(L157&lt;L_rampe,Poussee&lt;Poids*SIN(M157)), g*SIN(M157), (-W157+Poussee)/m)</f>
        <v>68.4706467591094</v>
      </c>
    </row>
    <row r="159" customFormat="false" ht="12" hidden="false" customHeight="false" outlineLevel="0" collapsed="false">
      <c r="A159" s="448" t="n">
        <f aca="false">IF(B158+0.01&lt;=T_ini+ROUNDUP(Temps_fin_propu,0), 0.01, IF(K158&gt;0, 0.1, 0.0001))</f>
        <v>0.01</v>
      </c>
      <c r="B159" s="449" t="n">
        <f aca="false">B158+pas</f>
        <v>1.55</v>
      </c>
      <c r="C159" s="432"/>
      <c r="D159" s="450" t="n">
        <f aca="false">IF(AND(L158&lt;L_rampe,Poussee&lt;Poids*SIN(M158)),0,(-W158+Poussee)/m*COS(M158)-U158/m*SIN(M158))</f>
        <v>14.3885988593407</v>
      </c>
      <c r="E159" s="451" t="n">
        <f aca="false">IF(AND(L158&lt;L_rampe,Poussee&lt;Poids*SIN(M158)),0,(-W158+Poussee)/m*SIN(M158)+U158/m*COS(M158)-Poids/m)</f>
        <v>56.954934319284</v>
      </c>
      <c r="F159" s="449" t="n">
        <f aca="false">SQRT(acc_x^2+acc_z^2)</f>
        <v>58.7443301132031</v>
      </c>
      <c r="G159" s="450" t="n">
        <f aca="false">G158+acc_x*pas</f>
        <v>22.729811771218</v>
      </c>
      <c r="H159" s="451" t="n">
        <f aca="false">H158+acc_z*pas</f>
        <v>105.371126352773</v>
      </c>
      <c r="I159" s="449" t="n">
        <f aca="false">SQRT(vit_x^2+vit_z^2)</f>
        <v>107.794798631507</v>
      </c>
      <c r="J159" s="450" t="n">
        <f aca="false">J158+0.5*(vit_x+G158)*pas*(K158&gt;=0)</f>
        <v>17.1395968997011</v>
      </c>
      <c r="K159" s="451" t="n">
        <f aca="false">K158+0.5*(vit_z+H158)*pas</f>
        <v>84.7578109326538</v>
      </c>
      <c r="L159" s="449" t="n">
        <f aca="false">SQRT(pos_x^2+pos_z^2)</f>
        <v>86.4734195922639</v>
      </c>
      <c r="M159" s="450" t="n">
        <f aca="false">IF(AND(L158&gt;L_rampe,G159&gt;0),ATAN2(G159,H159),$M$4)</f>
        <v>1.35833976653745</v>
      </c>
      <c r="N159" s="449" t="n">
        <f aca="false">DEGREES(Beta)</f>
        <v>77.8271357673815</v>
      </c>
      <c r="O159" s="438"/>
      <c r="P159" s="452" t="n">
        <f aca="false">MATCH(t-pas/2-T_ini,CdP_t)</f>
        <v>5</v>
      </c>
      <c r="Q159" s="449" t="n">
        <f aca="false">(INDEX(CdP,2,i_P+1)-INDEX(CdP,2,i_P+0))/(INDEX(CdP,1,i_P+1)-INDEX(CdP,1,i_P+0))*(t-pas/2-T_ini-INDEX(CdP,1,i_P+0))+INDEX(CdP,2,i_P+0)</f>
        <v>652.43</v>
      </c>
      <c r="R159" s="450" t="n">
        <f aca="false">Poussee/(g*ISP)</f>
        <v>0.327424219163707</v>
      </c>
      <c r="S159" s="451" t="n">
        <f aca="false">S158-Débit*pas</f>
        <v>9.09817402726429</v>
      </c>
      <c r="T159" s="449" t="n">
        <f aca="false">m*g</f>
        <v>89.2530872074627</v>
      </c>
      <c r="U159" s="453" t="n">
        <f aca="false">IF(pos_xz&lt;L_rampe,Poids*COS(Beta),0)</f>
        <v>0</v>
      </c>
      <c r="V159" s="450" t="n">
        <f aca="false">Rho_moyen*(20000-Alt_rampe-pos_z)/(20000+Alt_rampe+pos_z)</f>
        <v>1.21466098377985</v>
      </c>
      <c r="W159" s="449" t="n">
        <f aca="false">1/2*Rho*Sref*Cx*vit_xz^2</f>
        <v>31.3824560872566</v>
      </c>
      <c r="X159" s="438"/>
      <c r="Y159" s="454" t="str">
        <f aca="false">IF(AND(pos_z&lt;=0,K158&gt;0),"Impact balistique","") &amp; IF(AND(H160&lt;0,vit_z&gt;=0),"Apogée","") &amp; IF(AND(Poussee=0,Q158&gt;0),"Fin de propulsion","") &amp; IF(AND(L160&gt;L_rampe,pos_xz&lt;=L_rampe),"Sortie de rampe","")</f>
        <v/>
      </c>
      <c r="Z159" s="455" t="str">
        <f aca="false">IF(ABS(t-T_para)&lt;pas/2,"Para","")</f>
        <v/>
      </c>
      <c r="AA159" s="456" t="str">
        <f aca="false">IF(ABS(t-T_satellite)&lt;pas/2,"Satellite","")</f>
        <v/>
      </c>
      <c r="AB159" s="444"/>
      <c r="AC159" s="452" t="e">
        <f aca="false">IF(ABS(t-ROUND(t,0))&lt;0.001,t,NA())</f>
        <v>#N/A</v>
      </c>
      <c r="AD159" s="457" t="e">
        <f aca="false">IF(ABS(t-ROUND(t,0))&lt;0.001,pos_x,NA())</f>
        <v>#N/A</v>
      </c>
      <c r="AE159" s="458" t="n">
        <f aca="false">IF(t&lt;T_para, pos_z, NA())</f>
        <v>84.7578109326538</v>
      </c>
      <c r="AF159" s="444"/>
      <c r="AG159" s="450" t="n">
        <f aca="false">IF(AND(L158&lt;L_rampe,Poussee&lt;Poids*SIN(M158)),0,(-W158+Poussee)/m-Poids*SIN(M158)/m)</f>
        <v>58.707963721717</v>
      </c>
      <c r="AH159" s="449" t="n">
        <f aca="false">IF(AND(L158&lt;L_rampe,Poussee&lt;Poids*SIN(M158)), g*SIN(M158), (-W158+Poussee)/m)</f>
        <v>68.2977908265951</v>
      </c>
    </row>
    <row r="160" customFormat="false" ht="12" hidden="false" customHeight="false" outlineLevel="0" collapsed="false">
      <c r="A160" s="448" t="n">
        <f aca="false">IF(B159+0.01&lt;=T_ini+ROUNDUP(Temps_fin_propu,0), 0.01, IF(K159&gt;0, 0.1, 0.0001))</f>
        <v>0.01</v>
      </c>
      <c r="B160" s="449" t="n">
        <f aca="false">B159+pas</f>
        <v>1.56</v>
      </c>
      <c r="C160" s="432"/>
      <c r="D160" s="450" t="n">
        <f aca="false">IF(AND(L159&lt;L_rampe,Poussee&lt;Poids*SIN(M159)),0,(-W159+Poussee)/m*COS(M159)-U159/m*SIN(M159))</f>
        <v>14.3648946079147</v>
      </c>
      <c r="E160" s="451" t="n">
        <f aca="false">IF(AND(L159&lt;L_rampe,Poussee&lt;Poids*SIN(M159)),0,(-W159+Poussee)/m*SIN(M159)+U159/m*COS(M159)-Poids/m)</f>
        <v>56.7829458637894</v>
      </c>
      <c r="F160" s="449" t="n">
        <f aca="false">SQRT(acc_x^2+acc_z^2)</f>
        <v>58.5717776584127</v>
      </c>
      <c r="G160" s="450" t="n">
        <f aca="false">G159+acc_x*pas</f>
        <v>22.8734607172972</v>
      </c>
      <c r="H160" s="451" t="n">
        <f aca="false">H159+acc_z*pas</f>
        <v>105.938955811411</v>
      </c>
      <c r="I160" s="449" t="n">
        <f aca="false">SQRT(vit_x^2+vit_z^2)</f>
        <v>108.380152996745</v>
      </c>
      <c r="J160" s="450" t="n">
        <f aca="false">J159+0.5*(vit_x+G159)*pas*(K159&gt;=0)</f>
        <v>17.3676132621437</v>
      </c>
      <c r="K160" s="451" t="n">
        <f aca="false">K159+0.5*(vit_z+H159)*pas</f>
        <v>85.8143613434748</v>
      </c>
      <c r="L160" s="449" t="n">
        <f aca="false">SQRT(pos_x^2+pos_z^2)</f>
        <v>87.5542038009132</v>
      </c>
      <c r="M160" s="450" t="n">
        <f aca="false">IF(AND(L159&gt;L_rampe,G160&gt;0),ATAN2(G160,H160),$M$4)</f>
        <v>1.35814890549832</v>
      </c>
      <c r="N160" s="449" t="n">
        <f aca="false">DEGREES(Beta)</f>
        <v>77.8162002353658</v>
      </c>
      <c r="O160" s="438"/>
      <c r="P160" s="452" t="n">
        <f aca="false">MATCH(t-pas/2-T_ini,CdP_t)</f>
        <v>5</v>
      </c>
      <c r="Q160" s="449" t="n">
        <f aca="false">(INDEX(CdP,2,i_P+1)-INDEX(CdP,2,i_P+0))/(INDEX(CdP,1,i_P+1)-INDEX(CdP,1,i_P+0))*(t-pas/2-T_ini-INDEX(CdP,1,i_P+0))+INDEX(CdP,2,i_P+0)</f>
        <v>650.97</v>
      </c>
      <c r="R160" s="450" t="n">
        <f aca="false">Poussee/(g*ISP)</f>
        <v>0.326691513187619</v>
      </c>
      <c r="S160" s="451" t="n">
        <f aca="false">S159-Débit*pas</f>
        <v>9.09490711213242</v>
      </c>
      <c r="T160" s="449" t="n">
        <f aca="false">m*g</f>
        <v>89.221038770019</v>
      </c>
      <c r="U160" s="453" t="n">
        <f aca="false">IF(pos_xz&lt;L_rampe,Poids*COS(Beta),0)</f>
        <v>0</v>
      </c>
      <c r="V160" s="450" t="n">
        <f aca="false">Rho_moyen*(20000-Alt_rampe-pos_z)/(20000+Alt_rampe+pos_z)</f>
        <v>1.21453265316959</v>
      </c>
      <c r="W160" s="449" t="n">
        <f aca="false">1/2*Rho*Sref*Cx*vit_xz^2</f>
        <v>31.7208599103988</v>
      </c>
      <c r="X160" s="438"/>
      <c r="Y160" s="454" t="str">
        <f aca="false">IF(AND(pos_z&lt;=0,K159&gt;0),"Impact balistique","") &amp; IF(AND(H161&lt;0,vit_z&gt;=0),"Apogée","") &amp; IF(AND(Poussee=0,Q159&gt;0),"Fin de propulsion","") &amp; IF(AND(L161&gt;L_rampe,pos_xz&lt;=L_rampe),"Sortie de rampe","")</f>
        <v/>
      </c>
      <c r="Z160" s="455" t="str">
        <f aca="false">IF(ABS(t-T_para)&lt;pas/2,"Para","")</f>
        <v/>
      </c>
      <c r="AA160" s="456" t="str">
        <f aca="false">IF(ABS(t-T_satellite)&lt;pas/2,"Satellite","")</f>
        <v/>
      </c>
      <c r="AB160" s="444"/>
      <c r="AC160" s="452" t="e">
        <f aca="false">IF(ABS(t-ROUND(t,0))&lt;0.001,t,NA())</f>
        <v>#N/A</v>
      </c>
      <c r="AD160" s="457" t="e">
        <f aca="false">IF(ABS(t-ROUND(t,0))&lt;0.001,pos_x,NA())</f>
        <v>#N/A</v>
      </c>
      <c r="AE160" s="458" t="n">
        <f aca="false">IF(t&lt;T_para, pos_z, NA())</f>
        <v>85.8143613434748</v>
      </c>
      <c r="AF160" s="444"/>
      <c r="AG160" s="450" t="n">
        <f aca="false">IF(AND(L159&lt;L_rampe,Poussee&lt;Poids*SIN(M159)),0,(-W159+Poussee)/m-Poids*SIN(M159)/m)</f>
        <v>58.535239120555</v>
      </c>
      <c r="AH160" s="449" t="n">
        <f aca="false">IF(AND(L159&lt;L_rampe,Poussee&lt;Poids*SIN(M159)), g*SIN(M159), (-W159+Poussee)/m)</f>
        <v>68.1246698040738</v>
      </c>
    </row>
    <row r="161" customFormat="false" ht="12" hidden="false" customHeight="false" outlineLevel="0" collapsed="false">
      <c r="A161" s="448" t="n">
        <f aca="false">IF(B160+0.01&lt;=T_ini+ROUNDUP(Temps_fin_propu,0), 0.01, IF(K160&gt;0, 0.1, 0.0001))</f>
        <v>0.01</v>
      </c>
      <c r="B161" s="449" t="n">
        <f aca="false">B160+pas</f>
        <v>1.57</v>
      </c>
      <c r="C161" s="432"/>
      <c r="D161" s="450" t="n">
        <f aca="false">IF(AND(L160&lt;L_rampe,Poussee&lt;Poids*SIN(M160)),0,(-W160+Poussee)/m*COS(M160)-U160/m*SIN(M160))</f>
        <v>14.3410119421832</v>
      </c>
      <c r="E161" s="451" t="n">
        <f aca="false">IF(AND(L160&lt;L_rampe,Poussee&lt;Poids*SIN(M160)),0,(-W160+Poussee)/m*SIN(M160)+U160/m*COS(M160)-Poids/m)</f>
        <v>56.6107244024499</v>
      </c>
      <c r="F161" s="449" t="n">
        <f aca="false">SQRT(acc_x^2+acc_z^2)</f>
        <v>58.3989618135115</v>
      </c>
      <c r="G161" s="450" t="n">
        <f aca="false">G160+acc_x*pas</f>
        <v>23.016870836719</v>
      </c>
      <c r="H161" s="451" t="n">
        <f aca="false">H160+acc_z*pas</f>
        <v>106.505063055436</v>
      </c>
      <c r="I161" s="449" t="n">
        <f aca="false">SQRT(vit_x^2+vit_z^2)</f>
        <v>108.963777465525</v>
      </c>
      <c r="J161" s="450" t="n">
        <f aca="false">J160+0.5*(vit_x+G160)*pas*(K160&gt;=0)</f>
        <v>17.5970649199137</v>
      </c>
      <c r="K161" s="451" t="n">
        <f aca="false">K160+0.5*(vit_z+H160)*pas</f>
        <v>86.876581437809</v>
      </c>
      <c r="L161" s="449" t="n">
        <f aca="false">SQRT(pos_x^2+pos_z^2)</f>
        <v>88.6408319913341</v>
      </c>
      <c r="M161" s="450" t="n">
        <f aca="false">IF(AND(L160&gt;L_rampe,G161&gt;0),ATAN2(G161,H161),$M$4)</f>
        <v>1.3579588987712</v>
      </c>
      <c r="N161" s="449" t="n">
        <f aca="false">DEGREES(Beta)</f>
        <v>77.8053136518226</v>
      </c>
      <c r="O161" s="438"/>
      <c r="P161" s="452" t="n">
        <f aca="false">MATCH(t-pas/2-T_ini,CdP_t)</f>
        <v>5</v>
      </c>
      <c r="Q161" s="449" t="n">
        <f aca="false">(INDEX(CdP,2,i_P+1)-INDEX(CdP,2,i_P+0))/(INDEX(CdP,1,i_P+1)-INDEX(CdP,1,i_P+0))*(t-pas/2-T_ini-INDEX(CdP,1,i_P+0))+INDEX(CdP,2,i_P+0)</f>
        <v>649.51</v>
      </c>
      <c r="R161" s="450" t="n">
        <f aca="false">Poussee/(g*ISP)</f>
        <v>0.325958807211531</v>
      </c>
      <c r="S161" s="451" t="n">
        <f aca="false">S160-Débit*pas</f>
        <v>9.0916475240603</v>
      </c>
      <c r="T161" s="449" t="n">
        <f aca="false">m*g</f>
        <v>89.1890622110316</v>
      </c>
      <c r="U161" s="453" t="n">
        <f aca="false">IF(pos_xz&lt;L_rampe,Poids*COS(Beta),0)</f>
        <v>0</v>
      </c>
      <c r="V161" s="450" t="n">
        <f aca="false">Rho_moyen*(20000-Alt_rampe-pos_z)/(20000+Alt_rampe+pos_z)</f>
        <v>1.21440364751784</v>
      </c>
      <c r="W161" s="449" t="n">
        <f aca="false">1/2*Rho*Sref*Cx*vit_xz^2</f>
        <v>32.0600061350643</v>
      </c>
      <c r="X161" s="438"/>
      <c r="Y161" s="454" t="str">
        <f aca="false">IF(AND(pos_z&lt;=0,K160&gt;0),"Impact balistique","") &amp; IF(AND(H162&lt;0,vit_z&gt;=0),"Apogée","") &amp; IF(AND(Poussee=0,Q160&gt;0),"Fin de propulsion","") &amp; IF(AND(L162&gt;L_rampe,pos_xz&lt;=L_rampe),"Sortie de rampe","")</f>
        <v/>
      </c>
      <c r="Z161" s="455" t="str">
        <f aca="false">IF(ABS(t-T_para)&lt;pas/2,"Para","")</f>
        <v/>
      </c>
      <c r="AA161" s="456" t="str">
        <f aca="false">IF(ABS(t-T_satellite)&lt;pas/2,"Satellite","")</f>
        <v/>
      </c>
      <c r="AB161" s="444"/>
      <c r="AC161" s="452" t="e">
        <f aca="false">IF(ABS(t-ROUND(t,0))&lt;0.001,t,NA())</f>
        <v>#N/A</v>
      </c>
      <c r="AD161" s="457" t="e">
        <f aca="false">IF(ABS(t-ROUND(t,0))&lt;0.001,pos_x,NA())</f>
        <v>#N/A</v>
      </c>
      <c r="AE161" s="458" t="n">
        <f aca="false">IF(t&lt;T_para, pos_z, NA())</f>
        <v>86.876581437809</v>
      </c>
      <c r="AF161" s="444"/>
      <c r="AG161" s="450" t="n">
        <f aca="false">IF(AND(L160&lt;L_rampe,Poussee&lt;Poids*SIN(M160)),0,(-W160+Poussee)/m-Poids*SIN(M160)/m)</f>
        <v>58.3622501844863</v>
      </c>
      <c r="AH161" s="449" t="n">
        <f aca="false">IF(AND(L160&lt;L_rampe,Poussee&lt;Poids*SIN(M160)), g*SIN(M160), (-W160+Poussee)/m)</f>
        <v>67.9512858868178</v>
      </c>
    </row>
    <row r="162" customFormat="false" ht="12" hidden="false" customHeight="false" outlineLevel="0" collapsed="false">
      <c r="A162" s="448" t="n">
        <f aca="false">IF(B161+0.01&lt;=T_ini+ROUNDUP(Temps_fin_propu,0), 0.01, IF(K161&gt;0, 0.1, 0.0001))</f>
        <v>0.01</v>
      </c>
      <c r="B162" s="449" t="n">
        <f aca="false">B161+pas</f>
        <v>1.58</v>
      </c>
      <c r="C162" s="432"/>
      <c r="D162" s="450" t="n">
        <f aca="false">IF(AND(L161&lt;L_rampe,Poussee&lt;Poids*SIN(M161)),0,(-W161+Poussee)/m*COS(M161)-U161/m*SIN(M161))</f>
        <v>14.3169523949195</v>
      </c>
      <c r="E162" s="451" t="n">
        <f aca="false">IF(AND(L161&lt;L_rampe,Poussee&lt;Poids*SIN(M161)),0,(-W161+Poussee)/m*SIN(M161)+U161/m*COS(M161)-Poids/m)</f>
        <v>56.438271904537</v>
      </c>
      <c r="F162" s="449" t="n">
        <f aca="false">SQRT(acc_x^2+acc_z^2)</f>
        <v>58.2258848060623</v>
      </c>
      <c r="G162" s="450" t="n">
        <f aca="false">G161+acc_x*pas</f>
        <v>23.1600403606682</v>
      </c>
      <c r="H162" s="451" t="n">
        <f aca="false">H161+acc_z*pas</f>
        <v>107.069445774481</v>
      </c>
      <c r="I162" s="449" t="n">
        <f aca="false">SQRT(vit_x^2+vit_z^2)</f>
        <v>109.545669416743</v>
      </c>
      <c r="J162" s="450" t="n">
        <f aca="false">J161+0.5*(vit_x+G161)*pas*(K161&gt;=0)</f>
        <v>17.8279494759007</v>
      </c>
      <c r="K162" s="451" t="n">
        <f aca="false">K161+0.5*(vit_z+H161)*pas</f>
        <v>87.9444539819586</v>
      </c>
      <c r="L162" s="449" t="n">
        <f aca="false">SQRT(pos_x^2+pos_z^2)</f>
        <v>89.7332868488617</v>
      </c>
      <c r="M162" s="450" t="n">
        <f aca="false">IF(AND(L161&gt;L_rampe,G162&gt;0),ATAN2(G162,H162),$M$4)</f>
        <v>1.35776973501621</v>
      </c>
      <c r="N162" s="449" t="n">
        <f aca="false">DEGREES(Beta)</f>
        <v>77.7944753670251</v>
      </c>
      <c r="O162" s="438"/>
      <c r="P162" s="452" t="n">
        <f aca="false">MATCH(t-pas/2-T_ini,CdP_t)</f>
        <v>5</v>
      </c>
      <c r="Q162" s="449" t="n">
        <f aca="false">(INDEX(CdP,2,i_P+1)-INDEX(CdP,2,i_P+0))/(INDEX(CdP,1,i_P+1)-INDEX(CdP,1,i_P+0))*(t-pas/2-T_ini-INDEX(CdP,1,i_P+0))+INDEX(CdP,2,i_P+0)</f>
        <v>648.05</v>
      </c>
      <c r="R162" s="450" t="n">
        <f aca="false">Poussee/(g*ISP)</f>
        <v>0.325226101235444</v>
      </c>
      <c r="S162" s="451" t="n">
        <f aca="false">S161-Débit*pas</f>
        <v>9.08839526304795</v>
      </c>
      <c r="T162" s="449" t="n">
        <f aca="false">m*g</f>
        <v>89.1571575305004</v>
      </c>
      <c r="U162" s="453" t="n">
        <f aca="false">IF(pos_xz&lt;L_rampe,Poids*COS(Beta),0)</f>
        <v>0</v>
      </c>
      <c r="V162" s="450" t="n">
        <f aca="false">Rho_moyen*(20000-Alt_rampe-pos_z)/(20000+Alt_rampe+pos_z)</f>
        <v>1.21427396913361</v>
      </c>
      <c r="W162" s="449" t="n">
        <f aca="false">1/2*Rho*Sref*Cx*vit_xz^2</f>
        <v>32.3998760806611</v>
      </c>
      <c r="X162" s="438"/>
      <c r="Y162" s="454" t="str">
        <f aca="false">IF(AND(pos_z&lt;=0,K161&gt;0),"Impact balistique","") &amp; IF(AND(H163&lt;0,vit_z&gt;=0),"Apogée","") &amp; IF(AND(Poussee=0,Q161&gt;0),"Fin de propulsion","") &amp; IF(AND(L163&gt;L_rampe,pos_xz&lt;=L_rampe),"Sortie de rampe","")</f>
        <v/>
      </c>
      <c r="Z162" s="455" t="str">
        <f aca="false">IF(ABS(t-T_para)&lt;pas/2,"Para","")</f>
        <v/>
      </c>
      <c r="AA162" s="456" t="str">
        <f aca="false">IF(ABS(t-T_satellite)&lt;pas/2,"Satellite","")</f>
        <v/>
      </c>
      <c r="AB162" s="444"/>
      <c r="AC162" s="452" t="e">
        <f aca="false">IF(ABS(t-ROUND(t,0))&lt;0.001,t,NA())</f>
        <v>#N/A</v>
      </c>
      <c r="AD162" s="457" t="e">
        <f aca="false">IF(ABS(t-ROUND(t,0))&lt;0.001,pos_x,NA())</f>
        <v>#N/A</v>
      </c>
      <c r="AE162" s="458" t="n">
        <f aca="false">IF(t&lt;T_para, pos_z, NA())</f>
        <v>87.9444539819586</v>
      </c>
      <c r="AF162" s="444"/>
      <c r="AG162" s="450" t="n">
        <f aca="false">IF(AND(L161&lt;L_rampe,Poussee&lt;Poids*SIN(M161)),0,(-W161+Poussee)/m-Poids*SIN(M161)/m)</f>
        <v>58.1889991285214</v>
      </c>
      <c r="AH162" s="449" t="n">
        <f aca="false">IF(AND(L161&lt;L_rampe,Poussee&lt;Poids*SIN(M161)), g*SIN(M161), (-W161+Poussee)/m)</f>
        <v>67.7776412706717</v>
      </c>
    </row>
    <row r="163" customFormat="false" ht="12" hidden="false" customHeight="false" outlineLevel="0" collapsed="false">
      <c r="A163" s="448" t="n">
        <f aca="false">IF(B162+0.01&lt;=T_ini+ROUNDUP(Temps_fin_propu,0), 0.01, IF(K162&gt;0, 0.1, 0.0001))</f>
        <v>0.01</v>
      </c>
      <c r="B163" s="449" t="n">
        <f aca="false">B162+pas</f>
        <v>1.59</v>
      </c>
      <c r="C163" s="432"/>
      <c r="D163" s="450" t="n">
        <f aca="false">IF(AND(L162&lt;L_rampe,Poussee&lt;Poids*SIN(M162)),0,(-W162+Poussee)/m*COS(M162)-U162/m*SIN(M162))</f>
        <v>14.2927174800038</v>
      </c>
      <c r="E163" s="451" t="n">
        <f aca="false">IF(AND(L162&lt;L_rampe,Poussee&lt;Poids*SIN(M162)),0,(-W162+Poussee)/m*SIN(M162)+U162/m*COS(M162)-Poids/m)</f>
        <v>56.2655903428438</v>
      </c>
      <c r="F163" s="449" t="n">
        <f aca="false">SQRT(acc_x^2+acc_z^2)</f>
        <v>58.0525488638692</v>
      </c>
      <c r="G163" s="450" t="n">
        <f aca="false">G162+acc_x*pas</f>
        <v>23.3029675354682</v>
      </c>
      <c r="H163" s="451" t="n">
        <f aca="false">H162+acc_z*pas</f>
        <v>107.632101677909</v>
      </c>
      <c r="I163" s="449" t="n">
        <f aca="false">SQRT(vit_x^2+vit_z^2)</f>
        <v>110.125826251443</v>
      </c>
      <c r="J163" s="450" t="n">
        <f aca="false">J162+0.5*(vit_x+G162)*pas*(K162&gt;=0)</f>
        <v>18.0602645153814</v>
      </c>
      <c r="K163" s="451" t="n">
        <f aca="false">K162+0.5*(vit_z+H162)*pas</f>
        <v>89.0179617192205</v>
      </c>
      <c r="L163" s="449" t="n">
        <f aca="false">SQRT(pos_x^2+pos_z^2)</f>
        <v>90.8315510327229</v>
      </c>
      <c r="M163" s="450" t="n">
        <f aca="false">IF(AND(L162&gt;L_rampe,G163&gt;0),ATAN2(G163,H163),$M$4)</f>
        <v>1.35758140309863</v>
      </c>
      <c r="N163" s="449" t="n">
        <f aca="false">DEGREES(Beta)</f>
        <v>77.7836847430002</v>
      </c>
      <c r="O163" s="438"/>
      <c r="P163" s="452" t="n">
        <f aca="false">MATCH(t-pas/2-T_ini,CdP_t)</f>
        <v>5</v>
      </c>
      <c r="Q163" s="449" t="n">
        <f aca="false">(INDEX(CdP,2,i_P+1)-INDEX(CdP,2,i_P+0))/(INDEX(CdP,1,i_P+1)-INDEX(CdP,1,i_P+0))*(t-pas/2-T_ini-INDEX(CdP,1,i_P+0))+INDEX(CdP,2,i_P+0)</f>
        <v>646.59</v>
      </c>
      <c r="R163" s="450" t="n">
        <f aca="false">Poussee/(g*ISP)</f>
        <v>0.324493395259356</v>
      </c>
      <c r="S163" s="451" t="n">
        <f aca="false">S162-Débit*pas</f>
        <v>9.08515032909535</v>
      </c>
      <c r="T163" s="449" t="n">
        <f aca="false">m*g</f>
        <v>89.1253247284254</v>
      </c>
      <c r="U163" s="453" t="n">
        <f aca="false">IF(pos_xz&lt;L_rampe,Poids*COS(Beta),0)</f>
        <v>0</v>
      </c>
      <c r="V163" s="450" t="n">
        <f aca="false">Rho_moyen*(20000-Alt_rampe-pos_z)/(20000+Alt_rampe+pos_z)</f>
        <v>1.21414362032889</v>
      </c>
      <c r="W163" s="449" t="n">
        <f aca="false">1/2*Rho*Sref*Cx*vit_xz^2</f>
        <v>32.7404511030092</v>
      </c>
      <c r="X163" s="438"/>
      <c r="Y163" s="454" t="str">
        <f aca="false">IF(AND(pos_z&lt;=0,K162&gt;0),"Impact balistique","") &amp; IF(AND(H164&lt;0,vit_z&gt;=0),"Apogée","") &amp; IF(AND(Poussee=0,Q162&gt;0),"Fin de propulsion","") &amp; IF(AND(L164&gt;L_rampe,pos_xz&lt;=L_rampe),"Sortie de rampe","")</f>
        <v/>
      </c>
      <c r="Z163" s="455" t="str">
        <f aca="false">IF(ABS(t-T_para)&lt;pas/2,"Para","")</f>
        <v/>
      </c>
      <c r="AA163" s="456" t="str">
        <f aca="false">IF(ABS(t-T_satellite)&lt;pas/2,"Satellite","")</f>
        <v/>
      </c>
      <c r="AB163" s="444"/>
      <c r="AC163" s="452" t="e">
        <f aca="false">IF(ABS(t-ROUND(t,0))&lt;0.001,t,NA())</f>
        <v>#N/A</v>
      </c>
      <c r="AD163" s="457" t="e">
        <f aca="false">IF(ABS(t-ROUND(t,0))&lt;0.001,pos_x,NA())</f>
        <v>#N/A</v>
      </c>
      <c r="AE163" s="458" t="n">
        <f aca="false">IF(t&lt;T_para, pos_z, NA())</f>
        <v>89.0179617192205</v>
      </c>
      <c r="AF163" s="444"/>
      <c r="AG163" s="450" t="n">
        <f aca="false">IF(AND(L162&lt;L_rampe,Poussee&lt;Poids*SIN(M162)),0,(-W162+Poussee)/m-Poids*SIN(M162)/m)</f>
        <v>58.0154881678184</v>
      </c>
      <c r="AH163" s="449" t="n">
        <f aca="false">IF(AND(L162&lt;L_rampe,Poussee&lt;Poids*SIN(M162)), g*SIN(M162), (-W162+Poussee)/m)</f>
        <v>67.6037381519582</v>
      </c>
    </row>
    <row r="164" customFormat="false" ht="12" hidden="false" customHeight="false" outlineLevel="0" collapsed="false">
      <c r="A164" s="448" t="n">
        <f aca="false">IF(B163+0.01&lt;=T_ini+ROUNDUP(Temps_fin_propu,0), 0.01, IF(K163&gt;0, 0.1, 0.0001))</f>
        <v>0.01</v>
      </c>
      <c r="B164" s="449" t="n">
        <f aca="false">B163+pas</f>
        <v>1.6</v>
      </c>
      <c r="C164" s="432"/>
      <c r="D164" s="450" t="n">
        <f aca="false">IF(AND(L163&lt;L_rampe,Poussee&lt;Poids*SIN(M163)),0,(-W163+Poussee)/m*COS(M163)-U163/m*SIN(M163))</f>
        <v>14.2683086928845</v>
      </c>
      <c r="E164" s="451" t="n">
        <f aca="false">IF(AND(L163&lt;L_rampe,Poussee&lt;Poids*SIN(M163)),0,(-W163+Poussee)/m*SIN(M163)+U163/m*COS(M163)-Poids/m)</f>
        <v>56.0926816935177</v>
      </c>
      <c r="F164" s="449" t="n">
        <f aca="false">SQRT(acc_x^2+acc_z^2)</f>
        <v>57.8789562148951</v>
      </c>
      <c r="G164" s="450" t="n">
        <f aca="false">G163+acc_x*pas</f>
        <v>23.4456506223971</v>
      </c>
      <c r="H164" s="451" t="n">
        <f aca="false">H163+acc_z*pas</f>
        <v>108.193028494845</v>
      </c>
      <c r="I164" s="449" t="n">
        <f aca="false">SQRT(vit_x^2+vit_z^2)</f>
        <v>110.70424539282</v>
      </c>
      <c r="J164" s="450" t="n">
        <f aca="false">J163+0.5*(vit_x+G163)*pas*(K163&gt;=0)</f>
        <v>18.2940076061707</v>
      </c>
      <c r="K164" s="451" t="n">
        <f aca="false">K163+0.5*(vit_z+H163)*pas</f>
        <v>90.0970873700843</v>
      </c>
      <c r="L164" s="449" t="n">
        <f aca="false">SQRT(pos_x^2+pos_z^2)</f>
        <v>91.9356071762581</v>
      </c>
      <c r="M164" s="450" t="n">
        <f aca="false">IF(AND(L163&gt;L_rampe,G164&gt;0),ATAN2(G164,H164),$M$4)</f>
        <v>1.35739389208381</v>
      </c>
      <c r="N164" s="449" t="n">
        <f aca="false">DEGREES(Beta)</f>
        <v>77.7729411532385</v>
      </c>
      <c r="O164" s="438"/>
      <c r="P164" s="452" t="n">
        <f aca="false">MATCH(t-pas/2-T_ini,CdP_t)</f>
        <v>5</v>
      </c>
      <c r="Q164" s="449" t="n">
        <f aca="false">(INDEX(CdP,2,i_P+1)-INDEX(CdP,2,i_P+0))/(INDEX(CdP,1,i_P+1)-INDEX(CdP,1,i_P+0))*(t-pas/2-T_ini-INDEX(CdP,1,i_P+0))+INDEX(CdP,2,i_P+0)</f>
        <v>645.13</v>
      </c>
      <c r="R164" s="450" t="n">
        <f aca="false">Poussee/(g*ISP)</f>
        <v>0.323760689283268</v>
      </c>
      <c r="S164" s="451" t="n">
        <f aca="false">S163-Débit*pas</f>
        <v>9.08191272220252</v>
      </c>
      <c r="T164" s="449" t="n">
        <f aca="false">m*g</f>
        <v>89.0935638048067</v>
      </c>
      <c r="U164" s="453" t="n">
        <f aca="false">IF(pos_xz&lt;L_rampe,Poids*COS(Beta),0)</f>
        <v>0</v>
      </c>
      <c r="V164" s="450" t="n">
        <f aca="false">Rho_moyen*(20000-Alt_rampe-pos_z)/(20000+Alt_rampe+pos_z)</f>
        <v>1.21401260341865</v>
      </c>
      <c r="W164" s="449" t="n">
        <f aca="false">1/2*Rho*Sref*Cx*vit_xz^2</f>
        <v>33.0817125950338</v>
      </c>
      <c r="X164" s="438"/>
      <c r="Y164" s="454" t="str">
        <f aca="false">IF(AND(pos_z&lt;=0,K163&gt;0),"Impact balistique","") &amp; IF(AND(H165&lt;0,vit_z&gt;=0),"Apogée","") &amp; IF(AND(Poussee=0,Q163&gt;0),"Fin de propulsion","") &amp; IF(AND(L165&gt;L_rampe,pos_xz&lt;=L_rampe),"Sortie de rampe","")</f>
        <v/>
      </c>
      <c r="Z164" s="455" t="str">
        <f aca="false">IF(ABS(t-T_para)&lt;pas/2,"Para","")</f>
        <v/>
      </c>
      <c r="AA164" s="456" t="str">
        <f aca="false">IF(ABS(t-T_satellite)&lt;pas/2,"Satellite","")</f>
        <v/>
      </c>
      <c r="AB164" s="444"/>
      <c r="AC164" s="452" t="e">
        <f aca="false">IF(ABS(t-ROUND(t,0))&lt;0.001,t,NA())</f>
        <v>#N/A</v>
      </c>
      <c r="AD164" s="457" t="e">
        <f aca="false">IF(ABS(t-ROUND(t,0))&lt;0.001,pos_x,NA())</f>
        <v>#N/A</v>
      </c>
      <c r="AE164" s="458" t="n">
        <f aca="false">IF(t&lt;T_para, pos_z, NA())</f>
        <v>90.0970873700843</v>
      </c>
      <c r="AF164" s="444"/>
      <c r="AG164" s="450" t="n">
        <f aca="false">IF(AND(L163&lt;L_rampe,Poussee&lt;Poids*SIN(M163)),0,(-W163+Poussee)/m-Poids*SIN(M163)/m)</f>
        <v>57.8417195175977</v>
      </c>
      <c r="AH164" s="449" t="n">
        <f aca="false">IF(AND(L163&lt;L_rampe,Poussee&lt;Poids*SIN(M163)), g*SIN(M163), (-W163+Poussee)/m)</f>
        <v>67.4295787273846</v>
      </c>
    </row>
    <row r="165" customFormat="false" ht="12" hidden="false" customHeight="false" outlineLevel="0" collapsed="false">
      <c r="A165" s="448" t="n">
        <f aca="false">IF(B164+0.01&lt;=T_ini+ROUNDUP(Temps_fin_propu,0), 0.01, IF(K164&gt;0, 0.1, 0.0001))</f>
        <v>0.01</v>
      </c>
      <c r="B165" s="449" t="n">
        <f aca="false">B164+pas</f>
        <v>1.61</v>
      </c>
      <c r="C165" s="432"/>
      <c r="D165" s="450" t="n">
        <f aca="false">IF(AND(L164&lt;L_rampe,Poussee&lt;Poids*SIN(M164)),0,(-W164+Poussee)/m*COS(M164)-U164/m*SIN(M164))</f>
        <v>14.2437275110247</v>
      </c>
      <c r="E165" s="451" t="n">
        <f aca="false">IF(AND(L164&lt;L_rampe,Poussee&lt;Poids*SIN(M164)),0,(-W164+Poussee)/m*SIN(M164)+U164/m*COS(M164)-Poids/m)</f>
        <v>55.919547935895</v>
      </c>
      <c r="F165" s="449" t="n">
        <f aca="false">SQRT(acc_x^2+acc_z^2)</f>
        <v>57.7051090871786</v>
      </c>
      <c r="G165" s="450" t="n">
        <f aca="false">G164+acc_x*pas</f>
        <v>23.5880878975073</v>
      </c>
      <c r="H165" s="451" t="n">
        <f aca="false">H164+acc_z*pas</f>
        <v>108.752223974203</v>
      </c>
      <c r="I165" s="449" t="n">
        <f aca="false">SQRT(vit_x^2+vit_z^2)</f>
        <v>111.280924286222</v>
      </c>
      <c r="J165" s="450" t="n">
        <f aca="false">J164+0.5*(vit_x+G164)*pas*(K164&gt;=0)</f>
        <v>18.5291762987702</v>
      </c>
      <c r="K165" s="451" t="n">
        <f aca="false">K164+0.5*(vit_z+H164)*pas</f>
        <v>91.1818136324295</v>
      </c>
      <c r="L165" s="449" t="n">
        <f aca="false">SQRT(pos_x^2+pos_z^2)</f>
        <v>93.0454378871421</v>
      </c>
      <c r="M165" s="450" t="n">
        <f aca="false">IF(AND(L164&gt;L_rampe,G165&gt;0),ATAN2(G165,H165),$M$4)</f>
        <v>1.35720719123226</v>
      </c>
      <c r="N165" s="449" t="n">
        <f aca="false">DEGREES(Beta)</f>
        <v>77.7622439824133</v>
      </c>
      <c r="O165" s="438"/>
      <c r="P165" s="452" t="n">
        <f aca="false">MATCH(t-pas/2-T_ini,CdP_t)</f>
        <v>5</v>
      </c>
      <c r="Q165" s="449" t="n">
        <f aca="false">(INDEX(CdP,2,i_P+1)-INDEX(CdP,2,i_P+0))/(INDEX(CdP,1,i_P+1)-INDEX(CdP,1,i_P+0))*(t-pas/2-T_ini-INDEX(CdP,1,i_P+0))+INDEX(CdP,2,i_P+0)</f>
        <v>643.67</v>
      </c>
      <c r="R165" s="450" t="n">
        <f aca="false">Poussee/(g*ISP)</f>
        <v>0.32302798330718</v>
      </c>
      <c r="S165" s="451" t="n">
        <f aca="false">S164-Débit*pas</f>
        <v>9.07868244236945</v>
      </c>
      <c r="T165" s="449" t="n">
        <f aca="false">m*g</f>
        <v>89.0618747596443</v>
      </c>
      <c r="U165" s="453" t="n">
        <f aca="false">IF(pos_xz&lt;L_rampe,Poids*COS(Beta),0)</f>
        <v>0</v>
      </c>
      <c r="V165" s="450" t="n">
        <f aca="false">Rho_moyen*(20000-Alt_rampe-pos_z)/(20000+Alt_rampe+pos_z)</f>
        <v>1.21388092072076</v>
      </c>
      <c r="W165" s="449" t="n">
        <f aca="false">1/2*Rho*Sref*Cx*vit_xz^2</f>
        <v>33.4236419874545</v>
      </c>
      <c r="X165" s="438"/>
      <c r="Y165" s="454" t="str">
        <f aca="false">IF(AND(pos_z&lt;=0,K164&gt;0),"Impact balistique","") &amp; IF(AND(H166&lt;0,vit_z&gt;=0),"Apogée","") &amp; IF(AND(Poussee=0,Q164&gt;0),"Fin de propulsion","") &amp; IF(AND(L166&gt;L_rampe,pos_xz&lt;=L_rampe),"Sortie de rampe","")</f>
        <v/>
      </c>
      <c r="Z165" s="455" t="str">
        <f aca="false">IF(ABS(t-T_para)&lt;pas/2,"Para","")</f>
        <v/>
      </c>
      <c r="AA165" s="456" t="str">
        <f aca="false">IF(ABS(t-T_satellite)&lt;pas/2,"Satellite","")</f>
        <v/>
      </c>
      <c r="AB165" s="444"/>
      <c r="AC165" s="452" t="e">
        <f aca="false">IF(ABS(t-ROUND(t,0))&lt;0.001,t,NA())</f>
        <v>#N/A</v>
      </c>
      <c r="AD165" s="457" t="e">
        <f aca="false">IF(ABS(t-ROUND(t,0))&lt;0.001,pos_x,NA())</f>
        <v>#N/A</v>
      </c>
      <c r="AE165" s="458" t="n">
        <f aca="false">IF(t&lt;T_para, pos_z, NA())</f>
        <v>91.1818136324295</v>
      </c>
      <c r="AF165" s="444"/>
      <c r="AG165" s="450" t="n">
        <f aca="false">IF(AND(L164&lt;L_rampe,Poussee&lt;Poids*SIN(M164)),0,(-W164+Poussee)/m-Poids*SIN(M164)/m)</f>
        <v>57.6676953930555</v>
      </c>
      <c r="AH165" s="449" t="n">
        <f aca="false">IF(AND(L164&lt;L_rampe,Poussee&lt;Poids*SIN(M164)), g*SIN(M164), (-W164+Poussee)/m)</f>
        <v>67.2551651939495</v>
      </c>
    </row>
    <row r="166" customFormat="false" ht="12" hidden="false" customHeight="false" outlineLevel="0" collapsed="false">
      <c r="A166" s="448" t="n">
        <f aca="false">IF(B165+0.01&lt;=T_ini+ROUNDUP(Temps_fin_propu,0), 0.01, IF(K165&gt;0, 0.1, 0.0001))</f>
        <v>0.01</v>
      </c>
      <c r="B166" s="449" t="n">
        <f aca="false">B165+pas</f>
        <v>1.62</v>
      </c>
      <c r="C166" s="432"/>
      <c r="D166" s="450" t="n">
        <f aca="false">IF(AND(L165&lt;L_rampe,Poussee&lt;Poids*SIN(M165)),0,(-W165+Poussee)/m*COS(M165)-U165/m*SIN(M165))</f>
        <v>14.2189753943344</v>
      </c>
      <c r="E166" s="451" t="n">
        <f aca="false">IF(AND(L165&lt;L_rampe,Poussee&lt;Poids*SIN(M165)),0,(-W165+Poussee)/m*SIN(M165)+U165/m*COS(M165)-Poids/m)</f>
        <v>55.7461910523383</v>
      </c>
      <c r="F166" s="449" t="n">
        <f aca="false">SQRT(acc_x^2+acc_z^2)</f>
        <v>57.5310097087517</v>
      </c>
      <c r="G166" s="450" t="n">
        <f aca="false">G165+acc_x*pas</f>
        <v>23.7302776514507</v>
      </c>
      <c r="H166" s="451" t="n">
        <f aca="false">H165+acc_z*pas</f>
        <v>109.309685884727</v>
      </c>
      <c r="I166" s="449" t="n">
        <f aca="false">SQRT(vit_x^2+vit_z^2)</f>
        <v>111.855860399143</v>
      </c>
      <c r="J166" s="450" t="n">
        <f aca="false">J165+0.5*(vit_x+G165)*pas*(K165&gt;=0)</f>
        <v>18.765768126515</v>
      </c>
      <c r="K166" s="451" t="n">
        <f aca="false">K165+0.5*(vit_z+H165)*pas</f>
        <v>92.2721231817242</v>
      </c>
      <c r="L166" s="449" t="n">
        <f aca="false">SQRT(pos_x^2+pos_z^2)</f>
        <v>94.1610257476065</v>
      </c>
      <c r="M166" s="450" t="n">
        <f aca="false">IF(AND(L165&gt;L_rampe,G166&gt;0),ATAN2(G166,H166),$M$4)</f>
        <v>1.35702128999494</v>
      </c>
      <c r="N166" s="449" t="n">
        <f aca="false">DEGREES(Beta)</f>
        <v>77.7515926261085</v>
      </c>
      <c r="O166" s="438"/>
      <c r="P166" s="452" t="n">
        <f aca="false">MATCH(t-pas/2-T_ini,CdP_t)</f>
        <v>5</v>
      </c>
      <c r="Q166" s="449" t="n">
        <f aca="false">(INDEX(CdP,2,i_P+1)-INDEX(CdP,2,i_P+0))/(INDEX(CdP,1,i_P+1)-INDEX(CdP,1,i_P+0))*(t-pas/2-T_ini-INDEX(CdP,1,i_P+0))+INDEX(CdP,2,i_P+0)</f>
        <v>642.21</v>
      </c>
      <c r="R166" s="450" t="n">
        <f aca="false">Poussee/(g*ISP)</f>
        <v>0.322295277331092</v>
      </c>
      <c r="S166" s="451" t="n">
        <f aca="false">S165-Débit*pas</f>
        <v>9.07545948959614</v>
      </c>
      <c r="T166" s="449" t="n">
        <f aca="false">m*g</f>
        <v>89.0302575929381</v>
      </c>
      <c r="U166" s="453" t="n">
        <f aca="false">IF(pos_xz&lt;L_rampe,Poids*COS(Beta),0)</f>
        <v>0</v>
      </c>
      <c r="V166" s="450" t="n">
        <f aca="false">Rho_moyen*(20000-Alt_rampe-pos_z)/(20000+Alt_rampe+pos_z)</f>
        <v>1.21374857455597</v>
      </c>
      <c r="W166" s="449" t="n">
        <f aca="false">1/2*Rho*Sref*Cx*vit_xz^2</f>
        <v>33.76622074947</v>
      </c>
      <c r="X166" s="438"/>
      <c r="Y166" s="454" t="str">
        <f aca="false">IF(AND(pos_z&lt;=0,K165&gt;0),"Impact balistique","") &amp; IF(AND(H167&lt;0,vit_z&gt;=0),"Apogée","") &amp; IF(AND(Poussee=0,Q165&gt;0),"Fin de propulsion","") &amp; IF(AND(L167&gt;L_rampe,pos_xz&lt;=L_rampe),"Sortie de rampe","")</f>
        <v/>
      </c>
      <c r="Z166" s="455" t="str">
        <f aca="false">IF(ABS(t-T_para)&lt;pas/2,"Para","")</f>
        <v/>
      </c>
      <c r="AA166" s="456" t="str">
        <f aca="false">IF(ABS(t-T_satellite)&lt;pas/2,"Satellite","")</f>
        <v/>
      </c>
      <c r="AB166" s="444"/>
      <c r="AC166" s="452" t="e">
        <f aca="false">IF(ABS(t-ROUND(t,0))&lt;0.001,t,NA())</f>
        <v>#N/A</v>
      </c>
      <c r="AD166" s="457" t="e">
        <f aca="false">IF(ABS(t-ROUND(t,0))&lt;0.001,pos_x,NA())</f>
        <v>#N/A</v>
      </c>
      <c r="AE166" s="458" t="n">
        <f aca="false">IF(t&lt;T_para, pos_z, NA())</f>
        <v>92.2721231817242</v>
      </c>
      <c r="AF166" s="444"/>
      <c r="AG166" s="450" t="n">
        <f aca="false">IF(AND(L165&lt;L_rampe,Poussee&lt;Poids*SIN(M165)),0,(-W165+Poussee)/m-Poids*SIN(M165)/m)</f>
        <v>57.493418009279</v>
      </c>
      <c r="AH166" s="449" t="n">
        <f aca="false">IF(AND(L165&lt;L_rampe,Poussee&lt;Poids*SIN(M165)), g*SIN(M165), (-W165+Poussee)/m)</f>
        <v>67.0804997488493</v>
      </c>
    </row>
    <row r="167" customFormat="false" ht="12" hidden="false" customHeight="false" outlineLevel="0" collapsed="false">
      <c r="A167" s="448" t="n">
        <f aca="false">IF(B166+0.01&lt;=T_ini+ROUNDUP(Temps_fin_propu,0), 0.01, IF(K166&gt;0, 0.1, 0.0001))</f>
        <v>0.01</v>
      </c>
      <c r="B167" s="449" t="n">
        <f aca="false">B166+pas</f>
        <v>1.63</v>
      </c>
      <c r="C167" s="432"/>
      <c r="D167" s="450" t="n">
        <f aca="false">IF(AND(L166&lt;L_rampe,Poussee&lt;Poids*SIN(M166)),0,(-W166+Poussee)/m*COS(M166)-U166/m*SIN(M166))</f>
        <v>14.1940537855887</v>
      </c>
      <c r="E167" s="451" t="n">
        <f aca="false">IF(AND(L166&lt;L_rampe,Poussee&lt;Poids*SIN(M166)),0,(-W166+Poussee)/m*SIN(M166)+U166/m*COS(M166)-Poids/m)</f>
        <v>55.5726130280767</v>
      </c>
      <c r="F167" s="449" t="n">
        <f aca="false">SQRT(acc_x^2+acc_z^2)</f>
        <v>57.3566603075576</v>
      </c>
      <c r="G167" s="450" t="n">
        <f aca="false">G166+acc_x*pas</f>
        <v>23.8722181893066</v>
      </c>
      <c r="H167" s="451" t="n">
        <f aca="false">H166+acc_z*pas</f>
        <v>109.865412015008</v>
      </c>
      <c r="I167" s="449" t="n">
        <f aca="false">SQRT(vit_x^2+vit_z^2)</f>
        <v>112.429051221227</v>
      </c>
      <c r="J167" s="450" t="n">
        <f aca="false">J166+0.5*(vit_x+G166)*pas*(K166&gt;=0)</f>
        <v>19.0037806057188</v>
      </c>
      <c r="K167" s="451" t="n">
        <f aca="false">K166+0.5*(vit_z+H166)*pas</f>
        <v>93.3679986712229</v>
      </c>
      <c r="L167" s="449" t="n">
        <f aca="false">SQRT(pos_x^2+pos_z^2)</f>
        <v>95.2823533146603</v>
      </c>
      <c r="M167" s="450" t="n">
        <f aca="false">IF(AND(L166&gt;L_rampe,G167&gt;0),ATAN2(G167,H167),$M$4)</f>
        <v>1.3568361780086</v>
      </c>
      <c r="N167" s="449" t="n">
        <f aca="false">DEGREES(Beta)</f>
        <v>77.7409864905543</v>
      </c>
      <c r="O167" s="438"/>
      <c r="P167" s="452" t="n">
        <f aca="false">MATCH(t-pas/2-T_ini,CdP_t)</f>
        <v>5</v>
      </c>
      <c r="Q167" s="449" t="n">
        <f aca="false">(INDEX(CdP,2,i_P+1)-INDEX(CdP,2,i_P+0))/(INDEX(CdP,1,i_P+1)-INDEX(CdP,1,i_P+0))*(t-pas/2-T_ini-INDEX(CdP,1,i_P+0))+INDEX(CdP,2,i_P+0)</f>
        <v>640.75</v>
      </c>
      <c r="R167" s="450" t="n">
        <f aca="false">Poussee/(g*ISP)</f>
        <v>0.321562571355004</v>
      </c>
      <c r="S167" s="451" t="n">
        <f aca="false">S166-Débit*pas</f>
        <v>9.07224386388259</v>
      </c>
      <c r="T167" s="449" t="n">
        <f aca="false">m*g</f>
        <v>88.9987123046882</v>
      </c>
      <c r="U167" s="453" t="n">
        <f aca="false">IF(pos_xz&lt;L_rampe,Poids*COS(Beta),0)</f>
        <v>0</v>
      </c>
      <c r="V167" s="450" t="n">
        <f aca="false">Rho_moyen*(20000-Alt_rampe-pos_z)/(20000+Alt_rampe+pos_z)</f>
        <v>1.21361556724788</v>
      </c>
      <c r="W167" s="449" t="n">
        <f aca="false">1/2*Rho*Sref*Cx*vit_xz^2</f>
        <v>34.1094303894373</v>
      </c>
      <c r="X167" s="438"/>
      <c r="Y167" s="454" t="str">
        <f aca="false">IF(AND(pos_z&lt;=0,K166&gt;0),"Impact balistique","") &amp; IF(AND(H168&lt;0,vit_z&gt;=0),"Apogée","") &amp; IF(AND(Poussee=0,Q166&gt;0),"Fin de propulsion","") &amp; IF(AND(L168&gt;L_rampe,pos_xz&lt;=L_rampe),"Sortie de rampe","")</f>
        <v/>
      </c>
      <c r="Z167" s="455" t="str">
        <f aca="false">IF(ABS(t-T_para)&lt;pas/2,"Para","")</f>
        <v/>
      </c>
      <c r="AA167" s="456" t="str">
        <f aca="false">IF(ABS(t-T_satellite)&lt;pas/2,"Satellite","")</f>
        <v/>
      </c>
      <c r="AB167" s="444"/>
      <c r="AC167" s="452" t="e">
        <f aca="false">IF(ABS(t-ROUND(t,0))&lt;0.001,t,NA())</f>
        <v>#N/A</v>
      </c>
      <c r="AD167" s="457" t="e">
        <f aca="false">IF(ABS(t-ROUND(t,0))&lt;0.001,pos_x,NA())</f>
        <v>#N/A</v>
      </c>
      <c r="AE167" s="458" t="n">
        <f aca="false">IF(t&lt;T_para, pos_z, NA())</f>
        <v>93.3679986712229</v>
      </c>
      <c r="AF167" s="444"/>
      <c r="AG167" s="450" t="n">
        <f aca="false">IF(AND(L166&lt;L_rampe,Poussee&lt;Poids*SIN(M166)),0,(-W166+Poussee)/m-Poids*SIN(M166)/m)</f>
        <v>57.3188895811606</v>
      </c>
      <c r="AH167" s="449" t="n">
        <f aca="false">IF(AND(L166&lt;L_rampe,Poussee&lt;Poids*SIN(M166)), g*SIN(M166), (-W166+Poussee)/m)</f>
        <v>66.9055845893855</v>
      </c>
    </row>
    <row r="168" customFormat="false" ht="12" hidden="false" customHeight="false" outlineLevel="0" collapsed="false">
      <c r="A168" s="448" t="n">
        <f aca="false">IF(B167+0.01&lt;=T_ini+ROUNDUP(Temps_fin_propu,0), 0.01, IF(K167&gt;0, 0.1, 0.0001))</f>
        <v>0.01</v>
      </c>
      <c r="B168" s="449" t="n">
        <f aca="false">B167+pas</f>
        <v>1.64</v>
      </c>
      <c r="C168" s="432"/>
      <c r="D168" s="450" t="n">
        <f aca="false">IF(AND(L167&lt;L_rampe,Poussee&lt;Poids*SIN(M167)),0,(-W167+Poussee)/m*COS(M167)-U167/m*SIN(M167))</f>
        <v>14.1689641108331</v>
      </c>
      <c r="E168" s="451" t="n">
        <f aca="false">IF(AND(L167&lt;L_rampe,Poussee&lt;Poids*SIN(M167)),0,(-W167+Poussee)/m*SIN(M167)+U167/m*COS(M167)-Poids/m)</f>
        <v>55.3988158510479</v>
      </c>
      <c r="F168" s="449" t="n">
        <f aca="false">SQRT(acc_x^2+acc_z^2)</f>
        <v>57.1820631113673</v>
      </c>
      <c r="G168" s="450" t="n">
        <f aca="false">G167+acc_x*pas</f>
        <v>24.0139078304149</v>
      </c>
      <c r="H168" s="451" t="n">
        <f aca="false">H167+acc_z*pas</f>
        <v>110.419400173518</v>
      </c>
      <c r="I168" s="449" t="n">
        <f aca="false">SQRT(vit_x^2+vit_z^2)</f>
        <v>113.000494264261</v>
      </c>
      <c r="J168" s="450" t="n">
        <f aca="false">J167+0.5*(vit_x+G167)*pas*(K167&gt;=0)</f>
        <v>19.2432112358174</v>
      </c>
      <c r="K168" s="451" t="n">
        <f aca="false">K167+0.5*(vit_z+H167)*pas</f>
        <v>94.4694227321655</v>
      </c>
      <c r="L168" s="449" t="n">
        <f aca="false">SQRT(pos_x^2+pos_z^2)</f>
        <v>96.4094031203123</v>
      </c>
      <c r="M168" s="450" t="n">
        <f aca="false">IF(AND(L167&gt;L_rampe,G168&gt;0),ATAN2(G168,H168),$M$4)</f>
        <v>1.35665184509137</v>
      </c>
      <c r="N168" s="449" t="n">
        <f aca="false">DEGREES(Beta)</f>
        <v>77.7304249923712</v>
      </c>
      <c r="O168" s="438"/>
      <c r="P168" s="452" t="n">
        <f aca="false">MATCH(t-pas/2-T_ini,CdP_t)</f>
        <v>5</v>
      </c>
      <c r="Q168" s="449" t="n">
        <f aca="false">(INDEX(CdP,2,i_P+1)-INDEX(CdP,2,i_P+0))/(INDEX(CdP,1,i_P+1)-INDEX(CdP,1,i_P+0))*(t-pas/2-T_ini-INDEX(CdP,1,i_P+0))+INDEX(CdP,2,i_P+0)</f>
        <v>639.29</v>
      </c>
      <c r="R168" s="450" t="n">
        <f aca="false">Poussee/(g*ISP)</f>
        <v>0.320829865378916</v>
      </c>
      <c r="S168" s="451" t="n">
        <f aca="false">S167-Débit*pas</f>
        <v>9.0690355652288</v>
      </c>
      <c r="T168" s="449" t="n">
        <f aca="false">m*g</f>
        <v>88.9672388948945</v>
      </c>
      <c r="U168" s="453" t="n">
        <f aca="false">IF(pos_xz&lt;L_rampe,Poids*COS(Beta),0)</f>
        <v>0</v>
      </c>
      <c r="V168" s="450" t="n">
        <f aca="false">Rho_moyen*(20000-Alt_rampe-pos_z)/(20000+Alt_rampe+pos_z)</f>
        <v>1.2134819011229</v>
      </c>
      <c r="W168" s="449" t="n">
        <f aca="false">1/2*Rho*Sref*Cx*vit_xz^2</f>
        <v>34.4532524555471</v>
      </c>
      <c r="X168" s="438"/>
      <c r="Y168" s="454" t="str">
        <f aca="false">IF(AND(pos_z&lt;=0,K167&gt;0),"Impact balistique","") &amp; IF(AND(H169&lt;0,vit_z&gt;=0),"Apogée","") &amp; IF(AND(Poussee=0,Q167&gt;0),"Fin de propulsion","") &amp; IF(AND(L169&gt;L_rampe,pos_xz&lt;=L_rampe),"Sortie de rampe","")</f>
        <v/>
      </c>
      <c r="Z168" s="455" t="str">
        <f aca="false">IF(ABS(t-T_para)&lt;pas/2,"Para","")</f>
        <v/>
      </c>
      <c r="AA168" s="456" t="str">
        <f aca="false">IF(ABS(t-T_satellite)&lt;pas/2,"Satellite","")</f>
        <v/>
      </c>
      <c r="AB168" s="444"/>
      <c r="AC168" s="452" t="e">
        <f aca="false">IF(ABS(t-ROUND(t,0))&lt;0.001,t,NA())</f>
        <v>#N/A</v>
      </c>
      <c r="AD168" s="457" t="e">
        <f aca="false">IF(ABS(t-ROUND(t,0))&lt;0.001,pos_x,NA())</f>
        <v>#N/A</v>
      </c>
      <c r="AE168" s="458" t="n">
        <f aca="false">IF(t&lt;T_para, pos_z, NA())</f>
        <v>94.4694227321655</v>
      </c>
      <c r="AF168" s="444"/>
      <c r="AG168" s="450" t="n">
        <f aca="false">IF(AND(L167&lt;L_rampe,Poussee&lt;Poids*SIN(M167)),0,(-W167+Poussee)/m-Poids*SIN(M167)/m)</f>
        <v>57.144112323312</v>
      </c>
      <c r="AH168" s="449" t="n">
        <f aca="false">IF(AND(L167&lt;L_rampe,Poussee&lt;Poids*SIN(M167)), g*SIN(M167), (-W167+Poussee)/m)</f>
        <v>66.7304219128724</v>
      </c>
    </row>
    <row r="169" customFormat="false" ht="12" hidden="false" customHeight="false" outlineLevel="0" collapsed="false">
      <c r="A169" s="448" t="n">
        <f aca="false">IF(B168+0.01&lt;=T_ini+ROUNDUP(Temps_fin_propu,0), 0.01, IF(K168&gt;0, 0.1, 0.0001))</f>
        <v>0.01</v>
      </c>
      <c r="B169" s="449" t="n">
        <f aca="false">B168+pas</f>
        <v>1.65</v>
      </c>
      <c r="C169" s="432"/>
      <c r="D169" s="450" t="n">
        <f aca="false">IF(AND(L168&lt;L_rampe,Poussee&lt;Poids*SIN(M168)),0,(-W168+Poussee)/m*COS(M168)-U168/m*SIN(M168))</f>
        <v>14.1437077797753</v>
      </c>
      <c r="E169" s="451" t="n">
        <f aca="false">IF(AND(L168&lt;L_rampe,Poussee&lt;Poids*SIN(M168)),0,(-W168+Poussee)/m*SIN(M168)+U168/m*COS(M168)-Poids/m)</f>
        <v>55.2248015117426</v>
      </c>
      <c r="F169" s="449" t="n">
        <f aca="false">SQRT(acc_x^2+acc_z^2)</f>
        <v>57.0072203476984</v>
      </c>
      <c r="G169" s="450" t="n">
        <f aca="false">G168+acc_x*pas</f>
        <v>24.1553449082127</v>
      </c>
      <c r="H169" s="451" t="n">
        <f aca="false">H168+acc_z*pas</f>
        <v>110.971648188636</v>
      </c>
      <c r="I169" s="449" t="n">
        <f aca="false">SQRT(vit_x^2+vit_z^2)</f>
        <v>113.570187062173</v>
      </c>
      <c r="J169" s="450" t="n">
        <f aca="false">J168+0.5*(vit_x+G168)*pas*(K168&gt;=0)</f>
        <v>19.4840574995105</v>
      </c>
      <c r="K169" s="451" t="n">
        <f aca="false">K168+0.5*(vit_z+H168)*pas</f>
        <v>95.5763779739763</v>
      </c>
      <c r="L169" s="449" t="n">
        <f aca="false">SQRT(pos_x^2+pos_z^2)</f>
        <v>97.5421576717914</v>
      </c>
      <c r="M169" s="450" t="n">
        <f aca="false">IF(AND(L168&gt;L_rampe,G169&gt;0),ATAN2(G169,H169),$M$4)</f>
        <v>1.35646828123834</v>
      </c>
      <c r="N169" s="449" t="n">
        <f aca="false">DEGREES(Beta)</f>
        <v>77.7199075583215</v>
      </c>
      <c r="O169" s="438"/>
      <c r="P169" s="452" t="n">
        <f aca="false">MATCH(t-pas/2-T_ini,CdP_t)</f>
        <v>5</v>
      </c>
      <c r="Q169" s="449" t="n">
        <f aca="false">(INDEX(CdP,2,i_P+1)-INDEX(CdP,2,i_P+0))/(INDEX(CdP,1,i_P+1)-INDEX(CdP,1,i_P+0))*(t-pas/2-T_ini-INDEX(CdP,1,i_P+0))+INDEX(CdP,2,i_P+0)</f>
        <v>637.83</v>
      </c>
      <c r="R169" s="450" t="n">
        <f aca="false">Poussee/(g*ISP)</f>
        <v>0.320097159402828</v>
      </c>
      <c r="S169" s="451" t="n">
        <f aca="false">S168-Débit*pas</f>
        <v>9.06583459363477</v>
      </c>
      <c r="T169" s="449" t="n">
        <f aca="false">m*g</f>
        <v>88.9358373635571</v>
      </c>
      <c r="U169" s="453" t="n">
        <f aca="false">IF(pos_xz&lt;L_rampe,Poids*COS(Beta),0)</f>
        <v>0</v>
      </c>
      <c r="V169" s="450" t="n">
        <f aca="false">Rho_moyen*(20000-Alt_rampe-pos_z)/(20000+Alt_rampe+pos_z)</f>
        <v>1.21334757851022</v>
      </c>
      <c r="W169" s="449" t="n">
        <f aca="false">1/2*Rho*Sref*Cx*vit_xz^2</f>
        <v>34.797668536494</v>
      </c>
      <c r="X169" s="438"/>
      <c r="Y169" s="454" t="str">
        <f aca="false">IF(AND(pos_z&lt;=0,K168&gt;0),"Impact balistique","") &amp; IF(AND(H170&lt;0,vit_z&gt;=0),"Apogée","") &amp; IF(AND(Poussee=0,Q168&gt;0),"Fin de propulsion","") &amp; IF(AND(L170&gt;L_rampe,pos_xz&lt;=L_rampe),"Sortie de rampe","")</f>
        <v/>
      </c>
      <c r="Z169" s="455" t="str">
        <f aca="false">IF(ABS(t-T_para)&lt;pas/2,"Para","")</f>
        <v/>
      </c>
      <c r="AA169" s="456" t="str">
        <f aca="false">IF(ABS(t-T_satellite)&lt;pas/2,"Satellite","")</f>
        <v/>
      </c>
      <c r="AB169" s="444"/>
      <c r="AC169" s="452" t="e">
        <f aca="false">IF(ABS(t-ROUND(t,0))&lt;0.001,t,NA())</f>
        <v>#N/A</v>
      </c>
      <c r="AD169" s="457" t="e">
        <f aca="false">IF(ABS(t-ROUND(t,0))&lt;0.001,pos_x,NA())</f>
        <v>#N/A</v>
      </c>
      <c r="AE169" s="458" t="n">
        <f aca="false">IF(t&lt;T_para, pos_z, NA())</f>
        <v>95.5763779739763</v>
      </c>
      <c r="AF169" s="444"/>
      <c r="AG169" s="450" t="n">
        <f aca="false">IF(AND(L168&lt;L_rampe,Poussee&lt;Poids*SIN(M168)),0,(-W168+Poussee)/m-Poids*SIN(M168)/m)</f>
        <v>56.9690884499795</v>
      </c>
      <c r="AH169" s="449" t="n">
        <f aca="false">IF(AND(L168&lt;L_rampe,Poussee&lt;Poids*SIN(M168)), g*SIN(M168), (-W168+Poussee)/m)</f>
        <v>66.5550139165445</v>
      </c>
    </row>
    <row r="170" customFormat="false" ht="12" hidden="false" customHeight="false" outlineLevel="0" collapsed="false">
      <c r="A170" s="448" t="n">
        <f aca="false">IF(B169+0.01&lt;=T_ini+ROUNDUP(Temps_fin_propu,0), 0.01, IF(K169&gt;0, 0.1, 0.0001))</f>
        <v>0.01</v>
      </c>
      <c r="B170" s="449" t="n">
        <f aca="false">B169+pas</f>
        <v>1.66</v>
      </c>
      <c r="C170" s="432"/>
      <c r="D170" s="450" t="n">
        <f aca="false">IF(AND(L169&lt;L_rampe,Poussee&lt;Poids*SIN(M169)),0,(-W169+Poussee)/m*COS(M169)-U169/m*SIN(M169))</f>
        <v>14.1182861861658</v>
      </c>
      <c r="E170" s="451" t="n">
        <f aca="false">IF(AND(L169&lt;L_rampe,Poussee&lt;Poids*SIN(M169)),0,(-W169+Poussee)/m*SIN(M169)+U169/m*COS(M169)-Poids/m)</f>
        <v>55.0505720030514</v>
      </c>
      <c r="F170" s="449" t="n">
        <f aca="false">SQRT(acc_x^2+acc_z^2)</f>
        <v>56.8321342437325</v>
      </c>
      <c r="G170" s="450" t="n">
        <f aca="false">G169+acc_x*pas</f>
        <v>24.2965277700743</v>
      </c>
      <c r="H170" s="451" t="n">
        <f aca="false">H169+acc_z*pas</f>
        <v>111.522153908666</v>
      </c>
      <c r="I170" s="449" t="n">
        <f aca="false">SQRT(vit_x^2+vit_z^2)</f>
        <v>114.13812717103</v>
      </c>
      <c r="J170" s="450" t="n">
        <f aca="false">J169+0.5*(vit_x+G169)*pas*(K169&gt;=0)</f>
        <v>19.7263168629019</v>
      </c>
      <c r="K170" s="451" t="n">
        <f aca="false">K169+0.5*(vit_z+H169)*pas</f>
        <v>96.6888469844628</v>
      </c>
      <c r="L170" s="449" t="n">
        <f aca="false">SQRT(pos_x^2+pos_z^2)</f>
        <v>98.680599451769</v>
      </c>
      <c r="M170" s="450" t="n">
        <f aca="false">IF(AND(L169&gt;L_rampe,G170&gt;0),ATAN2(G170,H170),$M$4)</f>
        <v>1.35628547661743</v>
      </c>
      <c r="N170" s="449" t="n">
        <f aca="false">DEGREES(Beta)</f>
        <v>77.7094336250682</v>
      </c>
      <c r="O170" s="438"/>
      <c r="P170" s="452" t="n">
        <f aca="false">MATCH(t-pas/2-T_ini,CdP_t)</f>
        <v>5</v>
      </c>
      <c r="Q170" s="449" t="n">
        <f aca="false">(INDEX(CdP,2,i_P+1)-INDEX(CdP,2,i_P+0))/(INDEX(CdP,1,i_P+1)-INDEX(CdP,1,i_P+0))*(t-pas/2-T_ini-INDEX(CdP,1,i_P+0))+INDEX(CdP,2,i_P+0)</f>
        <v>636.37</v>
      </c>
      <c r="R170" s="450" t="n">
        <f aca="false">Poussee/(g*ISP)</f>
        <v>0.31936445342674</v>
      </c>
      <c r="S170" s="451" t="n">
        <f aca="false">S169-Débit*pas</f>
        <v>9.0626409491005</v>
      </c>
      <c r="T170" s="449" t="n">
        <f aca="false">m*g</f>
        <v>88.9045077106759</v>
      </c>
      <c r="U170" s="453" t="n">
        <f aca="false">IF(pos_xz&lt;L_rampe,Poids*COS(Beta),0)</f>
        <v>0</v>
      </c>
      <c r="V170" s="450" t="n">
        <f aca="false">Rho_moyen*(20000-Alt_rampe-pos_z)/(20000+Alt_rampe+pos_z)</f>
        <v>1.21321260174173</v>
      </c>
      <c r="W170" s="449" t="n">
        <f aca="false">1/2*Rho*Sref*Cx*vit_xz^2</f>
        <v>35.142660262142</v>
      </c>
      <c r="X170" s="438"/>
      <c r="Y170" s="454" t="str">
        <f aca="false">IF(AND(pos_z&lt;=0,K169&gt;0),"Impact balistique","") &amp; IF(AND(H171&lt;0,vit_z&gt;=0),"Apogée","") &amp; IF(AND(Poussee=0,Q169&gt;0),"Fin de propulsion","") &amp; IF(AND(L171&gt;L_rampe,pos_xz&lt;=L_rampe),"Sortie de rampe","")</f>
        <v/>
      </c>
      <c r="Z170" s="455" t="str">
        <f aca="false">IF(ABS(t-T_para)&lt;pas/2,"Para","")</f>
        <v/>
      </c>
      <c r="AA170" s="456" t="str">
        <f aca="false">IF(ABS(t-T_satellite)&lt;pas/2,"Satellite","")</f>
        <v/>
      </c>
      <c r="AB170" s="444"/>
      <c r="AC170" s="452" t="e">
        <f aca="false">IF(ABS(t-ROUND(t,0))&lt;0.001,t,NA())</f>
        <v>#N/A</v>
      </c>
      <c r="AD170" s="457" t="e">
        <f aca="false">IF(ABS(t-ROUND(t,0))&lt;0.001,pos_x,NA())</f>
        <v>#N/A</v>
      </c>
      <c r="AE170" s="458" t="n">
        <f aca="false">IF(t&lt;T_para, pos_z, NA())</f>
        <v>96.6888469844628</v>
      </c>
      <c r="AF170" s="444"/>
      <c r="AG170" s="450" t="n">
        <f aca="false">IF(AND(L169&lt;L_rampe,Poussee&lt;Poids*SIN(M169)),0,(-W169+Poussee)/m-Poids*SIN(M169)/m)</f>
        <v>56.7938201749585</v>
      </c>
      <c r="AH170" s="449" t="n">
        <f aca="false">IF(AND(L169&lt;L_rampe,Poussee&lt;Poids*SIN(M169)), g*SIN(M169), (-W169+Poussee)/m)</f>
        <v>66.3793627974651</v>
      </c>
    </row>
    <row r="171" customFormat="false" ht="12" hidden="false" customHeight="false" outlineLevel="0" collapsed="false">
      <c r="A171" s="448" t="n">
        <f aca="false">IF(B170+0.01&lt;=T_ini+ROUNDUP(Temps_fin_propu,0), 0.01, IF(K170&gt;0, 0.1, 0.0001))</f>
        <v>0.01</v>
      </c>
      <c r="B171" s="449" t="n">
        <f aca="false">B170+pas</f>
        <v>1.67</v>
      </c>
      <c r="C171" s="432"/>
      <c r="D171" s="450" t="n">
        <f aca="false">IF(AND(L170&lt;L_rampe,Poussee&lt;Poids*SIN(M170)),0,(-W170+Poussee)/m*COS(M170)-U170/m*SIN(M170))</f>
        <v>14.0927007081652</v>
      </c>
      <c r="E171" s="451" t="n">
        <f aca="false">IF(AND(L170&lt;L_rampe,Poussee&lt;Poids*SIN(M170)),0,(-W170+Poussee)/m*SIN(M170)+U170/m*COS(M170)-Poids/m)</f>
        <v>54.876129320114</v>
      </c>
      <c r="F171" s="449" t="n">
        <f aca="false">SQRT(acc_x^2+acc_z^2)</f>
        <v>56.6568070262329</v>
      </c>
      <c r="G171" s="450" t="n">
        <f aca="false">G170+acc_x*pas</f>
        <v>24.437454777156</v>
      </c>
      <c r="H171" s="451" t="n">
        <f aca="false">H170+acc_z*pas</f>
        <v>112.070915201867</v>
      </c>
      <c r="I171" s="449" t="n">
        <f aca="false">SQRT(vit_x^2+vit_z^2)</f>
        <v>114.704312169027</v>
      </c>
      <c r="J171" s="450" t="n">
        <f aca="false">J170+0.5*(vit_x+G170)*pas*(K170&gt;=0)</f>
        <v>19.9699867756381</v>
      </c>
      <c r="K171" s="451" t="n">
        <f aca="false">K170+0.5*(vit_z+H170)*pas</f>
        <v>97.8068123300154</v>
      </c>
      <c r="L171" s="449" t="n">
        <f aca="false">SQRT(pos_x^2+pos_z^2)</f>
        <v>99.8247109185798</v>
      </c>
      <c r="M171" s="450" t="n">
        <f aca="false">IF(AND(L170&gt;L_rampe,G171&gt;0),ATAN2(G171,H171),$M$4)</f>
        <v>1.35610342156528</v>
      </c>
      <c r="N171" s="449" t="n">
        <f aca="false">DEGREES(Beta)</f>
        <v>77.699002638941</v>
      </c>
      <c r="O171" s="438"/>
      <c r="P171" s="452" t="n">
        <f aca="false">MATCH(t-pas/2-T_ini,CdP_t)</f>
        <v>5</v>
      </c>
      <c r="Q171" s="449" t="n">
        <f aca="false">(INDEX(CdP,2,i_P+1)-INDEX(CdP,2,i_P+0))/(INDEX(CdP,1,i_P+1)-INDEX(CdP,1,i_P+0))*(t-pas/2-T_ini-INDEX(CdP,1,i_P+0))+INDEX(CdP,2,i_P+0)</f>
        <v>634.91</v>
      </c>
      <c r="R171" s="450" t="n">
        <f aca="false">Poussee/(g*ISP)</f>
        <v>0.318631747450653</v>
      </c>
      <c r="S171" s="451" t="n">
        <f aca="false">S170-Débit*pas</f>
        <v>9.059454631626</v>
      </c>
      <c r="T171" s="449" t="n">
        <f aca="false">m*g</f>
        <v>88.873249936251</v>
      </c>
      <c r="U171" s="453" t="n">
        <f aca="false">IF(pos_xz&lt;L_rampe,Poids*COS(Beta),0)</f>
        <v>0</v>
      </c>
      <c r="V171" s="450" t="n">
        <f aca="false">Rho_moyen*(20000-Alt_rampe-pos_z)/(20000+Alt_rampe+pos_z)</f>
        <v>1.21307697315204</v>
      </c>
      <c r="W171" s="449" t="n">
        <f aca="false">1/2*Rho*Sref*Cx*vit_xz^2</f>
        <v>35.4882093041855</v>
      </c>
      <c r="X171" s="438"/>
      <c r="Y171" s="454" t="str">
        <f aca="false">IF(AND(pos_z&lt;=0,K170&gt;0),"Impact balistique","") &amp; IF(AND(H172&lt;0,vit_z&gt;=0),"Apogée","") &amp; IF(AND(Poussee=0,Q170&gt;0),"Fin de propulsion","") &amp; IF(AND(L172&gt;L_rampe,pos_xz&lt;=L_rampe),"Sortie de rampe","")</f>
        <v/>
      </c>
      <c r="Z171" s="455" t="str">
        <f aca="false">IF(ABS(t-T_para)&lt;pas/2,"Para","")</f>
        <v/>
      </c>
      <c r="AA171" s="456" t="str">
        <f aca="false">IF(ABS(t-T_satellite)&lt;pas/2,"Satellite","")</f>
        <v/>
      </c>
      <c r="AB171" s="444"/>
      <c r="AC171" s="452" t="e">
        <f aca="false">IF(ABS(t-ROUND(t,0))&lt;0.001,t,NA())</f>
        <v>#N/A</v>
      </c>
      <c r="AD171" s="457" t="e">
        <f aca="false">IF(ABS(t-ROUND(t,0))&lt;0.001,pos_x,NA())</f>
        <v>#N/A</v>
      </c>
      <c r="AE171" s="458" t="n">
        <f aca="false">IF(t&lt;T_para, pos_z, NA())</f>
        <v>97.8068123300154</v>
      </c>
      <c r="AF171" s="444"/>
      <c r="AG171" s="450" t="n">
        <f aca="false">IF(AND(L170&lt;L_rampe,Poussee&lt;Poids*SIN(M170)),0,(-W170+Poussee)/m-Poids*SIN(M170)/m)</f>
        <v>56.6183097115084</v>
      </c>
      <c r="AH171" s="449" t="n">
        <f aca="false">IF(AND(L170&lt;L_rampe,Poussee&lt;Poids*SIN(M170)), g*SIN(M170), (-W170+Poussee)/m)</f>
        <v>66.2034707524344</v>
      </c>
    </row>
    <row r="172" customFormat="false" ht="12" hidden="false" customHeight="false" outlineLevel="0" collapsed="false">
      <c r="A172" s="448" t="n">
        <f aca="false">IF(B171+0.01&lt;=T_ini+ROUNDUP(Temps_fin_propu,0), 0.01, IF(K171&gt;0, 0.1, 0.0001))</f>
        <v>0.01</v>
      </c>
      <c r="B172" s="449" t="n">
        <f aca="false">B171+pas</f>
        <v>1.68</v>
      </c>
      <c r="C172" s="432"/>
      <c r="D172" s="450" t="n">
        <f aca="false">IF(AND(L171&lt;L_rampe,Poussee&lt;Poids*SIN(M171)),0,(-W171+Poussee)/m*COS(M171)-U171/m*SIN(M171))</f>
        <v>14.0669527087011</v>
      </c>
      <c r="E172" s="451" t="n">
        <f aca="false">IF(AND(L171&lt;L_rampe,Poussee&lt;Poids*SIN(M171)),0,(-W171+Poussee)/m*SIN(M171)+U171/m*COS(M171)-Poids/m)</f>
        <v>54.7014754601702</v>
      </c>
      <c r="F172" s="449" t="n">
        <f aca="false">SQRT(acc_x^2+acc_z^2)</f>
        <v>56.4812409214637</v>
      </c>
      <c r="G172" s="450" t="n">
        <f aca="false">G171+acc_x*pas</f>
        <v>24.578124304243</v>
      </c>
      <c r="H172" s="451" t="n">
        <f aca="false">H171+acc_z*pas</f>
        <v>112.617929956469</v>
      </c>
      <c r="I172" s="449" t="n">
        <f aca="false">SQRT(vit_x^2+vit_z^2)</f>
        <v>115.268739656487</v>
      </c>
      <c r="J172" s="450" t="n">
        <f aca="false">J171+0.5*(vit_x+G171)*pas*(K171&gt;=0)</f>
        <v>20.2150646710451</v>
      </c>
      <c r="K172" s="451" t="n">
        <f aca="false">K171+0.5*(vit_z+H171)*pas</f>
        <v>98.9302565558071</v>
      </c>
      <c r="L172" s="449" t="n">
        <f aca="false">SQRT(pos_x^2+pos_z^2)</f>
        <v>100.974474506443</v>
      </c>
      <c r="M172" s="450" t="n">
        <f aca="false">IF(AND(L171&gt;L_rampe,G172&gt;0),ATAN2(G172,H172),$M$4)</f>
        <v>1.35592210658328</v>
      </c>
      <c r="N172" s="449" t="n">
        <f aca="false">DEGREES(Beta)</f>
        <v>77.6886140557097</v>
      </c>
      <c r="O172" s="438"/>
      <c r="P172" s="452" t="n">
        <f aca="false">MATCH(t-pas/2-T_ini,CdP_t)</f>
        <v>5</v>
      </c>
      <c r="Q172" s="449" t="n">
        <f aca="false">(INDEX(CdP,2,i_P+1)-INDEX(CdP,2,i_P+0))/(INDEX(CdP,1,i_P+1)-INDEX(CdP,1,i_P+0))*(t-pas/2-T_ini-INDEX(CdP,1,i_P+0))+INDEX(CdP,2,i_P+0)</f>
        <v>633.45</v>
      </c>
      <c r="R172" s="450" t="n">
        <f aca="false">Poussee/(g*ISP)</f>
        <v>0.317899041474565</v>
      </c>
      <c r="S172" s="451" t="n">
        <f aca="false">S171-Débit*pas</f>
        <v>9.05627564121125</v>
      </c>
      <c r="T172" s="449" t="n">
        <f aca="false">m*g</f>
        <v>88.8420640402824</v>
      </c>
      <c r="U172" s="453" t="n">
        <f aca="false">IF(pos_xz&lt;L_rampe,Poids*COS(Beta),0)</f>
        <v>0</v>
      </c>
      <c r="V172" s="450" t="n">
        <f aca="false">Rho_moyen*(20000-Alt_rampe-pos_z)/(20000+Alt_rampe+pos_z)</f>
        <v>1.2129406950784</v>
      </c>
      <c r="W172" s="449" t="n">
        <f aca="false">1/2*Rho*Sref*Cx*vit_xz^2</f>
        <v>35.8342973768051</v>
      </c>
      <c r="X172" s="438"/>
      <c r="Y172" s="454" t="str">
        <f aca="false">IF(AND(pos_z&lt;=0,K171&gt;0),"Impact balistique","") &amp; IF(AND(H173&lt;0,vit_z&gt;=0),"Apogée","") &amp; IF(AND(Poussee=0,Q171&gt;0),"Fin de propulsion","") &amp; IF(AND(L173&gt;L_rampe,pos_xz&lt;=L_rampe),"Sortie de rampe","")</f>
        <v/>
      </c>
      <c r="Z172" s="455" t="str">
        <f aca="false">IF(ABS(t-T_para)&lt;pas/2,"Para","")</f>
        <v/>
      </c>
      <c r="AA172" s="456" t="str">
        <f aca="false">IF(ABS(t-T_satellite)&lt;pas/2,"Satellite","")</f>
        <v/>
      </c>
      <c r="AB172" s="444"/>
      <c r="AC172" s="452" t="e">
        <f aca="false">IF(ABS(t-ROUND(t,0))&lt;0.001,t,NA())</f>
        <v>#N/A</v>
      </c>
      <c r="AD172" s="457" t="e">
        <f aca="false">IF(ABS(t-ROUND(t,0))&lt;0.001,pos_x,NA())</f>
        <v>#N/A</v>
      </c>
      <c r="AE172" s="458" t="n">
        <f aca="false">IF(t&lt;T_para, pos_z, NA())</f>
        <v>98.9302565558071</v>
      </c>
      <c r="AF172" s="444"/>
      <c r="AG172" s="450" t="n">
        <f aca="false">IF(AND(L171&lt;L_rampe,Poussee&lt;Poids*SIN(M171)),0,(-W171+Poussee)/m-Poids*SIN(M171)/m)</f>
        <v>56.4425592722678</v>
      </c>
      <c r="AH172" s="449" t="n">
        <f aca="false">IF(AND(L171&lt;L_rampe,Poussee&lt;Poids*SIN(M171)), g*SIN(M171), (-W171+Poussee)/m)</f>
        <v>66.0273399778983</v>
      </c>
    </row>
    <row r="173" customFormat="false" ht="12" hidden="false" customHeight="false" outlineLevel="0" collapsed="false">
      <c r="A173" s="448" t="n">
        <f aca="false">IF(B172+0.01&lt;=T_ini+ROUNDUP(Temps_fin_propu,0), 0.01, IF(K172&gt;0, 0.1, 0.0001))</f>
        <v>0.01</v>
      </c>
      <c r="B173" s="449" t="n">
        <f aca="false">B172+pas</f>
        <v>1.69</v>
      </c>
      <c r="C173" s="432"/>
      <c r="D173" s="450" t="n">
        <f aca="false">IF(AND(L172&lt;L_rampe,Poussee&lt;Poids*SIN(M172)),0,(-W172+Poussee)/m*COS(M172)-U172/m*SIN(M172))</f>
        <v>14.0410435358134</v>
      </c>
      <c r="E173" s="451" t="n">
        <f aca="false">IF(AND(L172&lt;L_rampe,Poussee&lt;Poids*SIN(M172)),0,(-W172+Poussee)/m*SIN(M172)+U172/m*COS(M172)-Poids/m)</f>
        <v>54.5266124224128</v>
      </c>
      <c r="F173" s="449" t="n">
        <f aca="false">SQRT(acc_x^2+acc_z^2)</f>
        <v>56.3054381551075</v>
      </c>
      <c r="G173" s="450" t="n">
        <f aca="false">G172+acc_x*pas</f>
        <v>24.7185347396011</v>
      </c>
      <c r="H173" s="451" t="n">
        <f aca="false">H172+acc_z*pas</f>
        <v>113.163196080693</v>
      </c>
      <c r="I173" s="449" t="n">
        <f aca="false">SQRT(vit_x^2+vit_z^2)</f>
        <v>115.831407255849</v>
      </c>
      <c r="J173" s="450" t="n">
        <f aca="false">J172+0.5*(vit_x+G172)*pas*(K172&gt;=0)</f>
        <v>20.4615479662643</v>
      </c>
      <c r="K173" s="451" t="n">
        <f aca="false">K172+0.5*(vit_z+H172)*pas</f>
        <v>100.059162185993</v>
      </c>
      <c r="L173" s="449" t="n">
        <f aca="false">SQRT(pos_x^2+pos_z^2)</f>
        <v>102.129872625685</v>
      </c>
      <c r="M173" s="450" t="n">
        <f aca="false">IF(AND(L172&gt;L_rampe,G173&gt;0),ATAN2(G173,H173),$M$4)</f>
        <v>1.35574152233371</v>
      </c>
      <c r="N173" s="449" t="n">
        <f aca="false">DEGREES(Beta)</f>
        <v>77.678267340363</v>
      </c>
      <c r="O173" s="438"/>
      <c r="P173" s="452" t="n">
        <f aca="false">MATCH(t-pas/2-T_ini,CdP_t)</f>
        <v>5</v>
      </c>
      <c r="Q173" s="449" t="n">
        <f aca="false">(INDEX(CdP,2,i_P+1)-INDEX(CdP,2,i_P+0))/(INDEX(CdP,1,i_P+1)-INDEX(CdP,1,i_P+0))*(t-pas/2-T_ini-INDEX(CdP,1,i_P+0))+INDEX(CdP,2,i_P+0)</f>
        <v>631.99</v>
      </c>
      <c r="R173" s="450" t="n">
        <f aca="false">Poussee/(g*ISP)</f>
        <v>0.317166335498477</v>
      </c>
      <c r="S173" s="451" t="n">
        <f aca="false">S172-Débit*pas</f>
        <v>9.05310397785627</v>
      </c>
      <c r="T173" s="449" t="n">
        <f aca="false">m*g</f>
        <v>88.81095002277</v>
      </c>
      <c r="U173" s="453" t="n">
        <f aca="false">IF(pos_xz&lt;L_rampe,Poids*COS(Beta),0)</f>
        <v>0</v>
      </c>
      <c r="V173" s="450" t="n">
        <f aca="false">Rho_moyen*(20000-Alt_rampe-pos_z)/(20000+Alt_rampe+pos_z)</f>
        <v>1.21280376986069</v>
      </c>
      <c r="W173" s="449" t="n">
        <f aca="false">1/2*Rho*Sref*Cx*vit_xz^2</f>
        <v>36.1809062373186</v>
      </c>
      <c r="X173" s="438"/>
      <c r="Y173" s="454" t="str">
        <f aca="false">IF(AND(pos_z&lt;=0,K172&gt;0),"Impact balistique","") &amp; IF(AND(H174&lt;0,vit_z&gt;=0),"Apogée","") &amp; IF(AND(Poussee=0,Q172&gt;0),"Fin de propulsion","") &amp; IF(AND(L174&gt;L_rampe,pos_xz&lt;=L_rampe),"Sortie de rampe","")</f>
        <v/>
      </c>
      <c r="Z173" s="455" t="str">
        <f aca="false">IF(ABS(t-T_para)&lt;pas/2,"Para","")</f>
        <v/>
      </c>
      <c r="AA173" s="456" t="str">
        <f aca="false">IF(ABS(t-T_satellite)&lt;pas/2,"Satellite","")</f>
        <v/>
      </c>
      <c r="AB173" s="444"/>
      <c r="AC173" s="452" t="e">
        <f aca="false">IF(ABS(t-ROUND(t,0))&lt;0.001,t,NA())</f>
        <v>#N/A</v>
      </c>
      <c r="AD173" s="457" t="e">
        <f aca="false">IF(ABS(t-ROUND(t,0))&lt;0.001,pos_x,NA())</f>
        <v>#N/A</v>
      </c>
      <c r="AE173" s="458" t="n">
        <f aca="false">IF(t&lt;T_para, pos_z, NA())</f>
        <v>100.059162185993</v>
      </c>
      <c r="AF173" s="444"/>
      <c r="AG173" s="450" t="n">
        <f aca="false">IF(AND(L172&lt;L_rampe,Poussee&lt;Poids*SIN(M172)),0,(-W172+Poussee)/m-Poids*SIN(M172)/m)</f>
        <v>56.2665710691695</v>
      </c>
      <c r="AH173" s="449" t="n">
        <f aca="false">IF(AND(L172&lt;L_rampe,Poussee&lt;Poids*SIN(M172)), g*SIN(M172), (-W172+Poussee)/m)</f>
        <v>65.8509726698579</v>
      </c>
    </row>
    <row r="174" customFormat="false" ht="12" hidden="false" customHeight="false" outlineLevel="0" collapsed="false">
      <c r="A174" s="448" t="n">
        <f aca="false">IF(B173+0.01&lt;=T_ini+ROUNDUP(Temps_fin_propu,0), 0.01, IF(K173&gt;0, 0.1, 0.0001))</f>
        <v>0.01</v>
      </c>
      <c r="B174" s="449" t="n">
        <f aca="false">B173+pas</f>
        <v>1.7</v>
      </c>
      <c r="C174" s="432"/>
      <c r="D174" s="450" t="n">
        <f aca="false">IF(AND(L173&lt;L_rampe,Poussee&lt;Poids*SIN(M173)),0,(-W173+Poussee)/m*COS(M173)-U173/m*SIN(M173))</f>
        <v>14.0149745229894</v>
      </c>
      <c r="E174" s="451" t="n">
        <f aca="false">IF(AND(L173&lt;L_rampe,Poussee&lt;Poids*SIN(M173)),0,(-W173+Poussee)/m*SIN(M173)+U173/m*COS(M173)-Poids/m)</f>
        <v>54.3515422078435</v>
      </c>
      <c r="F174" s="449" t="n">
        <f aca="false">SQRT(acc_x^2+acc_z^2)</f>
        <v>56.129400952184</v>
      </c>
      <c r="G174" s="450" t="n">
        <f aca="false">G173+acc_x*pas</f>
        <v>24.858684484831</v>
      </c>
      <c r="H174" s="451" t="n">
        <f aca="false">H173+acc_z*pas</f>
        <v>113.706711502771</v>
      </c>
      <c r="I174" s="449" t="n">
        <f aca="false">SQRT(vit_x^2+vit_z^2)</f>
        <v>116.392312611662</v>
      </c>
      <c r="J174" s="450" t="n">
        <f aca="false">J173+0.5*(vit_x+G173)*pas*(K173&gt;=0)</f>
        <v>20.7094340623865</v>
      </c>
      <c r="K174" s="451" t="n">
        <f aca="false">K173+0.5*(vit_z+H173)*pas</f>
        <v>101.19351172391</v>
      </c>
      <c r="L174" s="449" t="n">
        <f aca="false">SQRT(pos_x^2+pos_z^2)</f>
        <v>103.290887662956</v>
      </c>
      <c r="M174" s="450" t="n">
        <f aca="false">IF(AND(L173&gt;L_rampe,G174&gt;0),ATAN2(G174,H174),$M$4)</f>
        <v>1.35556165963605</v>
      </c>
      <c r="N174" s="449" t="n">
        <f aca="false">DEGREES(Beta)</f>
        <v>77.6679619668953</v>
      </c>
      <c r="O174" s="438"/>
      <c r="P174" s="452" t="n">
        <f aca="false">MATCH(t-pas/2-T_ini,CdP_t)</f>
        <v>5</v>
      </c>
      <c r="Q174" s="449" t="n">
        <f aca="false">(INDEX(CdP,2,i_P+1)-INDEX(CdP,2,i_P+0))/(INDEX(CdP,1,i_P+1)-INDEX(CdP,1,i_P+0))*(t-pas/2-T_ini-INDEX(CdP,1,i_P+0))+INDEX(CdP,2,i_P+0)</f>
        <v>630.53</v>
      </c>
      <c r="R174" s="450" t="n">
        <f aca="false">Poussee/(g*ISP)</f>
        <v>0.316433629522389</v>
      </c>
      <c r="S174" s="451" t="n">
        <f aca="false">S173-Débit*pas</f>
        <v>9.04993964156104</v>
      </c>
      <c r="T174" s="449" t="n">
        <f aca="false">m*g</f>
        <v>88.7799078837138</v>
      </c>
      <c r="U174" s="453" t="n">
        <f aca="false">IF(pos_xz&lt;L_rampe,Poids*COS(Beta),0)</f>
        <v>0</v>
      </c>
      <c r="V174" s="450" t="n">
        <f aca="false">Rho_moyen*(20000-Alt_rampe-pos_z)/(20000+Alt_rampe+pos_z)</f>
        <v>1.21266619984137</v>
      </c>
      <c r="W174" s="449" t="n">
        <f aca="false">1/2*Rho*Sref*Cx*vit_xz^2</f>
        <v>36.5280176868276</v>
      </c>
      <c r="X174" s="438"/>
      <c r="Y174" s="454" t="str">
        <f aca="false">IF(AND(pos_z&lt;=0,K173&gt;0),"Impact balistique","") &amp; IF(AND(H175&lt;0,vit_z&gt;=0),"Apogée","") &amp; IF(AND(Poussee=0,Q173&gt;0),"Fin de propulsion","") &amp; IF(AND(L175&gt;L_rampe,pos_xz&lt;=L_rampe),"Sortie de rampe","")</f>
        <v/>
      </c>
      <c r="Z174" s="455" t="str">
        <f aca="false">IF(ABS(t-T_para)&lt;pas/2,"Para","")</f>
        <v/>
      </c>
      <c r="AA174" s="456" t="str">
        <f aca="false">IF(ABS(t-T_satellite)&lt;pas/2,"Satellite","")</f>
        <v/>
      </c>
      <c r="AB174" s="444"/>
      <c r="AC174" s="452" t="e">
        <f aca="false">IF(ABS(t-ROUND(t,0))&lt;0.001,t,NA())</f>
        <v>#N/A</v>
      </c>
      <c r="AD174" s="457" t="e">
        <f aca="false">IF(ABS(t-ROUND(t,0))&lt;0.001,pos_x,NA())</f>
        <v>#N/A</v>
      </c>
      <c r="AE174" s="458" t="n">
        <f aca="false">IF(t&lt;T_para, pos_z, NA())</f>
        <v>101.19351172391</v>
      </c>
      <c r="AF174" s="444"/>
      <c r="AG174" s="450" t="n">
        <f aca="false">IF(AND(L173&lt;L_rampe,Poussee&lt;Poids*SIN(M173)),0,(-W173+Poussee)/m-Poids*SIN(M173)/m)</f>
        <v>56.0903473133565</v>
      </c>
      <c r="AH174" s="449" t="n">
        <f aca="false">IF(AND(L173&lt;L_rampe,Poussee&lt;Poids*SIN(M173)), g*SIN(M173), (-W173+Poussee)/m)</f>
        <v>65.6743710237785</v>
      </c>
    </row>
    <row r="175" customFormat="false" ht="12" hidden="false" customHeight="false" outlineLevel="0" collapsed="false">
      <c r="A175" s="448" t="n">
        <f aca="false">IF(B174+0.01&lt;=T_ini+ROUNDUP(Temps_fin_propu,0), 0.01, IF(K174&gt;0, 0.1, 0.0001))</f>
        <v>0.01</v>
      </c>
      <c r="B175" s="449" t="n">
        <f aca="false">B174+pas</f>
        <v>1.71</v>
      </c>
      <c r="C175" s="432"/>
      <c r="D175" s="450" t="n">
        <f aca="false">IF(AND(L174&lt;L_rampe,Poussee&lt;Poids*SIN(M174)),0,(-W174+Poussee)/m*COS(M174)-U174/m*SIN(M174))</f>
        <v>13.9887469894878</v>
      </c>
      <c r="E175" s="451" t="n">
        <f aca="false">IF(AND(L174&lt;L_rampe,Poussee&lt;Poids*SIN(M174)),0,(-W174+Poussee)/m*SIN(M174)+U174/m*COS(M174)-Poids/m)</f>
        <v>54.1762668191293</v>
      </c>
      <c r="F175" s="449" t="n">
        <f aca="false">SQRT(acc_x^2+acc_z^2)</f>
        <v>55.9531315369693</v>
      </c>
      <c r="G175" s="450" t="n">
        <f aca="false">G174+acc_x*pas</f>
        <v>24.9985719547259</v>
      </c>
      <c r="H175" s="451" t="n">
        <f aca="false">H174+acc_z*pas</f>
        <v>114.248474170963</v>
      </c>
      <c r="I175" s="449" t="n">
        <f aca="false">SQRT(vit_x^2+vit_z^2)</f>
        <v>116.951453390579</v>
      </c>
      <c r="J175" s="450" t="n">
        <f aca="false">J174+0.5*(vit_x+G174)*pas*(K174&gt;=0)</f>
        <v>20.9587203445843</v>
      </c>
      <c r="K175" s="451" t="n">
        <f aca="false">K174+0.5*(vit_z+H174)*pas</f>
        <v>102.333287652279</v>
      </c>
      <c r="L175" s="449" t="n">
        <f aca="false">SQRT(pos_x^2+pos_z^2)</f>
        <v>104.457501981459</v>
      </c>
      <c r="M175" s="450" t="n">
        <f aca="false">IF(AND(L174&gt;L_rampe,G175&gt;0),ATAN2(G175,H175),$M$4)</f>
        <v>1.35538250946331</v>
      </c>
      <c r="N175" s="449" t="n">
        <f aca="false">DEGREES(Beta)</f>
        <v>77.6576974180982</v>
      </c>
      <c r="O175" s="438"/>
      <c r="P175" s="452" t="n">
        <f aca="false">MATCH(t-pas/2-T_ini,CdP_t)</f>
        <v>5</v>
      </c>
      <c r="Q175" s="449" t="n">
        <f aca="false">(INDEX(CdP,2,i_P+1)-INDEX(CdP,2,i_P+0))/(INDEX(CdP,1,i_P+1)-INDEX(CdP,1,i_P+0))*(t-pas/2-T_ini-INDEX(CdP,1,i_P+0))+INDEX(CdP,2,i_P+0)</f>
        <v>629.07</v>
      </c>
      <c r="R175" s="450" t="n">
        <f aca="false">Poussee/(g*ISP)</f>
        <v>0.315700923546301</v>
      </c>
      <c r="S175" s="451" t="n">
        <f aca="false">S174-Débit*pas</f>
        <v>9.04678263232558</v>
      </c>
      <c r="T175" s="449" t="n">
        <f aca="false">m*g</f>
        <v>88.7489376231139</v>
      </c>
      <c r="U175" s="453" t="n">
        <f aca="false">IF(pos_xz&lt;L_rampe,Poids*COS(Beta),0)</f>
        <v>0</v>
      </c>
      <c r="V175" s="450" t="n">
        <f aca="false">Rho_moyen*(20000-Alt_rampe-pos_z)/(20000+Alt_rampe+pos_z)</f>
        <v>1.21252798736542</v>
      </c>
      <c r="W175" s="449" t="n">
        <f aca="false">1/2*Rho*Sref*Cx*vit_xz^2</f>
        <v>36.8756135708585</v>
      </c>
      <c r="X175" s="438"/>
      <c r="Y175" s="454" t="str">
        <f aca="false">IF(AND(pos_z&lt;=0,K174&gt;0),"Impact balistique","") &amp; IF(AND(H176&lt;0,vit_z&gt;=0),"Apogée","") &amp; IF(AND(Poussee=0,Q174&gt;0),"Fin de propulsion","") &amp; IF(AND(L176&gt;L_rampe,pos_xz&lt;=L_rampe),"Sortie de rampe","")</f>
        <v/>
      </c>
      <c r="Z175" s="455" t="str">
        <f aca="false">IF(ABS(t-T_para)&lt;pas/2,"Para","")</f>
        <v/>
      </c>
      <c r="AA175" s="456" t="str">
        <f aca="false">IF(ABS(t-T_satellite)&lt;pas/2,"Satellite","")</f>
        <v/>
      </c>
      <c r="AB175" s="444"/>
      <c r="AC175" s="452" t="e">
        <f aca="false">IF(ABS(t-ROUND(t,0))&lt;0.001,t,NA())</f>
        <v>#N/A</v>
      </c>
      <c r="AD175" s="457" t="e">
        <f aca="false">IF(ABS(t-ROUND(t,0))&lt;0.001,pos_x,NA())</f>
        <v>#N/A</v>
      </c>
      <c r="AE175" s="458" t="n">
        <f aca="false">IF(t&lt;T_para, pos_z, NA())</f>
        <v>102.333287652279</v>
      </c>
      <c r="AF175" s="444"/>
      <c r="AG175" s="450" t="n">
        <f aca="false">IF(AND(L174&lt;L_rampe,Poussee&lt;Poids*SIN(M174)),0,(-W174+Poussee)/m-Poids*SIN(M174)/m)</f>
        <v>55.9138902150969</v>
      </c>
      <c r="AH175" s="449" t="n">
        <f aca="false">IF(AND(L174&lt;L_rampe,Poussee&lt;Poids*SIN(M174)), g*SIN(M174), (-W174+Poussee)/m)</f>
        <v>65.4975372345</v>
      </c>
    </row>
    <row r="176" customFormat="false" ht="12" hidden="false" customHeight="false" outlineLevel="0" collapsed="false">
      <c r="A176" s="448" t="n">
        <f aca="false">IF(B175+0.01&lt;=T_ini+ROUNDUP(Temps_fin_propu,0), 0.01, IF(K175&gt;0, 0.1, 0.0001))</f>
        <v>0.01</v>
      </c>
      <c r="B176" s="449" t="n">
        <f aca="false">B175+pas</f>
        <v>1.72</v>
      </c>
      <c r="C176" s="432"/>
      <c r="D176" s="450" t="n">
        <f aca="false">IF(AND(L175&lt;L_rampe,Poussee&lt;Poids*SIN(M175)),0,(-W175+Poussee)/m*COS(M175)-U175/m*SIN(M175))</f>
        <v>13.9623622406536</v>
      </c>
      <c r="E176" s="451" t="n">
        <f aca="false">IF(AND(L175&lt;L_rampe,Poussee&lt;Poids*SIN(M175)),0,(-W175+Poussee)/m*SIN(M175)+U175/m*COS(M175)-Poids/m)</f>
        <v>54.0007882604622</v>
      </c>
      <c r="F176" s="449" t="n">
        <f aca="false">SQRT(acc_x^2+acc_z^2)</f>
        <v>55.7766321329148</v>
      </c>
      <c r="G176" s="450" t="n">
        <f aca="false">G175+acc_x*pas</f>
        <v>25.1381955771324</v>
      </c>
      <c r="H176" s="451" t="n">
        <f aca="false">H175+acc_z*pas</f>
        <v>114.788482053567</v>
      </c>
      <c r="I176" s="449" t="n">
        <f aca="false">SQRT(vit_x^2+vit_z^2)</f>
        <v>117.508827281342</v>
      </c>
      <c r="J176" s="450" t="n">
        <f aca="false">J175+0.5*(vit_x+G175)*pas*(K175&gt;=0)</f>
        <v>21.2094041822436</v>
      </c>
      <c r="K176" s="451" t="n">
        <f aca="false">K175+0.5*(vit_z+H175)*pas</f>
        <v>103.478472433402</v>
      </c>
      <c r="L176" s="449" t="n">
        <f aca="false">SQRT(pos_x^2+pos_z^2)</f>
        <v>105.629697921162</v>
      </c>
      <c r="M176" s="450" t="n">
        <f aca="false">IF(AND(L175&gt;L_rampe,G176&gt;0),ATAN2(G176,H176),$M$4)</f>
        <v>1.35520406293852</v>
      </c>
      <c r="N176" s="449" t="n">
        <f aca="false">DEGREES(Beta)</f>
        <v>77.647473185359</v>
      </c>
      <c r="O176" s="438"/>
      <c r="P176" s="452" t="n">
        <f aca="false">MATCH(t-pas/2-T_ini,CdP_t)</f>
        <v>5</v>
      </c>
      <c r="Q176" s="449" t="n">
        <f aca="false">(INDEX(CdP,2,i_P+1)-INDEX(CdP,2,i_P+0))/(INDEX(CdP,1,i_P+1)-INDEX(CdP,1,i_P+0))*(t-pas/2-T_ini-INDEX(CdP,1,i_P+0))+INDEX(CdP,2,i_P+0)</f>
        <v>627.61</v>
      </c>
      <c r="R176" s="450" t="n">
        <f aca="false">Poussee/(g*ISP)</f>
        <v>0.314968217570213</v>
      </c>
      <c r="S176" s="451" t="n">
        <f aca="false">S175-Débit*pas</f>
        <v>9.04363295014988</v>
      </c>
      <c r="T176" s="449" t="n">
        <f aca="false">m*g</f>
        <v>88.7180392409703</v>
      </c>
      <c r="U176" s="453" t="n">
        <f aca="false">IF(pos_xz&lt;L_rampe,Poids*COS(Beta),0)</f>
        <v>0</v>
      </c>
      <c r="V176" s="450" t="n">
        <f aca="false">Rho_moyen*(20000-Alt_rampe-pos_z)/(20000+Alt_rampe+pos_z)</f>
        <v>1.21238913478036</v>
      </c>
      <c r="W176" s="449" t="n">
        <f aca="false">1/2*Rho*Sref*Cx*vit_xz^2</f>
        <v>37.2236757799992</v>
      </c>
      <c r="X176" s="438"/>
      <c r="Y176" s="454" t="str">
        <f aca="false">IF(AND(pos_z&lt;=0,K175&gt;0),"Impact balistique","") &amp; IF(AND(H177&lt;0,vit_z&gt;=0),"Apogée","") &amp; IF(AND(Poussee=0,Q175&gt;0),"Fin de propulsion","") &amp; IF(AND(L177&gt;L_rampe,pos_xz&lt;=L_rampe),"Sortie de rampe","")</f>
        <v/>
      </c>
      <c r="Z176" s="455" t="str">
        <f aca="false">IF(ABS(t-T_para)&lt;pas/2,"Para","")</f>
        <v/>
      </c>
      <c r="AA176" s="456" t="str">
        <f aca="false">IF(ABS(t-T_satellite)&lt;pas/2,"Satellite","")</f>
        <v/>
      </c>
      <c r="AB176" s="444"/>
      <c r="AC176" s="452" t="e">
        <f aca="false">IF(ABS(t-ROUND(t,0))&lt;0.001,t,NA())</f>
        <v>#N/A</v>
      </c>
      <c r="AD176" s="457" t="e">
        <f aca="false">IF(ABS(t-ROUND(t,0))&lt;0.001,pos_x,NA())</f>
        <v>#N/A</v>
      </c>
      <c r="AE176" s="458" t="n">
        <f aca="false">IF(t&lt;T_para, pos_z, NA())</f>
        <v>103.478472433402</v>
      </c>
      <c r="AF176" s="444"/>
      <c r="AG176" s="450" t="n">
        <f aca="false">IF(AND(L175&lt;L_rampe,Poussee&lt;Poids*SIN(M175)),0,(-W175+Poussee)/m-Poids*SIN(M175)/m)</f>
        <v>55.7372019837</v>
      </c>
      <c r="AH176" s="449" t="n">
        <f aca="false">IF(AND(L175&lt;L_rampe,Poussee&lt;Poids*SIN(M175)), g*SIN(M175), (-W175+Poussee)/m)</f>
        <v>65.3204734961464</v>
      </c>
    </row>
    <row r="177" customFormat="false" ht="12" hidden="false" customHeight="false" outlineLevel="0" collapsed="false">
      <c r="A177" s="448" t="n">
        <f aca="false">IF(B176+0.01&lt;=T_ini+ROUNDUP(Temps_fin_propu,0), 0.01, IF(K176&gt;0, 0.1, 0.0001))</f>
        <v>0.01</v>
      </c>
      <c r="B177" s="449" t="n">
        <f aca="false">B176+pas</f>
        <v>1.73</v>
      </c>
      <c r="C177" s="432"/>
      <c r="D177" s="450" t="n">
        <f aca="false">IF(AND(L176&lt;L_rampe,Poussee&lt;Poids*SIN(M176)),0,(-W176+Poussee)/m*COS(M176)-U176/m*SIN(M176))</f>
        <v>13.9358215682232</v>
      </c>
      <c r="E177" s="451" t="n">
        <f aca="false">IF(AND(L176&lt;L_rampe,Poussee&lt;Poids*SIN(M176)),0,(-W176+Poussee)/m*SIN(M176)+U176/m*COS(M176)-Poids/m)</f>
        <v>53.8251085374196</v>
      </c>
      <c r="F177" s="449" t="n">
        <f aca="false">SQRT(acc_x^2+acc_z^2)</f>
        <v>55.5999049625659</v>
      </c>
      <c r="G177" s="450" t="n">
        <f aca="false">G176+acc_x*pas</f>
        <v>25.2775537928146</v>
      </c>
      <c r="H177" s="451" t="n">
        <f aca="false">H176+acc_z*pas</f>
        <v>115.326733138942</v>
      </c>
      <c r="I177" s="449" t="n">
        <f aca="false">SQRT(vit_x^2+vit_z^2)</f>
        <v>118.064431994777</v>
      </c>
      <c r="J177" s="450" t="n">
        <f aca="false">J176+0.5*(vit_x+G176)*pas*(K176&gt;=0)</f>
        <v>21.4614829290933</v>
      </c>
      <c r="K177" s="451" t="n">
        <f aca="false">K176+0.5*(vit_z+H176)*pas</f>
        <v>104.629048509364</v>
      </c>
      <c r="L177" s="449" t="n">
        <f aca="false">SQRT(pos_x^2+pos_z^2)</f>
        <v>106.807457799026</v>
      </c>
      <c r="M177" s="450" t="n">
        <f aca="false">IF(AND(L176&gt;L_rampe,G177&gt;0),ATAN2(G177,H177),$M$4)</f>
        <v>1.35502631133132</v>
      </c>
      <c r="N177" s="449" t="n">
        <f aca="false">DEGREES(Beta)</f>
        <v>77.6372887684646</v>
      </c>
      <c r="O177" s="438"/>
      <c r="P177" s="452" t="n">
        <f aca="false">MATCH(t-pas/2-T_ini,CdP_t)</f>
        <v>5</v>
      </c>
      <c r="Q177" s="449" t="n">
        <f aca="false">(INDEX(CdP,2,i_P+1)-INDEX(CdP,2,i_P+0))/(INDEX(CdP,1,i_P+1)-INDEX(CdP,1,i_P+0))*(t-pas/2-T_ini-INDEX(CdP,1,i_P+0))+INDEX(CdP,2,i_P+0)</f>
        <v>626.15</v>
      </c>
      <c r="R177" s="450" t="n">
        <f aca="false">Poussee/(g*ISP)</f>
        <v>0.314235511594125</v>
      </c>
      <c r="S177" s="451" t="n">
        <f aca="false">S176-Débit*pas</f>
        <v>9.04049059503394</v>
      </c>
      <c r="T177" s="449" t="n">
        <f aca="false">m*g</f>
        <v>88.6872127372829</v>
      </c>
      <c r="U177" s="453" t="n">
        <f aca="false">IF(pos_xz&lt;L_rampe,Poids*COS(Beta),0)</f>
        <v>0</v>
      </c>
      <c r="V177" s="450" t="n">
        <f aca="false">Rho_moyen*(20000-Alt_rampe-pos_z)/(20000+Alt_rampe+pos_z)</f>
        <v>1.21224964443614</v>
      </c>
      <c r="W177" s="449" t="n">
        <f aca="false">1/2*Rho*Sref*Cx*vit_xz^2</f>
        <v>37.5721862505304</v>
      </c>
      <c r="X177" s="438"/>
      <c r="Y177" s="454" t="str">
        <f aca="false">IF(AND(pos_z&lt;=0,K176&gt;0),"Impact balistique","") &amp; IF(AND(H178&lt;0,vit_z&gt;=0),"Apogée","") &amp; IF(AND(Poussee=0,Q176&gt;0),"Fin de propulsion","") &amp; IF(AND(L178&gt;L_rampe,pos_xz&lt;=L_rampe),"Sortie de rampe","")</f>
        <v/>
      </c>
      <c r="Z177" s="455" t="str">
        <f aca="false">IF(ABS(t-T_para)&lt;pas/2,"Para","")</f>
        <v/>
      </c>
      <c r="AA177" s="456" t="str">
        <f aca="false">IF(ABS(t-T_satellite)&lt;pas/2,"Satellite","")</f>
        <v/>
      </c>
      <c r="AB177" s="444"/>
      <c r="AC177" s="452" t="e">
        <f aca="false">IF(ABS(t-ROUND(t,0))&lt;0.001,t,NA())</f>
        <v>#N/A</v>
      </c>
      <c r="AD177" s="457" t="e">
        <f aca="false">IF(ABS(t-ROUND(t,0))&lt;0.001,pos_x,NA())</f>
        <v>#N/A</v>
      </c>
      <c r="AE177" s="458" t="n">
        <f aca="false">IF(t&lt;T_para, pos_z, NA())</f>
        <v>104.629048509364</v>
      </c>
      <c r="AF177" s="444"/>
      <c r="AG177" s="450" t="n">
        <f aca="false">IF(AND(L176&lt;L_rampe,Poussee&lt;Poids*SIN(M176)),0,(-W176+Poussee)/m-Poids*SIN(M176)/m)</f>
        <v>55.5602848274323</v>
      </c>
      <c r="AH177" s="449" t="n">
        <f aca="false">IF(AND(L176&lt;L_rampe,Poussee&lt;Poids*SIN(M176)), g*SIN(M176), (-W176+Poussee)/m)</f>
        <v>65.1431820020371</v>
      </c>
    </row>
    <row r="178" customFormat="false" ht="12" hidden="false" customHeight="false" outlineLevel="0" collapsed="false">
      <c r="A178" s="448" t="n">
        <f aca="false">IF(B177+0.01&lt;=T_ini+ROUNDUP(Temps_fin_propu,0), 0.01, IF(K177&gt;0, 0.1, 0.0001))</f>
        <v>0.01</v>
      </c>
      <c r="B178" s="449" t="n">
        <f aca="false">B177+pas</f>
        <v>1.74</v>
      </c>
      <c r="C178" s="432"/>
      <c r="D178" s="450" t="n">
        <f aca="false">IF(AND(L177&lt;L_rampe,Poussee&lt;Poids*SIN(M177)),0,(-W177+Poussee)/m*COS(M177)-U177/m*SIN(M177))</f>
        <v>13.9091262506195</v>
      </c>
      <c r="E178" s="451" t="n">
        <f aca="false">IF(AND(L177&lt;L_rampe,Poussee&lt;Poids*SIN(M177)),0,(-W177+Poussee)/m*SIN(M177)+U177/m*COS(M177)-Poids/m)</f>
        <v>53.6492296568279</v>
      </c>
      <c r="F178" s="449" t="n">
        <f aca="false">SQRT(acc_x^2+acc_z^2)</f>
        <v>55.4229522474826</v>
      </c>
      <c r="G178" s="450" t="n">
        <f aca="false">G177+acc_x*pas</f>
        <v>25.4166450553208</v>
      </c>
      <c r="H178" s="451" t="n">
        <f aca="false">H177+acc_z*pas</f>
        <v>115.86322543551</v>
      </c>
      <c r="I178" s="449" t="n">
        <f aca="false">SQRT(vit_x^2+vit_z^2)</f>
        <v>118.618265263778</v>
      </c>
      <c r="J178" s="450" t="n">
        <f aca="false">J177+0.5*(vit_x+G177)*pas*(K177&gt;=0)</f>
        <v>21.714953923334</v>
      </c>
      <c r="K178" s="451" t="n">
        <f aca="false">K177+0.5*(vit_z+H177)*pas</f>
        <v>105.784998302236</v>
      </c>
      <c r="L178" s="449" t="n">
        <f aca="false">SQRT(pos_x^2+pos_z^2)</f>
        <v>107.990763909219</v>
      </c>
      <c r="M178" s="450" t="n">
        <f aca="false">IF(AND(L177&gt;L_rampe,G178&gt;0),ATAN2(G178,H178),$M$4)</f>
        <v>1.35484924605461</v>
      </c>
      <c r="N178" s="449" t="n">
        <f aca="false">DEGREES(Beta)</f>
        <v>77.6271436754108</v>
      </c>
      <c r="O178" s="438"/>
      <c r="P178" s="452" t="n">
        <f aca="false">MATCH(t-pas/2-T_ini,CdP_t)</f>
        <v>5</v>
      </c>
      <c r="Q178" s="449" t="n">
        <f aca="false">(INDEX(CdP,2,i_P+1)-INDEX(CdP,2,i_P+0))/(INDEX(CdP,1,i_P+1)-INDEX(CdP,1,i_P+0))*(t-pas/2-T_ini-INDEX(CdP,1,i_P+0))+INDEX(CdP,2,i_P+0)</f>
        <v>624.69</v>
      </c>
      <c r="R178" s="450" t="n">
        <f aca="false">Poussee/(g*ISP)</f>
        <v>0.313502805618037</v>
      </c>
      <c r="S178" s="451" t="n">
        <f aca="false">S177-Débit*pas</f>
        <v>9.03735556697776</v>
      </c>
      <c r="T178" s="449" t="n">
        <f aca="false">m*g</f>
        <v>88.6564581120518</v>
      </c>
      <c r="U178" s="453" t="n">
        <f aca="false">IF(pos_xz&lt;L_rampe,Poids*COS(Beta),0)</f>
        <v>0</v>
      </c>
      <c r="V178" s="450" t="n">
        <f aca="false">Rho_moyen*(20000-Alt_rampe-pos_z)/(20000+Alt_rampe+pos_z)</f>
        <v>1.21210951868518</v>
      </c>
      <c r="W178" s="449" t="n">
        <f aca="false">1/2*Rho*Sref*Cx*vit_xz^2</f>
        <v>37.921126965052</v>
      </c>
      <c r="X178" s="438"/>
      <c r="Y178" s="454" t="str">
        <f aca="false">IF(AND(pos_z&lt;=0,K177&gt;0),"Impact balistique","") &amp; IF(AND(H179&lt;0,vit_z&gt;=0),"Apogée","") &amp; IF(AND(Poussee=0,Q177&gt;0),"Fin de propulsion","") &amp; IF(AND(L179&gt;L_rampe,pos_xz&lt;=L_rampe),"Sortie de rampe","")</f>
        <v/>
      </c>
      <c r="Z178" s="455" t="str">
        <f aca="false">IF(ABS(t-T_para)&lt;pas/2,"Para","")</f>
        <v/>
      </c>
      <c r="AA178" s="456" t="str">
        <f aca="false">IF(ABS(t-T_satellite)&lt;pas/2,"Satellite","")</f>
        <v/>
      </c>
      <c r="AB178" s="444"/>
      <c r="AC178" s="452" t="e">
        <f aca="false">IF(ABS(t-ROUND(t,0))&lt;0.001,t,NA())</f>
        <v>#N/A</v>
      </c>
      <c r="AD178" s="457" t="e">
        <f aca="false">IF(ABS(t-ROUND(t,0))&lt;0.001,pos_x,NA())</f>
        <v>#N/A</v>
      </c>
      <c r="AE178" s="458" t="n">
        <f aca="false">IF(t&lt;T_para, pos_z, NA())</f>
        <v>105.784998302236</v>
      </c>
      <c r="AF178" s="444"/>
      <c r="AG178" s="450" t="n">
        <f aca="false">IF(AND(L177&lt;L_rampe,Poussee&lt;Poids*SIN(M177)),0,(-W177+Poussee)/m-Poids*SIN(M177)/m)</f>
        <v>55.3831409534342</v>
      </c>
      <c r="AH178" s="449" t="n">
        <f aca="false">IF(AND(L177&lt;L_rampe,Poussee&lt;Poids*SIN(M177)), g*SIN(M177), (-W177+Poussee)/m)</f>
        <v>64.9656649445975</v>
      </c>
    </row>
    <row r="179" customFormat="false" ht="12" hidden="false" customHeight="false" outlineLevel="0" collapsed="false">
      <c r="A179" s="448" t="n">
        <f aca="false">IF(B178+0.01&lt;=T_ini+ROUNDUP(Temps_fin_propu,0), 0.01, IF(K178&gt;0, 0.1, 0.0001))</f>
        <v>0.01</v>
      </c>
      <c r="B179" s="449" t="n">
        <f aca="false">B178+pas</f>
        <v>1.75</v>
      </c>
      <c r="C179" s="432"/>
      <c r="D179" s="450" t="n">
        <f aca="false">IF(AND(L178&lt;L_rampe,Poussee&lt;Poids*SIN(M178)),0,(-W178+Poussee)/m*COS(M178)-U178/m*SIN(M178))</f>
        <v>13.8822775532394</v>
      </c>
      <c r="E179" s="451" t="n">
        <f aca="false">IF(AND(L178&lt;L_rampe,Poussee&lt;Poids*SIN(M178)),0,(-W178+Poussee)/m*SIN(M178)+U178/m*COS(M178)-Poids/m)</f>
        <v>53.473153626626</v>
      </c>
      <c r="F179" s="449" t="n">
        <f aca="false">SQRT(acc_x^2+acc_z^2)</f>
        <v>55.2457762081584</v>
      </c>
      <c r="G179" s="450" t="n">
        <f aca="false">G178+acc_x*pas</f>
        <v>25.5554678308532</v>
      </c>
      <c r="H179" s="451" t="n">
        <f aca="false">H178+acc_z*pas</f>
        <v>116.397956971776</v>
      </c>
      <c r="I179" s="449" t="n">
        <f aca="false">SQRT(vit_x^2+vit_z^2)</f>
        <v>119.170324843298</v>
      </c>
      <c r="J179" s="450" t="n">
        <f aca="false">J178+0.5*(vit_x+G178)*pas*(K178&gt;=0)</f>
        <v>21.9698144877648</v>
      </c>
      <c r="K179" s="451" t="n">
        <f aca="false">K178+0.5*(vit_z+H178)*pas</f>
        <v>106.946304214273</v>
      </c>
      <c r="L179" s="449" t="n">
        <f aca="false">SQRT(pos_x^2+pos_z^2)</f>
        <v>109.179598523344</v>
      </c>
      <c r="M179" s="450" t="n">
        <f aca="false">IF(AND(L178&gt;L_rampe,G179&gt;0),ATAN2(G179,H179),$M$4)</f>
        <v>1.35467285866134</v>
      </c>
      <c r="N179" s="449" t="n">
        <f aca="false">DEGREES(Beta)</f>
        <v>77.617037422217</v>
      </c>
      <c r="O179" s="438"/>
      <c r="P179" s="452" t="n">
        <f aca="false">MATCH(t-pas/2-T_ini,CdP_t)</f>
        <v>5</v>
      </c>
      <c r="Q179" s="449" t="n">
        <f aca="false">(INDEX(CdP,2,i_P+1)-INDEX(CdP,2,i_P+0))/(INDEX(CdP,1,i_P+1)-INDEX(CdP,1,i_P+0))*(t-pas/2-T_ini-INDEX(CdP,1,i_P+0))+INDEX(CdP,2,i_P+0)</f>
        <v>623.23</v>
      </c>
      <c r="R179" s="450" t="n">
        <f aca="false">Poussee/(g*ISP)</f>
        <v>0.31277009964195</v>
      </c>
      <c r="S179" s="451" t="n">
        <f aca="false">S178-Débit*pas</f>
        <v>9.03422786598134</v>
      </c>
      <c r="T179" s="449" t="n">
        <f aca="false">m*g</f>
        <v>88.6257753652769</v>
      </c>
      <c r="U179" s="453" t="n">
        <f aca="false">IF(pos_xz&lt;L_rampe,Poids*COS(Beta),0)</f>
        <v>0</v>
      </c>
      <c r="V179" s="450" t="n">
        <f aca="false">Rho_moyen*(20000-Alt_rampe-pos_z)/(20000+Alt_rampe+pos_z)</f>
        <v>1.21196875988225</v>
      </c>
      <c r="W179" s="449" t="n">
        <f aca="false">1/2*Rho*Sref*Cx*vit_xz^2</f>
        <v>38.2704799531049</v>
      </c>
      <c r="X179" s="438"/>
      <c r="Y179" s="454" t="str">
        <f aca="false">IF(AND(pos_z&lt;=0,K178&gt;0),"Impact balistique","") &amp; IF(AND(H180&lt;0,vit_z&gt;=0),"Apogée","") &amp; IF(AND(Poussee=0,Q178&gt;0),"Fin de propulsion","") &amp; IF(AND(L180&gt;L_rampe,pos_xz&lt;=L_rampe),"Sortie de rampe","")</f>
        <v/>
      </c>
      <c r="Z179" s="455" t="str">
        <f aca="false">IF(ABS(t-T_para)&lt;pas/2,"Para","")</f>
        <v/>
      </c>
      <c r="AA179" s="456" t="str">
        <f aca="false">IF(ABS(t-T_satellite)&lt;pas/2,"Satellite","")</f>
        <v/>
      </c>
      <c r="AB179" s="444"/>
      <c r="AC179" s="452" t="e">
        <f aca="false">IF(ABS(t-ROUND(t,0))&lt;0.001,t,NA())</f>
        <v>#N/A</v>
      </c>
      <c r="AD179" s="457" t="e">
        <f aca="false">IF(ABS(t-ROUND(t,0))&lt;0.001,pos_x,NA())</f>
        <v>#N/A</v>
      </c>
      <c r="AE179" s="458" t="n">
        <f aca="false">IF(t&lt;T_para, pos_z, NA())</f>
        <v>106.946304214273</v>
      </c>
      <c r="AF179" s="444"/>
      <c r="AG179" s="450" t="n">
        <f aca="false">IF(AND(L178&lt;L_rampe,Poussee&lt;Poids*SIN(M178)),0,(-W178+Poussee)/m-Poids*SIN(M178)/m)</f>
        <v>55.2057725676354</v>
      </c>
      <c r="AH179" s="449" t="n">
        <f aca="false">IF(AND(L178&lt;L_rampe,Poussee&lt;Poids*SIN(M178)), g*SIN(M178), (-W178+Poussee)/m)</f>
        <v>64.78792451527</v>
      </c>
    </row>
    <row r="180" customFormat="false" ht="12" hidden="false" customHeight="false" outlineLevel="0" collapsed="false">
      <c r="A180" s="448" t="n">
        <f aca="false">IF(B179+0.01&lt;=T_ini+ROUNDUP(Temps_fin_propu,0), 0.01, IF(K179&gt;0, 0.1, 0.0001))</f>
        <v>0.01</v>
      </c>
      <c r="B180" s="449" t="n">
        <f aca="false">B179+pas</f>
        <v>1.76</v>
      </c>
      <c r="C180" s="432"/>
      <c r="D180" s="450" t="n">
        <f aca="false">IF(AND(L179&lt;L_rampe,Poussee&lt;Poids*SIN(M179)),0,(-W179+Poussee)/m*COS(M179)-U179/m*SIN(M179))</f>
        <v>13.8552767287312</v>
      </c>
      <c r="E180" s="451" t="n">
        <f aca="false">IF(AND(L179&lt;L_rampe,Poussee&lt;Poids*SIN(M179)),0,(-W179+Poussee)/m*SIN(M179)+U179/m*COS(M179)-Poids/m)</f>
        <v>53.2968824557326</v>
      </c>
      <c r="F180" s="449" t="n">
        <f aca="false">SQRT(acc_x^2+acc_z^2)</f>
        <v>55.068379063941</v>
      </c>
      <c r="G180" s="450" t="n">
        <f aca="false">G179+acc_x*pas</f>
        <v>25.6940205981405</v>
      </c>
      <c r="H180" s="451" t="n">
        <f aca="false">H179+acc_z*pas</f>
        <v>116.930925796333</v>
      </c>
      <c r="I180" s="449" t="n">
        <f aca="false">SQRT(vit_x^2+vit_z^2)</f>
        <v>119.720608510337</v>
      </c>
      <c r="J180" s="450" t="n">
        <f aca="false">J179+0.5*(vit_x+G179)*pas*(K179&gt;=0)</f>
        <v>22.2260619299098</v>
      </c>
      <c r="K180" s="451" t="n">
        <f aca="false">K179+0.5*(vit_z+H179)*pas</f>
        <v>108.112948628113</v>
      </c>
      <c r="L180" s="449" t="n">
        <f aca="false">SQRT(pos_x^2+pos_z^2)</f>
        <v>110.373943890654</v>
      </c>
      <c r="M180" s="450" t="n">
        <f aca="false">IF(AND(L179&gt;L_rampe,G180&gt;0),ATAN2(G180,H180),$M$4)</f>
        <v>1.35449714084135</v>
      </c>
      <c r="N180" s="449" t="n">
        <f aca="false">DEGREES(Beta)</f>
        <v>77.6069695327466</v>
      </c>
      <c r="O180" s="438"/>
      <c r="P180" s="452" t="n">
        <f aca="false">MATCH(t-pas/2-T_ini,CdP_t)</f>
        <v>5</v>
      </c>
      <c r="Q180" s="449" t="n">
        <f aca="false">(INDEX(CdP,2,i_P+1)-INDEX(CdP,2,i_P+0))/(INDEX(CdP,1,i_P+1)-INDEX(CdP,1,i_P+0))*(t-pas/2-T_ini-INDEX(CdP,1,i_P+0))+INDEX(CdP,2,i_P+0)</f>
        <v>621.77</v>
      </c>
      <c r="R180" s="450" t="n">
        <f aca="false">Poussee/(g*ISP)</f>
        <v>0.312037393665862</v>
      </c>
      <c r="S180" s="451" t="n">
        <f aca="false">S179-Débit*pas</f>
        <v>9.03110749204468</v>
      </c>
      <c r="T180" s="449" t="n">
        <f aca="false">m*g</f>
        <v>88.5951644969583</v>
      </c>
      <c r="U180" s="453" t="n">
        <f aca="false">IF(pos_xz&lt;L_rampe,Poids*COS(Beta),0)</f>
        <v>0</v>
      </c>
      <c r="V180" s="450" t="n">
        <f aca="false">Rho_moyen*(20000-Alt_rampe-pos_z)/(20000+Alt_rampe+pos_z)</f>
        <v>1.2118273703845</v>
      </c>
      <c r="W180" s="449" t="n">
        <f aca="false">1/2*Rho*Sref*Cx*vit_xz^2</f>
        <v>38.6202272917871</v>
      </c>
      <c r="X180" s="438"/>
      <c r="Y180" s="454" t="str">
        <f aca="false">IF(AND(pos_z&lt;=0,K179&gt;0),"Impact balistique","") &amp; IF(AND(H181&lt;0,vit_z&gt;=0),"Apogée","") &amp; IF(AND(Poussee=0,Q179&gt;0),"Fin de propulsion","") &amp; IF(AND(L181&gt;L_rampe,pos_xz&lt;=L_rampe),"Sortie de rampe","")</f>
        <v/>
      </c>
      <c r="Z180" s="455" t="str">
        <f aca="false">IF(ABS(t-T_para)&lt;pas/2,"Para","")</f>
        <v/>
      </c>
      <c r="AA180" s="456" t="str">
        <f aca="false">IF(ABS(t-T_satellite)&lt;pas/2,"Satellite","")</f>
        <v/>
      </c>
      <c r="AB180" s="444"/>
      <c r="AC180" s="452" t="e">
        <f aca="false">IF(ABS(t-ROUND(t,0))&lt;0.001,t,NA())</f>
        <v>#N/A</v>
      </c>
      <c r="AD180" s="457" t="e">
        <f aca="false">IF(ABS(t-ROUND(t,0))&lt;0.001,pos_x,NA())</f>
        <v>#N/A</v>
      </c>
      <c r="AE180" s="458" t="n">
        <f aca="false">IF(t&lt;T_para, pos_z, NA())</f>
        <v>108.112948628113</v>
      </c>
      <c r="AF180" s="444"/>
      <c r="AG180" s="450" t="n">
        <f aca="false">IF(AND(L179&lt;L_rampe,Poussee&lt;Poids*SIN(M179)),0,(-W179+Poussee)/m-Poids*SIN(M179)/m)</f>
        <v>55.0281818746726</v>
      </c>
      <c r="AH180" s="449" t="n">
        <f aca="false">IF(AND(L179&lt;L_rampe,Poussee&lt;Poids*SIN(M179)), g*SIN(M179), (-W179+Poussee)/m)</f>
        <v>64.6099629044265</v>
      </c>
    </row>
    <row r="181" customFormat="false" ht="12" hidden="false" customHeight="false" outlineLevel="0" collapsed="false">
      <c r="A181" s="448" t="n">
        <f aca="false">IF(B180+0.01&lt;=T_ini+ROUNDUP(Temps_fin_propu,0), 0.01, IF(K180&gt;0, 0.1, 0.0001))</f>
        <v>0.01</v>
      </c>
      <c r="B181" s="449" t="n">
        <f aca="false">B180+pas</f>
        <v>1.77</v>
      </c>
      <c r="C181" s="432"/>
      <c r="D181" s="450" t="n">
        <f aca="false">IF(AND(L180&lt;L_rampe,Poussee&lt;Poids*SIN(M180)),0,(-W180+Poussee)/m*COS(M180)-U180/m*SIN(M180))</f>
        <v>13.8281250172651</v>
      </c>
      <c r="E181" s="451" t="n">
        <f aca="false">IF(AND(L180&lt;L_rampe,Poussee&lt;Poids*SIN(M180)),0,(-W180+Poussee)/m*SIN(M180)+U180/m*COS(M180)-Poids/m)</f>
        <v>53.1204181539133</v>
      </c>
      <c r="F181" s="449" t="n">
        <f aca="false">SQRT(acc_x^2+acc_z^2)</f>
        <v>54.8907630329523</v>
      </c>
      <c r="G181" s="450" t="n">
        <f aca="false">G180+acc_x*pas</f>
        <v>25.8323018483132</v>
      </c>
      <c r="H181" s="451" t="n">
        <f aca="false">H180+acc_z*pas</f>
        <v>117.462129977873</v>
      </c>
      <c r="I181" s="449" t="n">
        <f aca="false">SQRT(vit_x^2+vit_z^2)</f>
        <v>120.269114063923</v>
      </c>
      <c r="J181" s="450" t="n">
        <f aca="false">J180+0.5*(vit_x+G180)*pas*(K180&gt;=0)</f>
        <v>22.4836935421421</v>
      </c>
      <c r="K181" s="451" t="n">
        <f aca="false">K180+0.5*(vit_z+H180)*pas</f>
        <v>109.284913906984</v>
      </c>
      <c r="L181" s="449" t="n">
        <f aca="false">SQRT(pos_x^2+pos_z^2)</f>
        <v>111.573782238275</v>
      </c>
      <c r="M181" s="450" t="n">
        <f aca="false">IF(AND(L180&gt;L_rampe,G181&gt;0),ATAN2(G181,H181),$M$4)</f>
        <v>1.35432208441835</v>
      </c>
      <c r="N181" s="449" t="n">
        <f aca="false">DEGREES(Beta)</f>
        <v>77.5969395385318</v>
      </c>
      <c r="O181" s="438"/>
      <c r="P181" s="452" t="n">
        <f aca="false">MATCH(t-pas/2-T_ini,CdP_t)</f>
        <v>5</v>
      </c>
      <c r="Q181" s="449" t="n">
        <f aca="false">(INDEX(CdP,2,i_P+1)-INDEX(CdP,2,i_P+0))/(INDEX(CdP,1,i_P+1)-INDEX(CdP,1,i_P+0))*(t-pas/2-T_ini-INDEX(CdP,1,i_P+0))+INDEX(CdP,2,i_P+0)</f>
        <v>620.31</v>
      </c>
      <c r="R181" s="450" t="n">
        <f aca="false">Poussee/(g*ISP)</f>
        <v>0.311304687689774</v>
      </c>
      <c r="S181" s="451" t="n">
        <f aca="false">S180-Débit*pas</f>
        <v>9.02799444516778</v>
      </c>
      <c r="T181" s="449" t="n">
        <f aca="false">m*g</f>
        <v>88.5646255070959</v>
      </c>
      <c r="U181" s="453" t="n">
        <f aca="false">IF(pos_xz&lt;L_rampe,Poids*COS(Beta),0)</f>
        <v>0</v>
      </c>
      <c r="V181" s="450" t="n">
        <f aca="false">Rho_moyen*(20000-Alt_rampe-pos_z)/(20000+Alt_rampe+pos_z)</f>
        <v>1.2116853525514</v>
      </c>
      <c r="W181" s="449" t="n">
        <f aca="false">1/2*Rho*Sref*Cx*vit_xz^2</f>
        <v>38.9703511063654</v>
      </c>
      <c r="X181" s="438"/>
      <c r="Y181" s="454" t="str">
        <f aca="false">IF(AND(pos_z&lt;=0,K180&gt;0),"Impact balistique","") &amp; IF(AND(H182&lt;0,vit_z&gt;=0),"Apogée","") &amp; IF(AND(Poussee=0,Q180&gt;0),"Fin de propulsion","") &amp; IF(AND(L182&gt;L_rampe,pos_xz&lt;=L_rampe),"Sortie de rampe","")</f>
        <v/>
      </c>
      <c r="Z181" s="455" t="str">
        <f aca="false">IF(ABS(t-T_para)&lt;pas/2,"Para","")</f>
        <v/>
      </c>
      <c r="AA181" s="456" t="str">
        <f aca="false">IF(ABS(t-T_satellite)&lt;pas/2,"Satellite","")</f>
        <v/>
      </c>
      <c r="AB181" s="444"/>
      <c r="AC181" s="452" t="e">
        <f aca="false">IF(ABS(t-ROUND(t,0))&lt;0.001,t,NA())</f>
        <v>#N/A</v>
      </c>
      <c r="AD181" s="457" t="e">
        <f aca="false">IF(ABS(t-ROUND(t,0))&lt;0.001,pos_x,NA())</f>
        <v>#N/A</v>
      </c>
      <c r="AE181" s="458" t="n">
        <f aca="false">IF(t&lt;T_para, pos_z, NA())</f>
        <v>109.284913906984</v>
      </c>
      <c r="AF181" s="444"/>
      <c r="AG181" s="450" t="n">
        <f aca="false">IF(AND(L180&lt;L_rampe,Poussee&lt;Poids*SIN(M180)),0,(-W180+Poussee)/m-Poids*SIN(M180)/m)</f>
        <v>54.8503710778061</v>
      </c>
      <c r="AH181" s="449" t="n">
        <f aca="false">IF(AND(L180&lt;L_rampe,Poussee&lt;Poids*SIN(M180)), g*SIN(M180), (-W180+Poussee)/m)</f>
        <v>64.4317823012797</v>
      </c>
    </row>
    <row r="182" customFormat="false" ht="12" hidden="false" customHeight="false" outlineLevel="0" collapsed="false">
      <c r="A182" s="448" t="n">
        <f aca="false">IF(B181+0.01&lt;=T_ini+ROUNDUP(Temps_fin_propu,0), 0.01, IF(K181&gt;0, 0.1, 0.0001))</f>
        <v>0.01</v>
      </c>
      <c r="B182" s="449" t="n">
        <f aca="false">B181+pas</f>
        <v>1.78</v>
      </c>
      <c r="C182" s="432"/>
      <c r="D182" s="450" t="n">
        <f aca="false">IF(AND(L181&lt;L_rampe,Poussee&lt;Poids*SIN(M181)),0,(-W181+Poussee)/m*COS(M181)-U181/m*SIN(M181))</f>
        <v>13.8008236467942</v>
      </c>
      <c r="E182" s="451" t="n">
        <f aca="false">IF(AND(L181&lt;L_rampe,Poussee&lt;Poids*SIN(M181)),0,(-W181+Poussee)/m*SIN(M181)+U181/m*COS(M181)-Poids/m)</f>
        <v>52.9437627316512</v>
      </c>
      <c r="F182" s="449" t="n">
        <f aca="false">SQRT(acc_x^2+acc_z^2)</f>
        <v>54.7129303320092</v>
      </c>
      <c r="G182" s="450" t="n">
        <f aca="false">G181+acc_x*pas</f>
        <v>25.9703100847811</v>
      </c>
      <c r="H182" s="451" t="n">
        <f aca="false">H181+acc_z*pas</f>
        <v>117.991567605189</v>
      </c>
      <c r="I182" s="449" t="n">
        <f aca="false">SQRT(vit_x^2+vit_z^2)</f>
        <v>120.815839325105</v>
      </c>
      <c r="J182" s="450" t="n">
        <f aca="false">J181+0.5*(vit_x+G181)*pas*(K181&gt;=0)</f>
        <v>22.7427066018075</v>
      </c>
      <c r="K182" s="451" t="n">
        <f aca="false">K181+0.5*(vit_z+H181)*pas</f>
        <v>110.4621823949</v>
      </c>
      <c r="L182" s="449" t="n">
        <f aca="false">SQRT(pos_x^2+pos_z^2)</f>
        <v>112.779095771424</v>
      </c>
      <c r="M182" s="450" t="n">
        <f aca="false">IF(AND(L181&gt;L_rampe,G182&gt;0),ATAN2(G182,H182),$M$4)</f>
        <v>1.3541476813469</v>
      </c>
      <c r="N182" s="449" t="n">
        <f aca="false">DEGREES(Beta)</f>
        <v>77.5869469786036</v>
      </c>
      <c r="O182" s="438"/>
      <c r="P182" s="452" t="n">
        <f aca="false">MATCH(t-pas/2-T_ini,CdP_t)</f>
        <v>5</v>
      </c>
      <c r="Q182" s="449" t="n">
        <f aca="false">(INDEX(CdP,2,i_P+1)-INDEX(CdP,2,i_P+0))/(INDEX(CdP,1,i_P+1)-INDEX(CdP,1,i_P+0))*(t-pas/2-T_ini-INDEX(CdP,1,i_P+0))+INDEX(CdP,2,i_P+0)</f>
        <v>618.85</v>
      </c>
      <c r="R182" s="450" t="n">
        <f aca="false">Poussee/(g*ISP)</f>
        <v>0.310571981713686</v>
      </c>
      <c r="S182" s="451" t="n">
        <f aca="false">S181-Débit*pas</f>
        <v>9.02488872535064</v>
      </c>
      <c r="T182" s="449" t="n">
        <f aca="false">m*g</f>
        <v>88.5341583956898</v>
      </c>
      <c r="U182" s="453" t="n">
        <f aca="false">IF(pos_xz&lt;L_rampe,Poids*COS(Beta),0)</f>
        <v>0</v>
      </c>
      <c r="V182" s="450" t="n">
        <f aca="false">Rho_moyen*(20000-Alt_rampe-pos_z)/(20000+Alt_rampe+pos_z)</f>
        <v>1.21154270874468</v>
      </c>
      <c r="W182" s="449" t="n">
        <f aca="false">1/2*Rho*Sref*Cx*vit_xz^2</f>
        <v>39.3208335708816</v>
      </c>
      <c r="X182" s="438"/>
      <c r="Y182" s="454" t="str">
        <f aca="false">IF(AND(pos_z&lt;=0,K181&gt;0),"Impact balistique","") &amp; IF(AND(H183&lt;0,vit_z&gt;=0),"Apogée","") &amp; IF(AND(Poussee=0,Q181&gt;0),"Fin de propulsion","") &amp; IF(AND(L183&gt;L_rampe,pos_xz&lt;=L_rampe),"Sortie de rampe","")</f>
        <v/>
      </c>
      <c r="Z182" s="455" t="str">
        <f aca="false">IF(ABS(t-T_para)&lt;pas/2,"Para","")</f>
        <v/>
      </c>
      <c r="AA182" s="456" t="str">
        <f aca="false">IF(ABS(t-T_satellite)&lt;pas/2,"Satellite","")</f>
        <v/>
      </c>
      <c r="AB182" s="444"/>
      <c r="AC182" s="452" t="e">
        <f aca="false">IF(ABS(t-ROUND(t,0))&lt;0.001,t,NA())</f>
        <v>#N/A</v>
      </c>
      <c r="AD182" s="457" t="e">
        <f aca="false">IF(ABS(t-ROUND(t,0))&lt;0.001,pos_x,NA())</f>
        <v>#N/A</v>
      </c>
      <c r="AE182" s="458" t="n">
        <f aca="false">IF(t&lt;T_para, pos_z, NA())</f>
        <v>110.4621823949</v>
      </c>
      <c r="AF182" s="444"/>
      <c r="AG182" s="450" t="n">
        <f aca="false">IF(AND(L181&lt;L_rampe,Poussee&lt;Poids*SIN(M181)),0,(-W181+Poussee)/m-Poids*SIN(M181)/m)</f>
        <v>54.6723423788367</v>
      </c>
      <c r="AH182" s="449" t="n">
        <f aca="false">IF(AND(L181&lt;L_rampe,Poussee&lt;Poids*SIN(M181)), g*SIN(M181), (-W181+Poussee)/m)</f>
        <v>64.253384893796</v>
      </c>
    </row>
    <row r="183" customFormat="false" ht="12" hidden="false" customHeight="false" outlineLevel="0" collapsed="false">
      <c r="A183" s="448" t="n">
        <f aca="false">IF(B182+0.01&lt;=T_ini+ROUNDUP(Temps_fin_propu,0), 0.01, IF(K182&gt;0, 0.1, 0.0001))</f>
        <v>0.01</v>
      </c>
      <c r="B183" s="449" t="n">
        <f aca="false">B182+pas</f>
        <v>1.79</v>
      </c>
      <c r="C183" s="432"/>
      <c r="D183" s="450" t="n">
        <f aca="false">IF(AND(L182&lt;L_rampe,Poussee&lt;Poids*SIN(M182)),0,(-W182+Poussee)/m*COS(M182)-U182/m*SIN(M182))</f>
        <v>13.7733738333091</v>
      </c>
      <c r="E183" s="451" t="n">
        <f aca="false">IF(AND(L182&lt;L_rampe,Poussee&lt;Poids*SIN(M182)),0,(-W182+Poussee)/m*SIN(M182)+U182/m*COS(M182)-Poids/m)</f>
        <v>52.7669182000172</v>
      </c>
      <c r="F183" s="449" t="n">
        <f aca="false">SQRT(acc_x^2+acc_z^2)</f>
        <v>54.5348831765448</v>
      </c>
      <c r="G183" s="450" t="n">
        <f aca="false">G182+acc_x*pas</f>
        <v>26.1080438231142</v>
      </c>
      <c r="H183" s="451" t="n">
        <f aca="false">H182+acc_z*pas</f>
        <v>118.519236787189</v>
      </c>
      <c r="I183" s="449" t="n">
        <f aca="false">SQRT(vit_x^2+vit_z^2)</f>
        <v>121.36078213693</v>
      </c>
      <c r="J183" s="450" t="n">
        <f aca="false">J182+0.5*(vit_x+G182)*pas*(K182&gt;=0)</f>
        <v>23.003098371347</v>
      </c>
      <c r="K183" s="451" t="n">
        <f aca="false">K182+0.5*(vit_z+H182)*pas</f>
        <v>111.644736416862</v>
      </c>
      <c r="L183" s="449" t="n">
        <f aca="false">SQRT(pos_x^2+pos_z^2)</f>
        <v>113.989866673632</v>
      </c>
      <c r="M183" s="450" t="n">
        <f aca="false">IF(AND(L182&gt;L_rampe,G183&gt;0),ATAN2(G183,H183),$M$4)</f>
        <v>1.35397392370956</v>
      </c>
      <c r="N183" s="449" t="n">
        <f aca="false">DEGREES(Beta)</f>
        <v>77.5769913993261</v>
      </c>
      <c r="O183" s="438"/>
      <c r="P183" s="452" t="n">
        <f aca="false">MATCH(t-pas/2-T_ini,CdP_t)</f>
        <v>5</v>
      </c>
      <c r="Q183" s="449" t="n">
        <f aca="false">(INDEX(CdP,2,i_P+1)-INDEX(CdP,2,i_P+0))/(INDEX(CdP,1,i_P+1)-INDEX(CdP,1,i_P+0))*(t-pas/2-T_ini-INDEX(CdP,1,i_P+0))+INDEX(CdP,2,i_P+0)</f>
        <v>617.39</v>
      </c>
      <c r="R183" s="450" t="n">
        <f aca="false">Poussee/(g*ISP)</f>
        <v>0.309839275737598</v>
      </c>
      <c r="S183" s="451" t="n">
        <f aca="false">S182-Débit*pas</f>
        <v>9.02179033259327</v>
      </c>
      <c r="T183" s="449" t="n">
        <f aca="false">m*g</f>
        <v>88.5037631627399</v>
      </c>
      <c r="U183" s="453" t="n">
        <f aca="false">IF(pos_xz&lt;L_rampe,Poids*COS(Beta),0)</f>
        <v>0</v>
      </c>
      <c r="V183" s="450" t="n">
        <f aca="false">Rho_moyen*(20000-Alt_rampe-pos_z)/(20000+Alt_rampe+pos_z)</f>
        <v>1.21139944132834</v>
      </c>
      <c r="W183" s="449" t="n">
        <f aca="false">1/2*Rho*Sref*Cx*vit_xz^2</f>
        <v>39.6716569087534</v>
      </c>
      <c r="X183" s="438"/>
      <c r="Y183" s="454" t="str">
        <f aca="false">IF(AND(pos_z&lt;=0,K182&gt;0),"Impact balistique","") &amp; IF(AND(H184&lt;0,vit_z&gt;=0),"Apogée","") &amp; IF(AND(Poussee=0,Q182&gt;0),"Fin de propulsion","") &amp; IF(AND(L184&gt;L_rampe,pos_xz&lt;=L_rampe),"Sortie de rampe","")</f>
        <v/>
      </c>
      <c r="Z183" s="455" t="str">
        <f aca="false">IF(ABS(t-T_para)&lt;pas/2,"Para","")</f>
        <v/>
      </c>
      <c r="AA183" s="456" t="str">
        <f aca="false">IF(ABS(t-T_satellite)&lt;pas/2,"Satellite","")</f>
        <v/>
      </c>
      <c r="AB183" s="444"/>
      <c r="AC183" s="452" t="e">
        <f aca="false">IF(ABS(t-ROUND(t,0))&lt;0.001,t,NA())</f>
        <v>#N/A</v>
      </c>
      <c r="AD183" s="457" t="e">
        <f aca="false">IF(ABS(t-ROUND(t,0))&lt;0.001,pos_x,NA())</f>
        <v>#N/A</v>
      </c>
      <c r="AE183" s="458" t="n">
        <f aca="false">IF(t&lt;T_para, pos_z, NA())</f>
        <v>111.644736416862</v>
      </c>
      <c r="AF183" s="444"/>
      <c r="AG183" s="450" t="n">
        <f aca="false">IF(AND(L182&lt;L_rampe,Poussee&lt;Poids*SIN(M182)),0,(-W182+Poussee)/m-Poids*SIN(M182)/m)</f>
        <v>54.4940979780238</v>
      </c>
      <c r="AH183" s="449" t="n">
        <f aca="false">IF(AND(L182&lt;L_rampe,Poussee&lt;Poids*SIN(M182)), g*SIN(M182), (-W182+Poussee)/m)</f>
        <v>64.0747728686082</v>
      </c>
    </row>
    <row r="184" customFormat="false" ht="12" hidden="false" customHeight="false" outlineLevel="0" collapsed="false">
      <c r="A184" s="448" t="n">
        <f aca="false">IF(B183+0.01&lt;=T_ini+ROUNDUP(Temps_fin_propu,0), 0.01, IF(K183&gt;0, 0.1, 0.0001))</f>
        <v>0.01</v>
      </c>
      <c r="B184" s="449" t="n">
        <f aca="false">B183+pas</f>
        <v>1.8</v>
      </c>
      <c r="C184" s="432"/>
      <c r="D184" s="450" t="n">
        <f aca="false">IF(AND(L183&lt;L_rampe,Poussee&lt;Poids*SIN(M183)),0,(-W183+Poussee)/m*COS(M183)-U183/m*SIN(M183))</f>
        <v>13.7457767810837</v>
      </c>
      <c r="E184" s="451" t="n">
        <f aca="false">IF(AND(L183&lt;L_rampe,Poussee&lt;Poids*SIN(M183)),0,(-W183+Poussee)/m*SIN(M183)+U183/m*COS(M183)-Poids/m)</f>
        <v>52.5898865705436</v>
      </c>
      <c r="F184" s="449" t="n">
        <f aca="false">SQRT(acc_x^2+acc_z^2)</f>
        <v>54.3566237805294</v>
      </c>
      <c r="G184" s="450" t="n">
        <f aca="false">G183+acc_x*pas</f>
        <v>26.2455015909251</v>
      </c>
      <c r="H184" s="451" t="n">
        <f aca="false">H183+acc_z*pas</f>
        <v>119.045135652895</v>
      </c>
      <c r="I184" s="449" t="n">
        <f aca="false">SQRT(vit_x^2+vit_z^2)</f>
        <v>121.903940364433</v>
      </c>
      <c r="J184" s="450" t="n">
        <f aca="false">J183+0.5*(vit_x+G183)*pas*(K183&gt;=0)</f>
        <v>23.2648660984172</v>
      </c>
      <c r="K184" s="451" t="n">
        <f aca="false">K183+0.5*(vit_z+H183)*pas</f>
        <v>112.832558279062</v>
      </c>
      <c r="L184" s="449" t="n">
        <f aca="false">SQRT(pos_x^2+pos_z^2)</f>
        <v>115.206077106962</v>
      </c>
      <c r="M184" s="450" t="n">
        <f aca="false">IF(AND(L183&gt;L_rampe,G184&gt;0),ATAN2(G184,H184),$M$4)</f>
        <v>1.35380080371409</v>
      </c>
      <c r="N184" s="449" t="n">
        <f aca="false">DEGREES(Beta)</f>
        <v>77.5670723542359</v>
      </c>
      <c r="O184" s="438"/>
      <c r="P184" s="452" t="n">
        <f aca="false">MATCH(t-pas/2-T_ini,CdP_t)</f>
        <v>5</v>
      </c>
      <c r="Q184" s="449" t="n">
        <f aca="false">(INDEX(CdP,2,i_P+1)-INDEX(CdP,2,i_P+0))/(INDEX(CdP,1,i_P+1)-INDEX(CdP,1,i_P+0))*(t-pas/2-T_ini-INDEX(CdP,1,i_P+0))+INDEX(CdP,2,i_P+0)</f>
        <v>615.93</v>
      </c>
      <c r="R184" s="450" t="n">
        <f aca="false">Poussee/(g*ISP)</f>
        <v>0.30910656976151</v>
      </c>
      <c r="S184" s="451" t="n">
        <f aca="false">S183-Débit*pas</f>
        <v>9.01869926689565</v>
      </c>
      <c r="T184" s="449" t="n">
        <f aca="false">m*g</f>
        <v>88.4734398082463</v>
      </c>
      <c r="U184" s="453" t="n">
        <f aca="false">IF(pos_xz&lt;L_rampe,Poids*COS(Beta),0)</f>
        <v>0</v>
      </c>
      <c r="V184" s="450" t="n">
        <f aca="false">Rho_moyen*(20000-Alt_rampe-pos_z)/(20000+Alt_rampe+pos_z)</f>
        <v>1.21125555266854</v>
      </c>
      <c r="W184" s="449" t="n">
        <f aca="false">1/2*Rho*Sref*Cx*vit_xz^2</f>
        <v>40.0228033933712</v>
      </c>
      <c r="X184" s="438"/>
      <c r="Y184" s="454" t="str">
        <f aca="false">IF(AND(pos_z&lt;=0,K183&gt;0),"Impact balistique","") &amp; IF(AND(H185&lt;0,vit_z&gt;=0),"Apogée","") &amp; IF(AND(Poussee=0,Q183&gt;0),"Fin de propulsion","") &amp; IF(AND(L185&gt;L_rampe,pos_xz&lt;=L_rampe),"Sortie de rampe","")</f>
        <v/>
      </c>
      <c r="Z184" s="455" t="str">
        <f aca="false">IF(ABS(t-T_para)&lt;pas/2,"Para","")</f>
        <v/>
      </c>
      <c r="AA184" s="456" t="str">
        <f aca="false">IF(ABS(t-T_satellite)&lt;pas/2,"Satellite","")</f>
        <v/>
      </c>
      <c r="AB184" s="444"/>
      <c r="AC184" s="452" t="e">
        <f aca="false">IF(ABS(t-ROUND(t,0))&lt;0.001,t,NA())</f>
        <v>#N/A</v>
      </c>
      <c r="AD184" s="457" t="e">
        <f aca="false">IF(ABS(t-ROUND(t,0))&lt;0.001,pos_x,NA())</f>
        <v>#N/A</v>
      </c>
      <c r="AE184" s="458" t="n">
        <f aca="false">IF(t&lt;T_para, pos_z, NA())</f>
        <v>112.832558279062</v>
      </c>
      <c r="AF184" s="444"/>
      <c r="AG184" s="450" t="n">
        <f aca="false">IF(AND(L183&lt;L_rampe,Poussee&lt;Poids*SIN(M183)),0,(-W183+Poussee)/m-Poids*SIN(M183)/m)</f>
        <v>54.3156400740026</v>
      </c>
      <c r="AH184" s="449" t="n">
        <f aca="false">IF(AND(L183&lt;L_rampe,Poussee&lt;Poids*SIN(M183)), g*SIN(M183), (-W183+Poussee)/m)</f>
        <v>63.8959484109289</v>
      </c>
    </row>
    <row r="185" customFormat="false" ht="12" hidden="false" customHeight="false" outlineLevel="0" collapsed="false">
      <c r="A185" s="448" t="n">
        <f aca="false">IF(B184+0.01&lt;=T_ini+ROUNDUP(Temps_fin_propu,0), 0.01, IF(K184&gt;0, 0.1, 0.0001))</f>
        <v>0.01</v>
      </c>
      <c r="B185" s="449" t="n">
        <f aca="false">B184+pas</f>
        <v>1.81</v>
      </c>
      <c r="C185" s="432"/>
      <c r="D185" s="450" t="n">
        <f aca="false">IF(AND(L184&lt;L_rampe,Poussee&lt;Poids*SIN(M184)),0,(-W184+Poussee)/m*COS(M184)-U184/m*SIN(M184))</f>
        <v>13.7180336829149</v>
      </c>
      <c r="E185" s="451" t="n">
        <f aca="false">IF(AND(L184&lt;L_rampe,Poussee&lt;Poids*SIN(M184)),0,(-W184+Poussee)/m*SIN(M184)+U184/m*COS(M184)-Poids/m)</f>
        <v>52.4126698550981</v>
      </c>
      <c r="F185" s="449" t="n">
        <f aca="false">SQRT(acc_x^2+acc_z^2)</f>
        <v>54.1781543563926</v>
      </c>
      <c r="G185" s="450" t="n">
        <f aca="false">G184+acc_x*pas</f>
        <v>26.3826819277542</v>
      </c>
      <c r="H185" s="451" t="n">
        <f aca="false">H184+acc_z*pas</f>
        <v>119.569262351446</v>
      </c>
      <c r="I185" s="449" t="n">
        <f aca="false">SQRT(vit_x^2+vit_z^2)</f>
        <v>122.445311894616</v>
      </c>
      <c r="J185" s="450" t="n">
        <f aca="false">J184+0.5*(vit_x+G184)*pas*(K184&gt;=0)</f>
        <v>23.5280070160106</v>
      </c>
      <c r="K185" s="451" t="n">
        <f aca="false">K184+0.5*(vit_z+H184)*pas</f>
        <v>114.025630269084</v>
      </c>
      <c r="L185" s="449" t="n">
        <f aca="false">SQRT(pos_x^2+pos_z^2)</f>
        <v>116.427709212228</v>
      </c>
      <c r="M185" s="450" t="n">
        <f aca="false">IF(AND(L184&gt;L_rampe,G185&gt;0),ATAN2(G185,H185),$M$4)</f>
        <v>1.35362831369066</v>
      </c>
      <c r="N185" s="449" t="n">
        <f aca="false">DEGREES(Beta)</f>
        <v>77.5571894038855</v>
      </c>
      <c r="O185" s="438"/>
      <c r="P185" s="452" t="n">
        <f aca="false">MATCH(t-pas/2-T_ini,CdP_t)</f>
        <v>5</v>
      </c>
      <c r="Q185" s="449" t="n">
        <f aca="false">(INDEX(CdP,2,i_P+1)-INDEX(CdP,2,i_P+0))/(INDEX(CdP,1,i_P+1)-INDEX(CdP,1,i_P+0))*(t-pas/2-T_ini-INDEX(CdP,1,i_P+0))+INDEX(CdP,2,i_P+0)</f>
        <v>614.47</v>
      </c>
      <c r="R185" s="450" t="n">
        <f aca="false">Poussee/(g*ISP)</f>
        <v>0.308373863785422</v>
      </c>
      <c r="S185" s="451" t="n">
        <f aca="false">S184-Débit*pas</f>
        <v>9.0156155282578</v>
      </c>
      <c r="T185" s="449" t="n">
        <f aca="false">m*g</f>
        <v>88.443188332209</v>
      </c>
      <c r="U185" s="453" t="n">
        <f aca="false">IF(pos_xz&lt;L_rampe,Poids*COS(Beta),0)</f>
        <v>0</v>
      </c>
      <c r="V185" s="450" t="n">
        <f aca="false">Rho_moyen*(20000-Alt_rampe-pos_z)/(20000+Alt_rampe+pos_z)</f>
        <v>1.21111104513366</v>
      </c>
      <c r="W185" s="449" t="n">
        <f aca="false">1/2*Rho*Sref*Cx*vit_xz^2</f>
        <v>40.3742553486883</v>
      </c>
      <c r="X185" s="438"/>
      <c r="Y185" s="454" t="str">
        <f aca="false">IF(AND(pos_z&lt;=0,K184&gt;0),"Impact balistique","") &amp; IF(AND(H186&lt;0,vit_z&gt;=0),"Apogée","") &amp; IF(AND(Poussee=0,Q184&gt;0),"Fin de propulsion","") &amp; IF(AND(L186&gt;L_rampe,pos_xz&lt;=L_rampe),"Sortie de rampe","")</f>
        <v/>
      </c>
      <c r="Z185" s="455" t="str">
        <f aca="false">IF(ABS(t-T_para)&lt;pas/2,"Para","")</f>
        <v/>
      </c>
      <c r="AA185" s="456" t="str">
        <f aca="false">IF(ABS(t-T_satellite)&lt;pas/2,"Satellite","")</f>
        <v/>
      </c>
      <c r="AB185" s="444"/>
      <c r="AC185" s="452" t="e">
        <f aca="false">IF(ABS(t-ROUND(t,0))&lt;0.001,t,NA())</f>
        <v>#N/A</v>
      </c>
      <c r="AD185" s="457" t="e">
        <f aca="false">IF(ABS(t-ROUND(t,0))&lt;0.001,pos_x,NA())</f>
        <v>#N/A</v>
      </c>
      <c r="AE185" s="458" t="n">
        <f aca="false">IF(t&lt;T_para, pos_z, NA())</f>
        <v>114.025630269084</v>
      </c>
      <c r="AF185" s="444"/>
      <c r="AG185" s="450" t="n">
        <f aca="false">IF(AND(L184&lt;L_rampe,Poussee&lt;Poids*SIN(M184)),0,(-W184+Poussee)/m-Poids*SIN(M184)/m)</f>
        <v>54.1369708637024</v>
      </c>
      <c r="AH185" s="449" t="n">
        <f aca="false">IF(AND(L184&lt;L_rampe,Poussee&lt;Poids*SIN(M184)), g*SIN(M184), (-W184+Poussee)/m)</f>
        <v>63.7169137044641</v>
      </c>
    </row>
    <row r="186" customFormat="false" ht="12" hidden="false" customHeight="false" outlineLevel="0" collapsed="false">
      <c r="A186" s="448" t="n">
        <f aca="false">IF(B185+0.01&lt;=T_ini+ROUNDUP(Temps_fin_propu,0), 0.01, IF(K185&gt;0, 0.1, 0.0001))</f>
        <v>0.01</v>
      </c>
      <c r="B186" s="449" t="n">
        <f aca="false">B185+pas</f>
        <v>1.82</v>
      </c>
      <c r="C186" s="432"/>
      <c r="D186" s="450" t="n">
        <f aca="false">IF(AND(L185&lt;L_rampe,Poussee&lt;Poids*SIN(M185)),0,(-W185+Poussee)/m*COS(M185)-U185/m*SIN(M185))</f>
        <v>13.6901457203543</v>
      </c>
      <c r="E186" s="451" t="n">
        <f aca="false">IF(AND(L185&lt;L_rampe,Poussee&lt;Poids*SIN(M185)),0,(-W185+Poussee)/m*SIN(M185)+U185/m*COS(M185)-Poids/m)</f>
        <v>52.2352700657602</v>
      </c>
      <c r="F186" s="449" t="n">
        <f aca="false">SQRT(acc_x^2+acc_z^2)</f>
        <v>53.9994771149447</v>
      </c>
      <c r="G186" s="450" t="n">
        <f aca="false">G185+acc_x*pas</f>
        <v>26.5195833849578</v>
      </c>
      <c r="H186" s="451" t="n">
        <f aca="false">H185+acc_z*pas</f>
        <v>120.091615052103</v>
      </c>
      <c r="I186" s="449" t="n">
        <f aca="false">SQRT(vit_x^2+vit_z^2)</f>
        <v>122.984894636432</v>
      </c>
      <c r="J186" s="450" t="n">
        <f aca="false">J185+0.5*(vit_x+G185)*pas*(K185&gt;=0)</f>
        <v>23.7925183425742</v>
      </c>
      <c r="K186" s="451" t="n">
        <f aca="false">K185+0.5*(vit_z+H185)*pas</f>
        <v>115.223934656101</v>
      </c>
      <c r="L186" s="449" t="n">
        <f aca="false">SQRT(pos_x^2+pos_z^2)</f>
        <v>117.654745109219</v>
      </c>
      <c r="M186" s="450" t="n">
        <f aca="false">IF(AND(L185&gt;L_rampe,G186&gt;0),ATAN2(G186,H186),$M$4)</f>
        <v>1.35345644608928</v>
      </c>
      <c r="N186" s="449" t="n">
        <f aca="false">DEGREES(Beta)</f>
        <v>77.5473421156912</v>
      </c>
      <c r="O186" s="438"/>
      <c r="P186" s="452" t="n">
        <f aca="false">MATCH(t-pas/2-T_ini,CdP_t)</f>
        <v>5</v>
      </c>
      <c r="Q186" s="449" t="n">
        <f aca="false">(INDEX(CdP,2,i_P+1)-INDEX(CdP,2,i_P+0))/(INDEX(CdP,1,i_P+1)-INDEX(CdP,1,i_P+0))*(t-pas/2-T_ini-INDEX(CdP,1,i_P+0))+INDEX(CdP,2,i_P+0)</f>
        <v>613.01</v>
      </c>
      <c r="R186" s="450" t="n">
        <f aca="false">Poussee/(g*ISP)</f>
        <v>0.307641157809334</v>
      </c>
      <c r="S186" s="451" t="n">
        <f aca="false">S185-Débit*pas</f>
        <v>9.0125391166797</v>
      </c>
      <c r="T186" s="449" t="n">
        <f aca="false">m*g</f>
        <v>88.4130087346279</v>
      </c>
      <c r="U186" s="453" t="n">
        <f aca="false">IF(pos_xz&lt;L_rampe,Poids*COS(Beta),0)</f>
        <v>0</v>
      </c>
      <c r="V186" s="450" t="n">
        <f aca="false">Rho_moyen*(20000-Alt_rampe-pos_z)/(20000+Alt_rampe+pos_z)</f>
        <v>1.21096592109417</v>
      </c>
      <c r="W186" s="449" t="n">
        <f aca="false">1/2*Rho*Sref*Cx*vit_xz^2</f>
        <v>40.7259951498072</v>
      </c>
      <c r="X186" s="438"/>
      <c r="Y186" s="454" t="str">
        <f aca="false">IF(AND(pos_z&lt;=0,K185&gt;0),"Impact balistique","") &amp; IF(AND(H187&lt;0,vit_z&gt;=0),"Apogée","") &amp; IF(AND(Poussee=0,Q185&gt;0),"Fin de propulsion","") &amp; IF(AND(L187&gt;L_rampe,pos_xz&lt;=L_rampe),"Sortie de rampe","")</f>
        <v/>
      </c>
      <c r="Z186" s="455" t="str">
        <f aca="false">IF(ABS(t-T_para)&lt;pas/2,"Para","")</f>
        <v/>
      </c>
      <c r="AA186" s="456" t="str">
        <f aca="false">IF(ABS(t-T_satellite)&lt;pas/2,"Satellite","")</f>
        <v/>
      </c>
      <c r="AB186" s="444"/>
      <c r="AC186" s="452" t="e">
        <f aca="false">IF(ABS(t-ROUND(t,0))&lt;0.001,t,NA())</f>
        <v>#N/A</v>
      </c>
      <c r="AD186" s="457" t="e">
        <f aca="false">IF(ABS(t-ROUND(t,0))&lt;0.001,pos_x,NA())</f>
        <v>#N/A</v>
      </c>
      <c r="AE186" s="458" t="n">
        <f aca="false">IF(t&lt;T_para, pos_z, NA())</f>
        <v>115.223934656101</v>
      </c>
      <c r="AF186" s="444"/>
      <c r="AG186" s="450" t="n">
        <f aca="false">IF(AND(L185&lt;L_rampe,Poussee&lt;Poids*SIN(M185)),0,(-W185+Poussee)/m-Poids*SIN(M185)/m)</f>
        <v>53.958092542265</v>
      </c>
      <c r="AH186" s="449" t="n">
        <f aca="false">IF(AND(L185&lt;L_rampe,Poussee&lt;Poids*SIN(M185)), g*SIN(M185), (-W185+Poussee)/m)</f>
        <v>63.5376709313275</v>
      </c>
    </row>
    <row r="187" customFormat="false" ht="12" hidden="false" customHeight="false" outlineLevel="0" collapsed="false">
      <c r="A187" s="448" t="n">
        <f aca="false">IF(B186+0.01&lt;=T_ini+ROUNDUP(Temps_fin_propu,0), 0.01, IF(K186&gt;0, 0.1, 0.0001))</f>
        <v>0.01</v>
      </c>
      <c r="B187" s="449" t="n">
        <f aca="false">B186+pas</f>
        <v>1.83</v>
      </c>
      <c r="C187" s="432"/>
      <c r="D187" s="450" t="n">
        <f aca="false">IF(AND(L186&lt;L_rampe,Poussee&lt;Poids*SIN(M186)),0,(-W186+Poussee)/m*COS(M186)-U186/m*SIN(M186))</f>
        <v>13.6621140639335</v>
      </c>
      <c r="E187" s="451" t="n">
        <f aca="false">IF(AND(L186&lt;L_rampe,Poussee&lt;Poids*SIN(M186)),0,(-W186+Poussee)/m*SIN(M186)+U186/m*COS(M186)-Poids/m)</f>
        <v>52.0576892146979</v>
      </c>
      <c r="F187" s="449" t="n">
        <f aca="false">SQRT(acc_x^2+acc_z^2)</f>
        <v>53.8205942652997</v>
      </c>
      <c r="G187" s="450" t="n">
        <f aca="false">G186+acc_x*pas</f>
        <v>26.6562045255971</v>
      </c>
      <c r="H187" s="451" t="n">
        <f aca="false">H186+acc_z*pas</f>
        <v>120.61219194425</v>
      </c>
      <c r="I187" s="449" t="n">
        <f aca="false">SQRT(vit_x^2+vit_z^2)</f>
        <v>123.522686520765</v>
      </c>
      <c r="J187" s="450" t="n">
        <f aca="false">J186+0.5*(vit_x+G186)*pas*(K186&gt;=0)</f>
        <v>24.058397282127</v>
      </c>
      <c r="K187" s="451" t="n">
        <f aca="false">K186+0.5*(vit_z+H186)*pas</f>
        <v>116.427453691083</v>
      </c>
      <c r="L187" s="449" t="n">
        <f aca="false">SQRT(pos_x^2+pos_z^2)</f>
        <v>118.887166896911</v>
      </c>
      <c r="M187" s="450" t="n">
        <f aca="false">IF(AND(L186&gt;L_rampe,G187&gt;0),ATAN2(G187,H187),$M$4)</f>
        <v>1.35328519347713</v>
      </c>
      <c r="N187" s="449" t="n">
        <f aca="false">DEGREES(Beta)</f>
        <v>77.5375300637845</v>
      </c>
      <c r="O187" s="438"/>
      <c r="P187" s="452" t="n">
        <f aca="false">MATCH(t-pas/2-T_ini,CdP_t)</f>
        <v>5</v>
      </c>
      <c r="Q187" s="449" t="n">
        <f aca="false">(INDEX(CdP,2,i_P+1)-INDEX(CdP,2,i_P+0))/(INDEX(CdP,1,i_P+1)-INDEX(CdP,1,i_P+0))*(t-pas/2-T_ini-INDEX(CdP,1,i_P+0))+INDEX(CdP,2,i_P+0)</f>
        <v>611.55</v>
      </c>
      <c r="R187" s="450" t="n">
        <f aca="false">Poussee/(g*ISP)</f>
        <v>0.306908451833247</v>
      </c>
      <c r="S187" s="451" t="n">
        <f aca="false">S186-Débit*pas</f>
        <v>9.00947003216137</v>
      </c>
      <c r="T187" s="449" t="n">
        <f aca="false">m*g</f>
        <v>88.3829010155031</v>
      </c>
      <c r="U187" s="453" t="n">
        <f aca="false">IF(pos_xz&lt;L_rampe,Poids*COS(Beta),0)</f>
        <v>0</v>
      </c>
      <c r="V187" s="450" t="n">
        <f aca="false">Rho_moyen*(20000-Alt_rampe-pos_z)/(20000+Alt_rampe+pos_z)</f>
        <v>1.21082018292265</v>
      </c>
      <c r="W187" s="449" t="n">
        <f aca="false">1/2*Rho*Sref*Cx*vit_xz^2</f>
        <v>41.0780052235599</v>
      </c>
      <c r="X187" s="438"/>
      <c r="Y187" s="454" t="str">
        <f aca="false">IF(AND(pos_z&lt;=0,K186&gt;0),"Impact balistique","") &amp; IF(AND(H188&lt;0,vit_z&gt;=0),"Apogée","") &amp; IF(AND(Poussee=0,Q186&gt;0),"Fin de propulsion","") &amp; IF(AND(L188&gt;L_rampe,pos_xz&lt;=L_rampe),"Sortie de rampe","")</f>
        <v/>
      </c>
      <c r="Z187" s="455" t="str">
        <f aca="false">IF(ABS(t-T_para)&lt;pas/2,"Para","")</f>
        <v/>
      </c>
      <c r="AA187" s="456" t="str">
        <f aca="false">IF(ABS(t-T_satellite)&lt;pas/2,"Satellite","")</f>
        <v/>
      </c>
      <c r="AB187" s="444"/>
      <c r="AC187" s="452" t="e">
        <f aca="false">IF(ABS(t-ROUND(t,0))&lt;0.001,t,NA())</f>
        <v>#N/A</v>
      </c>
      <c r="AD187" s="457" t="e">
        <f aca="false">IF(ABS(t-ROUND(t,0))&lt;0.001,pos_x,NA())</f>
        <v>#N/A</v>
      </c>
      <c r="AE187" s="458" t="n">
        <f aca="false">IF(t&lt;T_para, pos_z, NA())</f>
        <v>116.427453691083</v>
      </c>
      <c r="AF187" s="444"/>
      <c r="AG187" s="450" t="n">
        <f aca="false">IF(AND(L186&lt;L_rampe,Poussee&lt;Poids*SIN(M186)),0,(-W186+Poussee)/m-Poids*SIN(M186)/m)</f>
        <v>53.7790073029631</v>
      </c>
      <c r="AH187" s="449" t="n">
        <f aca="false">IF(AND(L186&lt;L_rampe,Poussee&lt;Poids*SIN(M186)), g*SIN(M186), (-W186+Poussee)/m)</f>
        <v>63.3582222719544</v>
      </c>
    </row>
    <row r="188" customFormat="false" ht="12" hidden="false" customHeight="false" outlineLevel="0" collapsed="false">
      <c r="A188" s="448" t="n">
        <f aca="false">IF(B187+0.01&lt;=T_ini+ROUNDUP(Temps_fin_propu,0), 0.01, IF(K187&gt;0, 0.1, 0.0001))</f>
        <v>0.01</v>
      </c>
      <c r="B188" s="449" t="n">
        <f aca="false">B187+pas</f>
        <v>1.84</v>
      </c>
      <c r="C188" s="432"/>
      <c r="D188" s="450" t="n">
        <f aca="false">IF(AND(L187&lt;L_rampe,Poussee&lt;Poids*SIN(M187)),0,(-W187+Poussee)/m*COS(M187)-U187/m*SIN(M187))</f>
        <v>13.6339398733833</v>
      </c>
      <c r="E188" s="451" t="n">
        <f aca="false">IF(AND(L187&lt;L_rampe,Poussee&lt;Poids*SIN(M187)),0,(-W187+Poussee)/m*SIN(M187)+U187/m*COS(M187)-Poids/m)</f>
        <v>51.8799293140474</v>
      </c>
      <c r="F188" s="449" t="n">
        <f aca="false">SQRT(acc_x^2+acc_z^2)</f>
        <v>53.6415080147975</v>
      </c>
      <c r="G188" s="450" t="n">
        <f aca="false">G187+acc_x*pas</f>
        <v>26.7925439243309</v>
      </c>
      <c r="H188" s="451" t="n">
        <f aca="false">H187+acc_z*pas</f>
        <v>121.130991237391</v>
      </c>
      <c r="I188" s="449" t="n">
        <f aca="false">SQRT(vit_x^2+vit_z^2)</f>
        <v>124.058685500412</v>
      </c>
      <c r="J188" s="450" t="n">
        <f aca="false">J187+0.5*(vit_x+G187)*pas*(K187&gt;=0)</f>
        <v>24.3256410243766</v>
      </c>
      <c r="K188" s="451" t="n">
        <f aca="false">K187+0.5*(vit_z+H187)*pas</f>
        <v>117.636169606991</v>
      </c>
      <c r="L188" s="449" t="n">
        <f aca="false">SQRT(pos_x^2+pos_z^2)</f>
        <v>120.124956653693</v>
      </c>
      <c r="M188" s="450" t="n">
        <f aca="false">IF(AND(L187&gt;L_rampe,G188&gt;0),ATAN2(G188,H188),$M$4)</f>
        <v>1.3531145485361</v>
      </c>
      <c r="N188" s="449" t="n">
        <f aca="false">DEGREES(Beta)</f>
        <v>77.5277528288683</v>
      </c>
      <c r="O188" s="438"/>
      <c r="P188" s="452" t="n">
        <f aca="false">MATCH(t-pas/2-T_ini,CdP_t)</f>
        <v>5</v>
      </c>
      <c r="Q188" s="449" t="n">
        <f aca="false">(INDEX(CdP,2,i_P+1)-INDEX(CdP,2,i_P+0))/(INDEX(CdP,1,i_P+1)-INDEX(CdP,1,i_P+0))*(t-pas/2-T_ini-INDEX(CdP,1,i_P+0))+INDEX(CdP,2,i_P+0)</f>
        <v>610.09</v>
      </c>
      <c r="R188" s="450" t="n">
        <f aca="false">Poussee/(g*ISP)</f>
        <v>0.306175745857159</v>
      </c>
      <c r="S188" s="451" t="n">
        <f aca="false">S187-Débit*pas</f>
        <v>9.0064082747028</v>
      </c>
      <c r="T188" s="449" t="n">
        <f aca="false">m*g</f>
        <v>88.3528651748345</v>
      </c>
      <c r="U188" s="453" t="n">
        <f aca="false">IF(pos_xz&lt;L_rampe,Poids*COS(Beta),0)</f>
        <v>0</v>
      </c>
      <c r="V188" s="450" t="n">
        <f aca="false">Rho_moyen*(20000-Alt_rampe-pos_z)/(20000+Alt_rampe+pos_z)</f>
        <v>1.21067383299373</v>
      </c>
      <c r="W188" s="449" t="n">
        <f aca="false">1/2*Rho*Sref*Cx*vit_xz^2</f>
        <v>41.4302680490834</v>
      </c>
      <c r="X188" s="438"/>
      <c r="Y188" s="454" t="str">
        <f aca="false">IF(AND(pos_z&lt;=0,K187&gt;0),"Impact balistique","") &amp; IF(AND(H189&lt;0,vit_z&gt;=0),"Apogée","") &amp; IF(AND(Poussee=0,Q187&gt;0),"Fin de propulsion","") &amp; IF(AND(L189&gt;L_rampe,pos_xz&lt;=L_rampe),"Sortie de rampe","")</f>
        <v/>
      </c>
      <c r="Z188" s="455" t="str">
        <f aca="false">IF(ABS(t-T_para)&lt;pas/2,"Para","")</f>
        <v/>
      </c>
      <c r="AA188" s="456" t="str">
        <f aca="false">IF(ABS(t-T_satellite)&lt;pas/2,"Satellite","")</f>
        <v/>
      </c>
      <c r="AB188" s="444"/>
      <c r="AC188" s="452" t="e">
        <f aca="false">IF(ABS(t-ROUND(t,0))&lt;0.001,t,NA())</f>
        <v>#N/A</v>
      </c>
      <c r="AD188" s="457" t="e">
        <f aca="false">IF(ABS(t-ROUND(t,0))&lt;0.001,pos_x,NA())</f>
        <v>#N/A</v>
      </c>
      <c r="AE188" s="458" t="n">
        <f aca="false">IF(t&lt;T_para, pos_z, NA())</f>
        <v>117.636169606991</v>
      </c>
      <c r="AF188" s="444"/>
      <c r="AG188" s="450" t="n">
        <f aca="false">IF(AND(L187&lt;L_rampe,Poussee&lt;Poids*SIN(M187)),0,(-W187+Poussee)/m-Poids*SIN(M187)/m)</f>
        <v>53.5997173371196</v>
      </c>
      <c r="AH188" s="449" t="n">
        <f aca="false">IF(AND(L187&lt;L_rampe,Poussee&lt;Poids*SIN(M187)), g*SIN(M187), (-W187+Poussee)/m)</f>
        <v>63.1785699050176</v>
      </c>
    </row>
    <row r="189" customFormat="false" ht="12" hidden="false" customHeight="false" outlineLevel="0" collapsed="false">
      <c r="A189" s="448" t="n">
        <f aca="false">IF(B188+0.01&lt;=T_ini+ROUNDUP(Temps_fin_propu,0), 0.01, IF(K188&gt;0, 0.1, 0.0001))</f>
        <v>0.01</v>
      </c>
      <c r="B189" s="449" t="n">
        <f aca="false">B188+pas</f>
        <v>1.85</v>
      </c>
      <c r="C189" s="432"/>
      <c r="D189" s="450" t="n">
        <f aca="false">IF(AND(L188&lt;L_rampe,Poussee&lt;Poids*SIN(M188)),0,(-W188+Poussee)/m*COS(M188)-U188/m*SIN(M188))</f>
        <v>13.6056242978454</v>
      </c>
      <c r="E189" s="451" t="n">
        <f aca="false">IF(AND(L188&lt;L_rampe,Poussee&lt;Poids*SIN(M188)),0,(-W188+Poussee)/m*SIN(M188)+U188/m*COS(M188)-Poids/m)</f>
        <v>51.7019923757928</v>
      </c>
      <c r="F189" s="449" t="n">
        <f aca="false">SQRT(acc_x^2+acc_z^2)</f>
        <v>53.4622205689275</v>
      </c>
      <c r="G189" s="450" t="n">
        <f aca="false">G188+acc_x*pas</f>
        <v>26.9286001673094</v>
      </c>
      <c r="H189" s="451" t="n">
        <f aca="false">H188+acc_z*pas</f>
        <v>121.648011161149</v>
      </c>
      <c r="I189" s="449" t="n">
        <f aca="false">SQRT(vit_x^2+vit_z^2)</f>
        <v>124.592889550061</v>
      </c>
      <c r="J189" s="450" t="n">
        <f aca="false">J188+0.5*(vit_x+G188)*pas*(K188&gt;=0)</f>
        <v>24.5942467448348</v>
      </c>
      <c r="K189" s="451" t="n">
        <f aca="false">K188+0.5*(vit_z+H188)*pas</f>
        <v>118.850064618984</v>
      </c>
      <c r="L189" s="449" t="n">
        <f aca="false">SQRT(pos_x^2+pos_z^2)</f>
        <v>121.368096437583</v>
      </c>
      <c r="M189" s="450" t="n">
        <f aca="false">IF(AND(L188&gt;L_rampe,G189&gt;0),ATAN2(G189,H189),$M$4)</f>
        <v>1.35294450406032</v>
      </c>
      <c r="N189" s="449" t="n">
        <f aca="false">DEGREES(Beta)</f>
        <v>77.5180099980765</v>
      </c>
      <c r="O189" s="438"/>
      <c r="P189" s="452" t="n">
        <f aca="false">MATCH(t-pas/2-T_ini,CdP_t)</f>
        <v>5</v>
      </c>
      <c r="Q189" s="449" t="n">
        <f aca="false">(INDEX(CdP,2,i_P+1)-INDEX(CdP,2,i_P+0))/(INDEX(CdP,1,i_P+1)-INDEX(CdP,1,i_P+0))*(t-pas/2-T_ini-INDEX(CdP,1,i_P+0))+INDEX(CdP,2,i_P+0)</f>
        <v>608.63</v>
      </c>
      <c r="R189" s="450" t="n">
        <f aca="false">Poussee/(g*ISP)</f>
        <v>0.305443039881071</v>
      </c>
      <c r="S189" s="451" t="n">
        <f aca="false">S188-Débit*pas</f>
        <v>9.00335384430399</v>
      </c>
      <c r="T189" s="449" t="n">
        <f aca="false">m*g</f>
        <v>88.3229012126221</v>
      </c>
      <c r="U189" s="453" t="n">
        <f aca="false">IF(pos_xz&lt;L_rampe,Poids*COS(Beta),0)</f>
        <v>0</v>
      </c>
      <c r="V189" s="450" t="n">
        <f aca="false">Rho_moyen*(20000-Alt_rampe-pos_z)/(20000+Alt_rampe+pos_z)</f>
        <v>1.21052687368407</v>
      </c>
      <c r="W189" s="449" t="n">
        <f aca="false">1/2*Rho*Sref*Cx*vit_xz^2</f>
        <v>41.7827661583898</v>
      </c>
      <c r="X189" s="438"/>
      <c r="Y189" s="454" t="str">
        <f aca="false">IF(AND(pos_z&lt;=0,K188&gt;0),"Impact balistique","") &amp; IF(AND(H190&lt;0,vit_z&gt;=0),"Apogée","") &amp; IF(AND(Poussee=0,Q188&gt;0),"Fin de propulsion","") &amp; IF(AND(L190&gt;L_rampe,pos_xz&lt;=L_rampe),"Sortie de rampe","")</f>
        <v/>
      </c>
      <c r="Z189" s="455" t="str">
        <f aca="false">IF(ABS(t-T_para)&lt;pas/2,"Para","")</f>
        <v/>
      </c>
      <c r="AA189" s="456" t="str">
        <f aca="false">IF(ABS(t-T_satellite)&lt;pas/2,"Satellite","")</f>
        <v/>
      </c>
      <c r="AB189" s="444"/>
      <c r="AC189" s="452" t="e">
        <f aca="false">IF(ABS(t-ROUND(t,0))&lt;0.001,t,NA())</f>
        <v>#N/A</v>
      </c>
      <c r="AD189" s="457" t="e">
        <f aca="false">IF(ABS(t-ROUND(t,0))&lt;0.001,pos_x,NA())</f>
        <v>#N/A</v>
      </c>
      <c r="AE189" s="458" t="n">
        <f aca="false">IF(t&lt;T_para, pos_z, NA())</f>
        <v>118.850064618984</v>
      </c>
      <c r="AF189" s="444"/>
      <c r="AG189" s="450" t="n">
        <f aca="false">IF(AND(L188&lt;L_rampe,Poussee&lt;Poids*SIN(M188)),0,(-W188+Poussee)/m-Poids*SIN(M188)/m)</f>
        <v>53.4202248340264</v>
      </c>
      <c r="AH189" s="449" t="n">
        <f aca="false">IF(AND(L188&lt;L_rampe,Poussee&lt;Poids*SIN(M188)), g*SIN(M188), (-W188+Poussee)/m)</f>
        <v>62.9987160073418</v>
      </c>
    </row>
    <row r="190" customFormat="false" ht="12" hidden="false" customHeight="false" outlineLevel="0" collapsed="false">
      <c r="A190" s="448" t="n">
        <f aca="false">IF(B189+0.01&lt;=T_ini+ROUNDUP(Temps_fin_propu,0), 0.01, IF(K189&gt;0, 0.1, 0.0001))</f>
        <v>0.01</v>
      </c>
      <c r="B190" s="449" t="n">
        <f aca="false">B189+pas</f>
        <v>1.86</v>
      </c>
      <c r="C190" s="432"/>
      <c r="D190" s="450" t="n">
        <f aca="false">IF(AND(L189&lt;L_rampe,Poussee&lt;Poids*SIN(M189)),0,(-W189+Poussee)/m*COS(M189)-U189/m*SIN(M189))</f>
        <v>13.5771684760789</v>
      </c>
      <c r="E190" s="451" t="n">
        <f aca="false">IF(AND(L189&lt;L_rampe,Poussee&lt;Poids*SIN(M189)),0,(-W189+Poussee)/m*SIN(M189)+U189/m*COS(M189)-Poids/m)</f>
        <v>51.5238804116481</v>
      </c>
      <c r="F190" s="449" t="n">
        <f aca="false">SQRT(acc_x^2+acc_z^2)</f>
        <v>53.2827341312516</v>
      </c>
      <c r="G190" s="450" t="n">
        <f aca="false">G189+acc_x*pas</f>
        <v>27.0643718520702</v>
      </c>
      <c r="H190" s="451" t="n">
        <f aca="false">H189+acc_z*pas</f>
        <v>122.163249965265</v>
      </c>
      <c r="I190" s="449" t="n">
        <f aca="false">SQRT(vit_x^2+vit_z^2)</f>
        <v>125.125296666274</v>
      </c>
      <c r="J190" s="450" t="n">
        <f aca="false">J189+0.5*(vit_x+G189)*pas*(K189&gt;=0)</f>
        <v>24.8642116049317</v>
      </c>
      <c r="K190" s="451" t="n">
        <f aca="false">K189+0.5*(vit_z+H189)*pas</f>
        <v>120.069120924616</v>
      </c>
      <c r="L190" s="449" t="n">
        <f aca="false">SQRT(pos_x^2+pos_z^2)</f>
        <v>122.616568286447</v>
      </c>
      <c r="M190" s="450" t="n">
        <f aca="false">IF(AND(L189&gt;L_rampe,G190&gt;0),ATAN2(G190,H190),$M$4)</f>
        <v>1.35277505295377</v>
      </c>
      <c r="N190" s="449" t="n">
        <f aca="false">DEGREES(Beta)</f>
        <v>77.5083011648373</v>
      </c>
      <c r="O190" s="438"/>
      <c r="P190" s="452" t="n">
        <f aca="false">MATCH(t-pas/2-T_ini,CdP_t)</f>
        <v>5</v>
      </c>
      <c r="Q190" s="449" t="n">
        <f aca="false">(INDEX(CdP,2,i_P+1)-INDEX(CdP,2,i_P+0))/(INDEX(CdP,1,i_P+1)-INDEX(CdP,1,i_P+0))*(t-pas/2-T_ini-INDEX(CdP,1,i_P+0))+INDEX(CdP,2,i_P+0)</f>
        <v>607.17</v>
      </c>
      <c r="R190" s="450" t="n">
        <f aca="false">Poussee/(g*ISP)</f>
        <v>0.304710333904983</v>
      </c>
      <c r="S190" s="451" t="n">
        <f aca="false">S189-Débit*pas</f>
        <v>9.00030674096494</v>
      </c>
      <c r="T190" s="449" t="n">
        <f aca="false">m*g</f>
        <v>88.2930091288661</v>
      </c>
      <c r="U190" s="453" t="n">
        <f aca="false">IF(pos_xz&lt;L_rampe,Poids*COS(Beta),0)</f>
        <v>0</v>
      </c>
      <c r="V190" s="450" t="n">
        <f aca="false">Rho_moyen*(20000-Alt_rampe-pos_z)/(20000+Alt_rampe+pos_z)</f>
        <v>1.21037930737229</v>
      </c>
      <c r="W190" s="449" t="n">
        <f aca="false">1/2*Rho*Sref*Cx*vit_xz^2</f>
        <v>42.1354821369313</v>
      </c>
      <c r="X190" s="438"/>
      <c r="Y190" s="454" t="str">
        <f aca="false">IF(AND(pos_z&lt;=0,K189&gt;0),"Impact balistique","") &amp; IF(AND(H191&lt;0,vit_z&gt;=0),"Apogée","") &amp; IF(AND(Poussee=0,Q189&gt;0),"Fin de propulsion","") &amp; IF(AND(L191&gt;L_rampe,pos_xz&lt;=L_rampe),"Sortie de rampe","")</f>
        <v/>
      </c>
      <c r="Z190" s="455" t="str">
        <f aca="false">IF(ABS(t-T_para)&lt;pas/2,"Para","")</f>
        <v/>
      </c>
      <c r="AA190" s="456" t="str">
        <f aca="false">IF(ABS(t-T_satellite)&lt;pas/2,"Satellite","")</f>
        <v/>
      </c>
      <c r="AB190" s="444"/>
      <c r="AC190" s="452" t="e">
        <f aca="false">IF(ABS(t-ROUND(t,0))&lt;0.001,t,NA())</f>
        <v>#N/A</v>
      </c>
      <c r="AD190" s="457" t="e">
        <f aca="false">IF(ABS(t-ROUND(t,0))&lt;0.001,pos_x,NA())</f>
        <v>#N/A</v>
      </c>
      <c r="AE190" s="458" t="n">
        <f aca="false">IF(t&lt;T_para, pos_z, NA())</f>
        <v>120.069120924616</v>
      </c>
      <c r="AF190" s="444"/>
      <c r="AG190" s="450" t="n">
        <f aca="false">IF(AND(L189&lt;L_rampe,Poussee&lt;Poids*SIN(M189)),0,(-W189+Poussee)/m-Poids*SIN(M189)/m)</f>
        <v>53.2405319808647</v>
      </c>
      <c r="AH190" s="449" t="n">
        <f aca="false">IF(AND(L189&lt;L_rampe,Poussee&lt;Poids*SIN(M189)), g*SIN(M189), (-W189+Poussee)/m)</f>
        <v>62.8186627538201</v>
      </c>
    </row>
    <row r="191" customFormat="false" ht="12" hidden="false" customHeight="false" outlineLevel="0" collapsed="false">
      <c r="A191" s="448" t="n">
        <f aca="false">IF(B190+0.01&lt;=T_ini+ROUNDUP(Temps_fin_propu,0), 0.01, IF(K190&gt;0, 0.1, 0.0001))</f>
        <v>0.01</v>
      </c>
      <c r="B191" s="449" t="n">
        <f aca="false">B190+pas</f>
        <v>1.87</v>
      </c>
      <c r="C191" s="432"/>
      <c r="D191" s="450" t="n">
        <f aca="false">IF(AND(L190&lt;L_rampe,Poussee&lt;Poids*SIN(M190)),0,(-W190+Poussee)/m*COS(M190)-U190/m*SIN(M190))</f>
        <v>13.5485735366608</v>
      </c>
      <c r="E191" s="451" t="n">
        <f aca="false">IF(AND(L190&lt;L_rampe,Poussee&lt;Poids*SIN(M190)),0,(-W190+Poussee)/m*SIN(M190)+U190/m*COS(M190)-Poids/m)</f>
        <v>51.3455954329405</v>
      </c>
      <c r="F191" s="449" t="n">
        <f aca="false">SQRT(acc_x^2+acc_z^2)</f>
        <v>53.1030509033285</v>
      </c>
      <c r="G191" s="450" t="n">
        <f aca="false">G190+acc_x*pas</f>
        <v>27.1998575874368</v>
      </c>
      <c r="H191" s="451" t="n">
        <f aca="false">H190+acc_z*pas</f>
        <v>122.676705919595</v>
      </c>
      <c r="I191" s="449" t="n">
        <f aca="false">SQRT(vit_x^2+vit_z^2)</f>
        <v>125.655904867457</v>
      </c>
      <c r="J191" s="450" t="n">
        <f aca="false">J190+0.5*(vit_x+G190)*pas*(K190&gt;=0)</f>
        <v>25.1355327521292</v>
      </c>
      <c r="K191" s="451" t="n">
        <f aca="false">K190+0.5*(vit_z+H190)*pas</f>
        <v>121.29332070404</v>
      </c>
      <c r="L191" s="449" t="n">
        <f aca="false">SQRT(pos_x^2+pos_z^2)</f>
        <v>123.870354218217</v>
      </c>
      <c r="M191" s="450" t="n">
        <f aca="false">IF(AND(L190&gt;L_rampe,G191&gt;0),ATAN2(G191,H191),$M$4)</f>
        <v>1.35260618822796</v>
      </c>
      <c r="N191" s="449" t="n">
        <f aca="false">DEGREES(Beta)</f>
        <v>77.49862592874</v>
      </c>
      <c r="O191" s="438"/>
      <c r="P191" s="452" t="n">
        <f aca="false">MATCH(t-pas/2-T_ini,CdP_t)</f>
        <v>5</v>
      </c>
      <c r="Q191" s="449" t="n">
        <f aca="false">(INDEX(CdP,2,i_P+1)-INDEX(CdP,2,i_P+0))/(INDEX(CdP,1,i_P+1)-INDEX(CdP,1,i_P+0))*(t-pas/2-T_ini-INDEX(CdP,1,i_P+0))+INDEX(CdP,2,i_P+0)</f>
        <v>605.71</v>
      </c>
      <c r="R191" s="450" t="n">
        <f aca="false">Poussee/(g*ISP)</f>
        <v>0.303977627928895</v>
      </c>
      <c r="S191" s="451" t="n">
        <f aca="false">S190-Débit*pas</f>
        <v>8.99726696468565</v>
      </c>
      <c r="T191" s="449" t="n">
        <f aca="false">m*g</f>
        <v>88.2631889235662</v>
      </c>
      <c r="U191" s="453" t="n">
        <f aca="false">IF(pos_xz&lt;L_rampe,Poids*COS(Beta),0)</f>
        <v>0</v>
      </c>
      <c r="V191" s="450" t="n">
        <f aca="false">Rho_moyen*(20000-Alt_rampe-pos_z)/(20000+Alt_rampe+pos_z)</f>
        <v>1.21023113643897</v>
      </c>
      <c r="W191" s="449" t="n">
        <f aca="false">1/2*Rho*Sref*Cx*vit_xz^2</f>
        <v>42.4883986241598</v>
      </c>
      <c r="X191" s="438"/>
      <c r="Y191" s="454" t="str">
        <f aca="false">IF(AND(pos_z&lt;=0,K190&gt;0),"Impact balistique","") &amp; IF(AND(H192&lt;0,vit_z&gt;=0),"Apogée","") &amp; IF(AND(Poussee=0,Q190&gt;0),"Fin de propulsion","") &amp; IF(AND(L192&gt;L_rampe,pos_xz&lt;=L_rampe),"Sortie de rampe","")</f>
        <v/>
      </c>
      <c r="Z191" s="455" t="str">
        <f aca="false">IF(ABS(t-T_para)&lt;pas/2,"Para","")</f>
        <v/>
      </c>
      <c r="AA191" s="456" t="str">
        <f aca="false">IF(ABS(t-T_satellite)&lt;pas/2,"Satellite","")</f>
        <v/>
      </c>
      <c r="AB191" s="444"/>
      <c r="AC191" s="452" t="e">
        <f aca="false">IF(ABS(t-ROUND(t,0))&lt;0.001,t,NA())</f>
        <v>#N/A</v>
      </c>
      <c r="AD191" s="457" t="e">
        <f aca="false">IF(ABS(t-ROUND(t,0))&lt;0.001,pos_x,NA())</f>
        <v>#N/A</v>
      </c>
      <c r="AE191" s="458" t="n">
        <f aca="false">IF(t&lt;T_para, pos_z, NA())</f>
        <v>121.29332070404</v>
      </c>
      <c r="AF191" s="444"/>
      <c r="AG191" s="450" t="n">
        <f aca="false">IF(AND(L190&lt;L_rampe,Poussee&lt;Poids*SIN(M190)),0,(-W190+Poussee)/m-Poids*SIN(M190)/m)</f>
        <v>53.0606409626242</v>
      </c>
      <c r="AH191" s="449" t="n">
        <f aca="false">IF(AND(L190&lt;L_rampe,Poussee&lt;Poids*SIN(M190)), g*SIN(M190), (-W190+Poussee)/m)</f>
        <v>62.6384123173296</v>
      </c>
    </row>
    <row r="192" customFormat="false" ht="12" hidden="false" customHeight="false" outlineLevel="0" collapsed="false">
      <c r="A192" s="448" t="n">
        <f aca="false">IF(B191+0.01&lt;=T_ini+ROUNDUP(Temps_fin_propu,0), 0.01, IF(K191&gt;0, 0.1, 0.0001))</f>
        <v>0.01</v>
      </c>
      <c r="B192" s="449" t="n">
        <f aca="false">B191+pas</f>
        <v>1.88</v>
      </c>
      <c r="C192" s="432"/>
      <c r="D192" s="450" t="n">
        <f aca="false">IF(AND(L191&lt;L_rampe,Poussee&lt;Poids*SIN(M191)),0,(-W191+Poussee)/m*COS(M191)-U191/m*SIN(M191))</f>
        <v>13.51984059818</v>
      </c>
      <c r="E192" s="451" t="n">
        <f aca="false">IF(AND(L191&lt;L_rampe,Poussee&lt;Poids*SIN(M191)),0,(-W191+Poussee)/m*SIN(M191)+U191/m*COS(M191)-Poids/m)</f>
        <v>51.1671394504943</v>
      </c>
      <c r="F192" s="449" t="n">
        <f aca="false">SQRT(acc_x^2+acc_z^2)</f>
        <v>52.9231730846377</v>
      </c>
      <c r="G192" s="450" t="n">
        <f aca="false">G191+acc_x*pas</f>
        <v>27.3350559934186</v>
      </c>
      <c r="H192" s="451" t="n">
        <f aca="false">H191+acc_z*pas</f>
        <v>123.188377314099</v>
      </c>
      <c r="I192" s="449" t="n">
        <f aca="false">SQRT(vit_x^2+vit_z^2)</f>
        <v>126.184712193848</v>
      </c>
      <c r="J192" s="450" t="n">
        <f aca="false">J191+0.5*(vit_x+G191)*pas*(K191&gt;=0)</f>
        <v>25.4082073200335</v>
      </c>
      <c r="K192" s="451" t="n">
        <f aca="false">K191+0.5*(vit_z+H191)*pas</f>
        <v>122.522646120209</v>
      </c>
      <c r="L192" s="449" t="n">
        <f aca="false">SQRT(pos_x^2+pos_z^2)</f>
        <v>125.129436231111</v>
      </c>
      <c r="M192" s="450" t="n">
        <f aca="false">IF(AND(L191&gt;L_rampe,G192&gt;0),ATAN2(G192,H192),$M$4)</f>
        <v>1.35243790299969</v>
      </c>
      <c r="N192" s="449" t="n">
        <f aca="false">DEGREES(Beta)</f>
        <v>77.4889838954059</v>
      </c>
      <c r="O192" s="438"/>
      <c r="P192" s="452" t="n">
        <f aca="false">MATCH(t-pas/2-T_ini,CdP_t)</f>
        <v>5</v>
      </c>
      <c r="Q192" s="449" t="n">
        <f aca="false">(INDEX(CdP,2,i_P+1)-INDEX(CdP,2,i_P+0))/(INDEX(CdP,1,i_P+1)-INDEX(CdP,1,i_P+0))*(t-pas/2-T_ini-INDEX(CdP,1,i_P+0))+INDEX(CdP,2,i_P+0)</f>
        <v>604.25</v>
      </c>
      <c r="R192" s="450" t="n">
        <f aca="false">Poussee/(g*ISP)</f>
        <v>0.303244921952807</v>
      </c>
      <c r="S192" s="451" t="n">
        <f aca="false">S191-Débit*pas</f>
        <v>8.99423451546612</v>
      </c>
      <c r="T192" s="449" t="n">
        <f aca="false">m*g</f>
        <v>88.2334405967227</v>
      </c>
      <c r="U192" s="453" t="n">
        <f aca="false">IF(pos_xz&lt;L_rampe,Poids*COS(Beta),0)</f>
        <v>0</v>
      </c>
      <c r="V192" s="450" t="n">
        <f aca="false">Rho_moyen*(20000-Alt_rampe-pos_z)/(20000+Alt_rampe+pos_z)</f>
        <v>1.2100823632666</v>
      </c>
      <c r="W192" s="449" t="n">
        <f aca="false">1/2*Rho*Sref*Cx*vit_xz^2</f>
        <v>42.8414983140812</v>
      </c>
      <c r="X192" s="438"/>
      <c r="Y192" s="454" t="str">
        <f aca="false">IF(AND(pos_z&lt;=0,K191&gt;0),"Impact balistique","") &amp; IF(AND(H193&lt;0,vit_z&gt;=0),"Apogée","") &amp; IF(AND(Poussee=0,Q191&gt;0),"Fin de propulsion","") &amp; IF(AND(L193&gt;L_rampe,pos_xz&lt;=L_rampe),"Sortie de rampe","")</f>
        <v/>
      </c>
      <c r="Z192" s="455" t="str">
        <f aca="false">IF(ABS(t-T_para)&lt;pas/2,"Para","")</f>
        <v/>
      </c>
      <c r="AA192" s="456" t="str">
        <f aca="false">IF(ABS(t-T_satellite)&lt;pas/2,"Satellite","")</f>
        <v/>
      </c>
      <c r="AB192" s="444"/>
      <c r="AC192" s="452" t="e">
        <f aca="false">IF(ABS(t-ROUND(t,0))&lt;0.001,t,NA())</f>
        <v>#N/A</v>
      </c>
      <c r="AD192" s="457" t="e">
        <f aca="false">IF(ABS(t-ROUND(t,0))&lt;0.001,pos_x,NA())</f>
        <v>#N/A</v>
      </c>
      <c r="AE192" s="458" t="n">
        <f aca="false">IF(t&lt;T_para, pos_z, NA())</f>
        <v>122.522646120209</v>
      </c>
      <c r="AF192" s="444"/>
      <c r="AG192" s="450" t="n">
        <f aca="false">IF(AND(L191&lt;L_rampe,Poussee&lt;Poids*SIN(M191)),0,(-W191+Poussee)/m-Poids*SIN(M191)/m)</f>
        <v>52.8805539620238</v>
      </c>
      <c r="AH192" s="449" t="n">
        <f aca="false">IF(AND(L191&lt;L_rampe,Poussee&lt;Poids*SIN(M191)), g*SIN(M191), (-W191+Poussee)/m)</f>
        <v>62.4579668686487</v>
      </c>
    </row>
    <row r="193" customFormat="false" ht="12" hidden="false" customHeight="false" outlineLevel="0" collapsed="false">
      <c r="A193" s="448" t="n">
        <f aca="false">IF(B192+0.01&lt;=T_ini+ROUNDUP(Temps_fin_propu,0), 0.01, IF(K192&gt;0, 0.1, 0.0001))</f>
        <v>0.01</v>
      </c>
      <c r="B193" s="449" t="n">
        <f aca="false">B192+pas</f>
        <v>1.89</v>
      </c>
      <c r="C193" s="432"/>
      <c r="D193" s="450" t="n">
        <f aca="false">IF(AND(L192&lt;L_rampe,Poussee&lt;Poids*SIN(M192)),0,(-W192+Poussee)/m*COS(M192)-U192/m*SIN(M192))</f>
        <v>13.4909707694265</v>
      </c>
      <c r="E193" s="451" t="n">
        <f aca="false">IF(AND(L192&lt;L_rampe,Poussee&lt;Poids*SIN(M192)),0,(-W192+Poussee)/m*SIN(M192)+U192/m*COS(M192)-Poids/m)</f>
        <v>50.9885144745174</v>
      </c>
      <c r="F193" s="449" t="n">
        <f aca="false">SQRT(acc_x^2+acc_z^2)</f>
        <v>52.7431028725045</v>
      </c>
      <c r="G193" s="450" t="n">
        <f aca="false">G192+acc_x*pas</f>
        <v>27.4699657011128</v>
      </c>
      <c r="H193" s="451" t="n">
        <f aca="false">H192+acc_z*pas</f>
        <v>123.698262458845</v>
      </c>
      <c r="I193" s="449" t="n">
        <f aca="false">SQRT(vit_x^2+vit_z^2)</f>
        <v>126.711716707483</v>
      </c>
      <c r="J193" s="450" t="n">
        <f aca="false">J192+0.5*(vit_x+G192)*pas*(K192&gt;=0)</f>
        <v>25.6822324285062</v>
      </c>
      <c r="K193" s="451" t="n">
        <f aca="false">K192+0.5*(vit_z+H192)*pas</f>
        <v>123.757079319074</v>
      </c>
      <c r="L193" s="449" t="n">
        <f aca="false">SQRT(pos_x^2+pos_z^2)</f>
        <v>126.393796303851</v>
      </c>
      <c r="M193" s="450" t="n">
        <f aca="false">IF(AND(L192&gt;L_rampe,G193&gt;0),ATAN2(G193,H193),$M$4)</f>
        <v>1.35227019048883</v>
      </c>
      <c r="N193" s="449" t="n">
        <f aca="false">DEGREES(Beta)</f>
        <v>77.4793746763618</v>
      </c>
      <c r="O193" s="438"/>
      <c r="P193" s="452" t="n">
        <f aca="false">MATCH(t-pas/2-T_ini,CdP_t)</f>
        <v>5</v>
      </c>
      <c r="Q193" s="449" t="n">
        <f aca="false">(INDEX(CdP,2,i_P+1)-INDEX(CdP,2,i_P+0))/(INDEX(CdP,1,i_P+1)-INDEX(CdP,1,i_P+0))*(t-pas/2-T_ini-INDEX(CdP,1,i_P+0))+INDEX(CdP,2,i_P+0)</f>
        <v>602.79</v>
      </c>
      <c r="R193" s="450" t="n">
        <f aca="false">Poussee/(g*ISP)</f>
        <v>0.302512215976719</v>
      </c>
      <c r="S193" s="451" t="n">
        <f aca="false">S192-Débit*pas</f>
        <v>8.99120939330635</v>
      </c>
      <c r="T193" s="449" t="n">
        <f aca="false">m*g</f>
        <v>88.2037641483353</v>
      </c>
      <c r="U193" s="453" t="n">
        <f aca="false">IF(pos_xz&lt;L_rampe,Poids*COS(Beta),0)</f>
        <v>0</v>
      </c>
      <c r="V193" s="450" t="n">
        <f aca="false">Rho_moyen*(20000-Alt_rampe-pos_z)/(20000+Alt_rampe+pos_z)</f>
        <v>1.20993299023951</v>
      </c>
      <c r="W193" s="449" t="n">
        <f aca="false">1/2*Rho*Sref*Cx*vit_xz^2</f>
        <v>43.1947639558046</v>
      </c>
      <c r="X193" s="438"/>
      <c r="Y193" s="454" t="str">
        <f aca="false">IF(AND(pos_z&lt;=0,K192&gt;0),"Impact balistique","") &amp; IF(AND(H194&lt;0,vit_z&gt;=0),"Apogée","") &amp; IF(AND(Poussee=0,Q192&gt;0),"Fin de propulsion","") &amp; IF(AND(L194&gt;L_rampe,pos_xz&lt;=L_rampe),"Sortie de rampe","")</f>
        <v/>
      </c>
      <c r="Z193" s="455" t="str">
        <f aca="false">IF(ABS(t-T_para)&lt;pas/2,"Para","")</f>
        <v/>
      </c>
      <c r="AA193" s="456" t="str">
        <f aca="false">IF(ABS(t-T_satellite)&lt;pas/2,"Satellite","")</f>
        <v/>
      </c>
      <c r="AB193" s="444"/>
      <c r="AC193" s="452" t="e">
        <f aca="false">IF(ABS(t-ROUND(t,0))&lt;0.001,t,NA())</f>
        <v>#N/A</v>
      </c>
      <c r="AD193" s="457" t="e">
        <f aca="false">IF(ABS(t-ROUND(t,0))&lt;0.001,pos_x,NA())</f>
        <v>#N/A</v>
      </c>
      <c r="AE193" s="458" t="n">
        <f aca="false">IF(t&lt;T_para, pos_z, NA())</f>
        <v>123.757079319074</v>
      </c>
      <c r="AF193" s="444"/>
      <c r="AG193" s="450" t="n">
        <f aca="false">IF(AND(L192&lt;L_rampe,Poussee&lt;Poids*SIN(M192)),0,(-W192+Poussee)/m-Poids*SIN(M192)/m)</f>
        <v>52.7002731594322</v>
      </c>
      <c r="AH193" s="449" t="n">
        <f aca="false">IF(AND(L192&lt;L_rampe,Poussee&lt;Poids*SIN(M192)), g*SIN(M192), (-W192+Poussee)/m)</f>
        <v>62.2773285763738</v>
      </c>
    </row>
    <row r="194" customFormat="false" ht="12" hidden="false" customHeight="false" outlineLevel="0" collapsed="false">
      <c r="A194" s="448" t="n">
        <f aca="false">IF(B193+0.01&lt;=T_ini+ROUNDUP(Temps_fin_propu,0), 0.01, IF(K193&gt;0, 0.1, 0.0001))</f>
        <v>0.01</v>
      </c>
      <c r="B194" s="449" t="n">
        <f aca="false">B193+pas</f>
        <v>1.9</v>
      </c>
      <c r="C194" s="432"/>
      <c r="D194" s="450" t="n">
        <f aca="false">IF(AND(L193&lt;L_rampe,Poussee&lt;Poids*SIN(M193)),0,(-W193+Poussee)/m*COS(M193)-U193/m*SIN(M193))</f>
        <v>13.4619651495751</v>
      </c>
      <c r="E194" s="451" t="n">
        <f aca="false">IF(AND(L193&lt;L_rampe,Poussee&lt;Poids*SIN(M193)),0,(-W193+Poussee)/m*SIN(M193)+U193/m*COS(M193)-Poids/m)</f>
        <v>50.809722514488</v>
      </c>
      <c r="F194" s="449" t="n">
        <f aca="false">SQRT(acc_x^2+acc_z^2)</f>
        <v>52.5628424620249</v>
      </c>
      <c r="G194" s="450" t="n">
        <f aca="false">G193+acc_x*pas</f>
        <v>27.6045853526086</v>
      </c>
      <c r="H194" s="451" t="n">
        <f aca="false">H193+acc_z*pas</f>
        <v>124.20635968399</v>
      </c>
      <c r="I194" s="449" t="n">
        <f aca="false">SQRT(vit_x^2+vit_z^2)</f>
        <v>127.23691649218</v>
      </c>
      <c r="J194" s="450" t="n">
        <f aca="false">J193+0.5*(vit_x+G193)*pas*(K193&gt;=0)</f>
        <v>25.9576051837748</v>
      </c>
      <c r="K194" s="451" t="n">
        <f aca="false">K193+0.5*(vit_z+H193)*pas</f>
        <v>124.996602429788</v>
      </c>
      <c r="L194" s="449" t="n">
        <f aca="false">SQRT(pos_x^2+pos_z^2)</f>
        <v>127.663416395877</v>
      </c>
      <c r="M194" s="450" t="n">
        <f aca="false">IF(AND(L193&gt;L_rampe,G194&gt;0),ATAN2(G194,H194),$M$4)</f>
        <v>1.35210304401615</v>
      </c>
      <c r="N194" s="449" t="n">
        <f aca="false">DEGREES(Beta)</f>
        <v>77.469797888917</v>
      </c>
      <c r="O194" s="438"/>
      <c r="P194" s="452" t="n">
        <f aca="false">MATCH(t-pas/2-T_ini,CdP_t)</f>
        <v>5</v>
      </c>
      <c r="Q194" s="449" t="n">
        <f aca="false">(INDEX(CdP,2,i_P+1)-INDEX(CdP,2,i_P+0))/(INDEX(CdP,1,i_P+1)-INDEX(CdP,1,i_P+0))*(t-pas/2-T_ini-INDEX(CdP,1,i_P+0))+INDEX(CdP,2,i_P+0)</f>
        <v>601.33</v>
      </c>
      <c r="R194" s="450" t="n">
        <f aca="false">Poussee/(g*ISP)</f>
        <v>0.301779510000631</v>
      </c>
      <c r="S194" s="451" t="n">
        <f aca="false">S193-Débit*pas</f>
        <v>8.98819159820635</v>
      </c>
      <c r="T194" s="449" t="n">
        <f aca="false">m*g</f>
        <v>88.1741595784043</v>
      </c>
      <c r="U194" s="453" t="n">
        <f aca="false">IF(pos_xz&lt;L_rampe,Poids*COS(Beta),0)</f>
        <v>0</v>
      </c>
      <c r="V194" s="450" t="n">
        <f aca="false">Rho_moyen*(20000-Alt_rampe-pos_z)/(20000+Alt_rampe+pos_z)</f>
        <v>1.20978301974391</v>
      </c>
      <c r="W194" s="449" t="n">
        <f aca="false">1/2*Rho*Sref*Cx*vit_xz^2</f>
        <v>43.5481783540859</v>
      </c>
      <c r="X194" s="438"/>
      <c r="Y194" s="454" t="str">
        <f aca="false">IF(AND(pos_z&lt;=0,K193&gt;0),"Impact balistique","") &amp; IF(AND(H195&lt;0,vit_z&gt;=0),"Apogée","") &amp; IF(AND(Poussee=0,Q193&gt;0),"Fin de propulsion","") &amp; IF(AND(L195&gt;L_rampe,pos_xz&lt;=L_rampe),"Sortie de rampe","")</f>
        <v/>
      </c>
      <c r="Z194" s="455" t="str">
        <f aca="false">IF(ABS(t-T_para)&lt;pas/2,"Para","")</f>
        <v/>
      </c>
      <c r="AA194" s="456" t="str">
        <f aca="false">IF(ABS(t-T_satellite)&lt;pas/2,"Satellite","")</f>
        <v/>
      </c>
      <c r="AB194" s="444"/>
      <c r="AC194" s="452" t="e">
        <f aca="false">IF(ABS(t-ROUND(t,0))&lt;0.001,t,NA())</f>
        <v>#N/A</v>
      </c>
      <c r="AD194" s="457" t="e">
        <f aca="false">IF(ABS(t-ROUND(t,0))&lt;0.001,pos_x,NA())</f>
        <v>#N/A</v>
      </c>
      <c r="AE194" s="458" t="n">
        <f aca="false">IF(t&lt;T_para, pos_z, NA())</f>
        <v>124.996602429788</v>
      </c>
      <c r="AF194" s="444"/>
      <c r="AG194" s="450" t="n">
        <f aca="false">IF(AND(L193&lt;L_rampe,Poussee&lt;Poids*SIN(M193)),0,(-W193+Poussee)/m-Poids*SIN(M193)/m)</f>
        <v>52.5198007327888</v>
      </c>
      <c r="AH194" s="449" t="n">
        <f aca="false">IF(AND(L193&lt;L_rampe,Poussee&lt;Poids*SIN(M193)), g*SIN(M193), (-W193+Poussee)/m)</f>
        <v>62.0964996068369</v>
      </c>
    </row>
    <row r="195" customFormat="false" ht="12" hidden="false" customHeight="false" outlineLevel="0" collapsed="false">
      <c r="A195" s="448" t="n">
        <f aca="false">IF(B194+0.01&lt;=T_ini+ROUNDUP(Temps_fin_propu,0), 0.01, IF(K194&gt;0, 0.1, 0.0001))</f>
        <v>0.01</v>
      </c>
      <c r="B195" s="449" t="n">
        <f aca="false">B194+pas</f>
        <v>1.91</v>
      </c>
      <c r="C195" s="432"/>
      <c r="D195" s="450" t="n">
        <f aca="false">IF(AND(L194&lt;L_rampe,Poussee&lt;Poids*SIN(M194)),0,(-W194+Poussee)/m*COS(M194)-U194/m*SIN(M194))</f>
        <v>13.4328248283631</v>
      </c>
      <c r="E195" s="451" t="n">
        <f aca="false">IF(AND(L194&lt;L_rampe,Poussee&lt;Poids*SIN(M194)),0,(-W194+Poussee)/m*SIN(M194)+U194/m*COS(M194)-Poids/m)</f>
        <v>50.6307655790428</v>
      </c>
      <c r="F195" s="449" t="n">
        <f aca="false">SQRT(acc_x^2+acc_z^2)</f>
        <v>52.382394045991</v>
      </c>
      <c r="G195" s="450" t="n">
        <f aca="false">G194+acc_x*pas</f>
        <v>27.7389136008922</v>
      </c>
      <c r="H195" s="451" t="n">
        <f aca="false">H194+acc_z*pas</f>
        <v>124.71266733978</v>
      </c>
      <c r="I195" s="449" t="n">
        <f aca="false">SQRT(vit_x^2+vit_z^2)</f>
        <v>127.760309653509</v>
      </c>
      <c r="J195" s="450" t="n">
        <f aca="false">J194+0.5*(vit_x+G194)*pas*(K194&gt;=0)</f>
        <v>26.2343226785423</v>
      </c>
      <c r="K195" s="451" t="n">
        <f aca="false">K194+0.5*(vit_z+H194)*pas</f>
        <v>126.241197564907</v>
      </c>
      <c r="L195" s="449" t="n">
        <f aca="false">SQRT(pos_x^2+pos_z^2)</f>
        <v>128.938278447572</v>
      </c>
      <c r="M195" s="450" t="n">
        <f aca="false">IF(AND(L194&gt;L_rampe,G195&gt;0),ATAN2(G195,H195),$M$4)</f>
        <v>1.3519364570013</v>
      </c>
      <c r="N195" s="449" t="n">
        <f aca="false">DEGREES(Beta)</f>
        <v>77.4602531560441</v>
      </c>
      <c r="O195" s="438"/>
      <c r="P195" s="452" t="n">
        <f aca="false">MATCH(t-pas/2-T_ini,CdP_t)</f>
        <v>5</v>
      </c>
      <c r="Q195" s="449" t="n">
        <f aca="false">(INDEX(CdP,2,i_P+1)-INDEX(CdP,2,i_P+0))/(INDEX(CdP,1,i_P+1)-INDEX(CdP,1,i_P+0))*(t-pas/2-T_ini-INDEX(CdP,1,i_P+0))+INDEX(CdP,2,i_P+0)</f>
        <v>599.87</v>
      </c>
      <c r="R195" s="450" t="n">
        <f aca="false">Poussee/(g*ISP)</f>
        <v>0.301046804024544</v>
      </c>
      <c r="S195" s="451" t="n">
        <f aca="false">S194-Débit*pas</f>
        <v>8.9851811301661</v>
      </c>
      <c r="T195" s="449" t="n">
        <f aca="false">m*g</f>
        <v>88.1446268869295</v>
      </c>
      <c r="U195" s="453" t="n">
        <f aca="false">IF(pos_xz&lt;L_rampe,Poids*COS(Beta),0)</f>
        <v>0</v>
      </c>
      <c r="V195" s="450" t="n">
        <f aca="false">Rho_moyen*(20000-Alt_rampe-pos_z)/(20000+Alt_rampe+pos_z)</f>
        <v>1.20963245416777</v>
      </c>
      <c r="W195" s="449" t="n">
        <f aca="false">1/2*Rho*Sref*Cx*vit_xz^2</f>
        <v>43.9017243698662</v>
      </c>
      <c r="X195" s="438"/>
      <c r="Y195" s="454" t="str">
        <f aca="false">IF(AND(pos_z&lt;=0,K194&gt;0),"Impact balistique","") &amp; IF(AND(H196&lt;0,vit_z&gt;=0),"Apogée","") &amp; IF(AND(Poussee=0,Q194&gt;0),"Fin de propulsion","") &amp; IF(AND(L196&gt;L_rampe,pos_xz&lt;=L_rampe),"Sortie de rampe","")</f>
        <v/>
      </c>
      <c r="Z195" s="455" t="str">
        <f aca="false">IF(ABS(t-T_para)&lt;pas/2,"Para","")</f>
        <v/>
      </c>
      <c r="AA195" s="456" t="str">
        <f aca="false">IF(ABS(t-T_satellite)&lt;pas/2,"Satellite","")</f>
        <v/>
      </c>
      <c r="AB195" s="444"/>
      <c r="AC195" s="452" t="e">
        <f aca="false">IF(ABS(t-ROUND(t,0))&lt;0.001,t,NA())</f>
        <v>#N/A</v>
      </c>
      <c r="AD195" s="457" t="e">
        <f aca="false">IF(ABS(t-ROUND(t,0))&lt;0.001,pos_x,NA())</f>
        <v>#N/A</v>
      </c>
      <c r="AE195" s="458" t="n">
        <f aca="false">IF(t&lt;T_para, pos_z, NA())</f>
        <v>126.241197564907</v>
      </c>
      <c r="AF195" s="444"/>
      <c r="AG195" s="450" t="n">
        <f aca="false">IF(AND(L194&lt;L_rampe,Poussee&lt;Poids*SIN(M194)),0,(-W194+Poussee)/m-Poids*SIN(M194)/m)</f>
        <v>52.339138857525</v>
      </c>
      <c r="AH195" s="449" t="n">
        <f aca="false">IF(AND(L194&lt;L_rampe,Poussee&lt;Poids*SIN(M194)), g*SIN(M194), (-W194+Poussee)/m)</f>
        <v>61.9154821240237</v>
      </c>
    </row>
    <row r="196" customFormat="false" ht="12" hidden="false" customHeight="false" outlineLevel="0" collapsed="false">
      <c r="A196" s="448" t="n">
        <f aca="false">IF(B195+0.01&lt;=T_ini+ROUNDUP(Temps_fin_propu,0), 0.01, IF(K195&gt;0, 0.1, 0.0001))</f>
        <v>0.01</v>
      </c>
      <c r="B196" s="449" t="n">
        <f aca="false">B195+pas</f>
        <v>1.92</v>
      </c>
      <c r="C196" s="432"/>
      <c r="D196" s="450" t="n">
        <f aca="false">IF(AND(L195&lt;L_rampe,Poussee&lt;Poids*SIN(M195)),0,(-W195+Poussee)/m*COS(M195)-U195/m*SIN(M195))</f>
        <v>13.403550886264</v>
      </c>
      <c r="E196" s="451" t="n">
        <f aca="false">IF(AND(L195&lt;L_rampe,Poussee&lt;Poids*SIN(M195)),0,(-W195+Poussee)/m*SIN(M195)+U195/m*COS(M195)-Poids/m)</f>
        <v>50.4516456758672</v>
      </c>
      <c r="F196" s="449" t="n">
        <f aca="false">SQRT(acc_x^2+acc_z^2)</f>
        <v>52.2017598148177</v>
      </c>
      <c r="G196" s="450" t="n">
        <f aca="false">G195+acc_x*pas</f>
        <v>27.8729491097549</v>
      </c>
      <c r="H196" s="451" t="n">
        <f aca="false">H195+acc_z*pas</f>
        <v>125.217183796539</v>
      </c>
      <c r="I196" s="449" t="n">
        <f aca="false">SQRT(vit_x^2+vit_z^2)</f>
        <v>128.281894318766</v>
      </c>
      <c r="J196" s="450" t="n">
        <f aca="false">J195+0.5*(vit_x+G195)*pas*(K195&gt;=0)</f>
        <v>26.5123819920955</v>
      </c>
      <c r="K196" s="451" t="n">
        <f aca="false">K195+0.5*(vit_z+H195)*pas</f>
        <v>127.490846820588</v>
      </c>
      <c r="L196" s="449" t="n">
        <f aca="false">SQRT(pos_x^2+pos_z^2)</f>
        <v>130.218364380472</v>
      </c>
      <c r="M196" s="450" t="n">
        <f aca="false">IF(AND(L195&gt;L_rampe,G196&gt;0),ATAN2(G196,H196),$M$4)</f>
        <v>1.35177042296069</v>
      </c>
      <c r="N196" s="449" t="n">
        <f aca="false">DEGREES(Beta)</f>
        <v>77.4507401062617</v>
      </c>
      <c r="O196" s="438"/>
      <c r="P196" s="452" t="n">
        <f aca="false">MATCH(t-pas/2-T_ini,CdP_t)</f>
        <v>5</v>
      </c>
      <c r="Q196" s="449" t="n">
        <f aca="false">(INDEX(CdP,2,i_P+1)-INDEX(CdP,2,i_P+0))/(INDEX(CdP,1,i_P+1)-INDEX(CdP,1,i_P+0))*(t-pas/2-T_ini-INDEX(CdP,1,i_P+0))+INDEX(CdP,2,i_P+0)</f>
        <v>598.41</v>
      </c>
      <c r="R196" s="450" t="n">
        <f aca="false">Poussee/(g*ISP)</f>
        <v>0.300314098048456</v>
      </c>
      <c r="S196" s="451" t="n">
        <f aca="false">S195-Débit*pas</f>
        <v>8.98217798918562</v>
      </c>
      <c r="T196" s="449" t="n">
        <f aca="false">m*g</f>
        <v>88.1151660739109</v>
      </c>
      <c r="U196" s="453" t="n">
        <f aca="false">IF(pos_xz&lt;L_rampe,Poids*COS(Beta),0)</f>
        <v>0</v>
      </c>
      <c r="V196" s="450" t="n">
        <f aca="false">Rho_moyen*(20000-Alt_rampe-pos_z)/(20000+Alt_rampe+pos_z)</f>
        <v>1.20948129590084</v>
      </c>
      <c r="W196" s="449" t="n">
        <f aca="false">1/2*Rho*Sref*Cx*vit_xz^2</f>
        <v>44.2553849208053</v>
      </c>
      <c r="X196" s="438"/>
      <c r="Y196" s="454" t="str">
        <f aca="false">IF(AND(pos_z&lt;=0,K195&gt;0),"Impact balistique","") &amp; IF(AND(H197&lt;0,vit_z&gt;=0),"Apogée","") &amp; IF(AND(Poussee=0,Q195&gt;0),"Fin de propulsion","") &amp; IF(AND(L197&gt;L_rampe,pos_xz&lt;=L_rampe),"Sortie de rampe","")</f>
        <v/>
      </c>
      <c r="Z196" s="455" t="str">
        <f aca="false">IF(ABS(t-T_para)&lt;pas/2,"Para","")</f>
        <v/>
      </c>
      <c r="AA196" s="456" t="str">
        <f aca="false">IF(ABS(t-T_satellite)&lt;pas/2,"Satellite","")</f>
        <v/>
      </c>
      <c r="AB196" s="444"/>
      <c r="AC196" s="452" t="e">
        <f aca="false">IF(ABS(t-ROUND(t,0))&lt;0.001,t,NA())</f>
        <v>#N/A</v>
      </c>
      <c r="AD196" s="457" t="e">
        <f aca="false">IF(ABS(t-ROUND(t,0))&lt;0.001,pos_x,NA())</f>
        <v>#N/A</v>
      </c>
      <c r="AE196" s="458" t="n">
        <f aca="false">IF(t&lt;T_para, pos_z, NA())</f>
        <v>127.490846820588</v>
      </c>
      <c r="AF196" s="444"/>
      <c r="AG196" s="450" t="n">
        <f aca="false">IF(AND(L195&lt;L_rampe,Poussee&lt;Poids*SIN(M195)),0,(-W195+Poussee)/m-Poids*SIN(M195)/m)</f>
        <v>52.1582897064864</v>
      </c>
      <c r="AH196" s="449" t="n">
        <f aca="false">IF(AND(L195&lt;L_rampe,Poussee&lt;Poids*SIN(M195)), g*SIN(M195), (-W195+Poussee)/m)</f>
        <v>61.7342782894919</v>
      </c>
    </row>
    <row r="197" customFormat="false" ht="12" hidden="false" customHeight="false" outlineLevel="0" collapsed="false">
      <c r="A197" s="448" t="n">
        <f aca="false">IF(B196+0.01&lt;=T_ini+ROUNDUP(Temps_fin_propu,0), 0.01, IF(K196&gt;0, 0.1, 0.0001))</f>
        <v>0.01</v>
      </c>
      <c r="B197" s="449" t="n">
        <f aca="false">B196+pas</f>
        <v>1.93</v>
      </c>
      <c r="C197" s="432"/>
      <c r="D197" s="450" t="n">
        <f aca="false">IF(AND(L196&lt;L_rampe,Poussee&lt;Poids*SIN(M196)),0,(-W196+Poussee)/m*COS(M196)-U196/m*SIN(M196))</f>
        <v>13.3741443946557</v>
      </c>
      <c r="E197" s="451" t="n">
        <f aca="false">IF(AND(L196&lt;L_rampe,Poussee&lt;Poids*SIN(M196)),0,(-W196+Poussee)/m*SIN(M196)+U196/m*COS(M196)-Poids/m)</f>
        <v>50.2723648115857</v>
      </c>
      <c r="F197" s="449" t="n">
        <f aca="false">SQRT(acc_x^2+acc_z^2)</f>
        <v>52.0209419564685</v>
      </c>
      <c r="G197" s="450" t="n">
        <f aca="false">G196+acc_x*pas</f>
        <v>28.0066905537014</v>
      </c>
      <c r="H197" s="451" t="n">
        <f aca="false">H196+acc_z*pas</f>
        <v>125.719907444654</v>
      </c>
      <c r="I197" s="449" t="n">
        <f aca="false">SQRT(vit_x^2+vit_z^2)</f>
        <v>128.801668636952</v>
      </c>
      <c r="J197" s="450" t="n">
        <f aca="false">J196+0.5*(vit_x+G196)*pas*(K196&gt;=0)</f>
        <v>26.7917801904128</v>
      </c>
      <c r="K197" s="451" t="n">
        <f aca="false">K196+0.5*(vit_z+H196)*pas</f>
        <v>128.745532276794</v>
      </c>
      <c r="L197" s="449" t="n">
        <f aca="false">SQRT(pos_x^2+pos_z^2)</f>
        <v>131.503656097488</v>
      </c>
      <c r="M197" s="450" t="n">
        <f aca="false">IF(AND(L196&gt;L_rampe,G197&gt;0),ATAN2(G197,H197),$M$4)</f>
        <v>1.35160493550557</v>
      </c>
      <c r="N197" s="449" t="n">
        <f aca="false">DEGREES(Beta)</f>
        <v>77.4412583735213</v>
      </c>
      <c r="O197" s="438"/>
      <c r="P197" s="452" t="n">
        <f aca="false">MATCH(t-pas/2-T_ini,CdP_t)</f>
        <v>5</v>
      </c>
      <c r="Q197" s="449" t="n">
        <f aca="false">(INDEX(CdP,2,i_P+1)-INDEX(CdP,2,i_P+0))/(INDEX(CdP,1,i_P+1)-INDEX(CdP,1,i_P+0))*(t-pas/2-T_ini-INDEX(CdP,1,i_P+0))+INDEX(CdP,2,i_P+0)</f>
        <v>596.95</v>
      </c>
      <c r="R197" s="450" t="n">
        <f aca="false">Poussee/(g*ISP)</f>
        <v>0.299581392072368</v>
      </c>
      <c r="S197" s="451" t="n">
        <f aca="false">S196-Débit*pas</f>
        <v>8.97918217526489</v>
      </c>
      <c r="T197" s="449" t="n">
        <f aca="false">m*g</f>
        <v>88.0857771393486</v>
      </c>
      <c r="U197" s="453" t="n">
        <f aca="false">IF(pos_xz&lt;L_rampe,Poids*COS(Beta),0)</f>
        <v>0</v>
      </c>
      <c r="V197" s="450" t="n">
        <f aca="false">Rho_moyen*(20000-Alt_rampe-pos_z)/(20000+Alt_rampe+pos_z)</f>
        <v>1.20932954733456</v>
      </c>
      <c r="W197" s="449" t="n">
        <f aca="false">1/2*Rho*Sref*Cx*vit_xz^2</f>
        <v>44.6091429818088</v>
      </c>
      <c r="X197" s="438"/>
      <c r="Y197" s="454" t="str">
        <f aca="false">IF(AND(pos_z&lt;=0,K196&gt;0),"Impact balistique","") &amp; IF(AND(H198&lt;0,vit_z&gt;=0),"Apogée","") &amp; IF(AND(Poussee=0,Q196&gt;0),"Fin de propulsion","") &amp; IF(AND(L198&gt;L_rampe,pos_xz&lt;=L_rampe),"Sortie de rampe","")</f>
        <v/>
      </c>
      <c r="Z197" s="455" t="str">
        <f aca="false">IF(ABS(t-T_para)&lt;pas/2,"Para","")</f>
        <v/>
      </c>
      <c r="AA197" s="456" t="str">
        <f aca="false">IF(ABS(t-T_satellite)&lt;pas/2,"Satellite","")</f>
        <v/>
      </c>
      <c r="AB197" s="444"/>
      <c r="AC197" s="452" t="e">
        <f aca="false">IF(ABS(t-ROUND(t,0))&lt;0.001,t,NA())</f>
        <v>#N/A</v>
      </c>
      <c r="AD197" s="457" t="e">
        <f aca="false">IF(ABS(t-ROUND(t,0))&lt;0.001,pos_x,NA())</f>
        <v>#N/A</v>
      </c>
      <c r="AE197" s="458" t="n">
        <f aca="false">IF(t&lt;T_para, pos_z, NA())</f>
        <v>128.745532276794</v>
      </c>
      <c r="AF197" s="444"/>
      <c r="AG197" s="450" t="n">
        <f aca="false">IF(AND(L196&lt;L_rampe,Poussee&lt;Poids*SIN(M196)),0,(-W196+Poussee)/m-Poids*SIN(M196)/m)</f>
        <v>51.9772554498542</v>
      </c>
      <c r="AH197" s="449" t="n">
        <f aca="false">IF(AND(L196&lt;L_rampe,Poussee&lt;Poids*SIN(M196)), g*SIN(M196), (-W196+Poussee)/m)</f>
        <v>61.5528902622905</v>
      </c>
    </row>
    <row r="198" customFormat="false" ht="12" hidden="false" customHeight="false" outlineLevel="0" collapsed="false">
      <c r="A198" s="448" t="n">
        <f aca="false">IF(B197+0.01&lt;=T_ini+ROUNDUP(Temps_fin_propu,0), 0.01, IF(K197&gt;0, 0.1, 0.0001))</f>
        <v>0.01</v>
      </c>
      <c r="B198" s="449" t="n">
        <f aca="false">B197+pas</f>
        <v>1.94</v>
      </c>
      <c r="C198" s="432"/>
      <c r="D198" s="450" t="n">
        <f aca="false">IF(AND(L197&lt;L_rampe,Poussee&lt;Poids*SIN(M197)),0,(-W197+Poussee)/m*COS(M197)-U197/m*SIN(M197))</f>
        <v>13.344606415984</v>
      </c>
      <c r="E198" s="451" t="n">
        <f aca="false">IF(AND(L197&lt;L_rampe,Poussee&lt;Poids*SIN(M197)),0,(-W197+Poussee)/m*SIN(M197)+U197/m*COS(M197)-Poids/m)</f>
        <v>50.0929249916543</v>
      </c>
      <c r="F198" s="449" t="n">
        <f aca="false">SQRT(acc_x^2+acc_z^2)</f>
        <v>51.8399426563825</v>
      </c>
      <c r="G198" s="450" t="n">
        <f aca="false">G197+acc_x*pas</f>
        <v>28.1401366178613</v>
      </c>
      <c r="H198" s="451" t="n">
        <f aca="false">H197+acc_z*pas</f>
        <v>126.220836694571</v>
      </c>
      <c r="I198" s="449" t="n">
        <f aca="false">SQRT(vit_x^2+vit_z^2)</f>
        <v>129.319630778739</v>
      </c>
      <c r="J198" s="450" t="n">
        <f aca="false">J197+0.5*(vit_x+G197)*pas*(K197&gt;=0)</f>
        <v>27.0725143262706</v>
      </c>
      <c r="K198" s="451" t="n">
        <f aca="false">K197+0.5*(vit_z+H197)*pas</f>
        <v>130.00523599749</v>
      </c>
      <c r="L198" s="449" t="n">
        <f aca="false">SQRT(pos_x^2+pos_z^2)</f>
        <v>132.79413548312</v>
      </c>
      <c r="M198" s="450" t="n">
        <f aca="false">IF(AND(L197&gt;L_rampe,G198&gt;0),ATAN2(G198,H198),$M$4)</f>
        <v>1.35143998834008</v>
      </c>
      <c r="N198" s="449" t="n">
        <f aca="false">DEGREES(Beta)</f>
        <v>77.431807597096</v>
      </c>
      <c r="O198" s="438"/>
      <c r="P198" s="452" t="n">
        <f aca="false">MATCH(t-pas/2-T_ini,CdP_t)</f>
        <v>5</v>
      </c>
      <c r="Q198" s="449" t="n">
        <f aca="false">(INDEX(CdP,2,i_P+1)-INDEX(CdP,2,i_P+0))/(INDEX(CdP,1,i_P+1)-INDEX(CdP,1,i_P+0))*(t-pas/2-T_ini-INDEX(CdP,1,i_P+0))+INDEX(CdP,2,i_P+0)</f>
        <v>595.49</v>
      </c>
      <c r="R198" s="450" t="n">
        <f aca="false">Poussee/(g*ISP)</f>
        <v>0.29884868609628</v>
      </c>
      <c r="S198" s="451" t="n">
        <f aca="false">S197-Débit*pas</f>
        <v>8.97619368840393</v>
      </c>
      <c r="T198" s="449" t="n">
        <f aca="false">m*g</f>
        <v>88.0564600832426</v>
      </c>
      <c r="U198" s="453" t="n">
        <f aca="false">IF(pos_xz&lt;L_rampe,Poids*COS(Beta),0)</f>
        <v>0</v>
      </c>
      <c r="V198" s="450" t="n">
        <f aca="false">Rho_moyen*(20000-Alt_rampe-pos_z)/(20000+Alt_rampe+pos_z)</f>
        <v>1.20917721086211</v>
      </c>
      <c r="W198" s="449" t="n">
        <f aca="false">1/2*Rho*Sref*Cx*vit_xz^2</f>
        <v>44.9629815855506</v>
      </c>
      <c r="X198" s="438"/>
      <c r="Y198" s="454" t="str">
        <f aca="false">IF(AND(pos_z&lt;=0,K197&gt;0),"Impact balistique","") &amp; IF(AND(H199&lt;0,vit_z&gt;=0),"Apogée","") &amp; IF(AND(Poussee=0,Q197&gt;0),"Fin de propulsion","") &amp; IF(AND(L199&gt;L_rampe,pos_xz&lt;=L_rampe),"Sortie de rampe","")</f>
        <v/>
      </c>
      <c r="Z198" s="455" t="str">
        <f aca="false">IF(ABS(t-T_para)&lt;pas/2,"Para","")</f>
        <v/>
      </c>
      <c r="AA198" s="456" t="str">
        <f aca="false">IF(ABS(t-T_satellite)&lt;pas/2,"Satellite","")</f>
        <v/>
      </c>
      <c r="AB198" s="444"/>
      <c r="AC198" s="452" t="e">
        <f aca="false">IF(ABS(t-ROUND(t,0))&lt;0.001,t,NA())</f>
        <v>#N/A</v>
      </c>
      <c r="AD198" s="457" t="e">
        <f aca="false">IF(ABS(t-ROUND(t,0))&lt;0.001,pos_x,NA())</f>
        <v>#N/A</v>
      </c>
      <c r="AE198" s="458" t="n">
        <f aca="false">IF(t&lt;T_para, pos_z, NA())</f>
        <v>130.00523599749</v>
      </c>
      <c r="AF198" s="444"/>
      <c r="AG198" s="450" t="n">
        <f aca="false">IF(AND(L197&lt;L_rampe,Poussee&lt;Poids*SIN(M197)),0,(-W197+Poussee)/m-Poids*SIN(M197)/m)</f>
        <v>51.7960382550682</v>
      </c>
      <c r="AH198" s="449" t="n">
        <f aca="false">IF(AND(L197&lt;L_rampe,Poussee&lt;Poids*SIN(M197)), g*SIN(M197), (-W197+Poussee)/m)</f>
        <v>61.3713201988786</v>
      </c>
    </row>
    <row r="199" customFormat="false" ht="12" hidden="false" customHeight="false" outlineLevel="0" collapsed="false">
      <c r="A199" s="448" t="n">
        <f aca="false">IF(B198+0.01&lt;=T_ini+ROUNDUP(Temps_fin_propu,0), 0.01, IF(K198&gt;0, 0.1, 0.0001))</f>
        <v>0.01</v>
      </c>
      <c r="B199" s="449" t="n">
        <f aca="false">B198+pas</f>
        <v>1.95</v>
      </c>
      <c r="C199" s="432"/>
      <c r="D199" s="450" t="n">
        <f aca="false">IF(AND(L198&lt;L_rampe,Poussee&lt;Poids*SIN(M198)),0,(-W198+Poussee)/m*COS(M198)-U198/m*SIN(M198))</f>
        <v>13.3149380039215</v>
      </c>
      <c r="E199" s="451" t="n">
        <f aca="false">IF(AND(L198&lt;L_rampe,Poussee&lt;Poids*SIN(M198)),0,(-W198+Poussee)/m*SIN(M198)+U198/m*COS(M198)-Poids/m)</f>
        <v>49.9133282202539</v>
      </c>
      <c r="F199" s="449" t="n">
        <f aca="false">SQRT(acc_x^2+acc_z^2)</f>
        <v>51.6587640974024</v>
      </c>
      <c r="G199" s="450" t="n">
        <f aca="false">G198+acc_x*pas</f>
        <v>28.2732859979005</v>
      </c>
      <c r="H199" s="451" t="n">
        <f aca="false">H198+acc_z*pas</f>
        <v>126.719969976774</v>
      </c>
      <c r="I199" s="449" t="n">
        <f aca="false">SQRT(vit_x^2+vit_z^2)</f>
        <v>129.835778936445</v>
      </c>
      <c r="J199" s="450" t="n">
        <f aca="false">J198+0.5*(vit_x+G198)*pas*(K198&gt;=0)</f>
        <v>27.3545814393494</v>
      </c>
      <c r="K199" s="451" t="n">
        <f aca="false">K198+0.5*(vit_z+H198)*pas</f>
        <v>131.269940030847</v>
      </c>
      <c r="L199" s="449" t="n">
        <f aca="false">SQRT(pos_x^2+pos_z^2)</f>
        <v>134.089784403676</v>
      </c>
      <c r="M199" s="450" t="n">
        <f aca="false">IF(AND(L198&gt;L_rampe,G199&gt;0),ATAN2(G199,H199),$M$4)</f>
        <v>1.35127557525935</v>
      </c>
      <c r="N199" s="449" t="n">
        <f aca="false">DEGREES(Beta)</f>
        <v>77.4223874214732</v>
      </c>
      <c r="O199" s="438"/>
      <c r="P199" s="452" t="n">
        <f aca="false">MATCH(t-pas/2-T_ini,CdP_t)</f>
        <v>5</v>
      </c>
      <c r="Q199" s="449" t="n">
        <f aca="false">(INDEX(CdP,2,i_P+1)-INDEX(CdP,2,i_P+0))/(INDEX(CdP,1,i_P+1)-INDEX(CdP,1,i_P+0))*(t-pas/2-T_ini-INDEX(CdP,1,i_P+0))+INDEX(CdP,2,i_P+0)</f>
        <v>594.03</v>
      </c>
      <c r="R199" s="450" t="n">
        <f aca="false">Poussee/(g*ISP)</f>
        <v>0.298115980120192</v>
      </c>
      <c r="S199" s="451" t="n">
        <f aca="false">S198-Débit*pas</f>
        <v>8.97321252860273</v>
      </c>
      <c r="T199" s="449" t="n">
        <f aca="false">m*g</f>
        <v>88.0272149055928</v>
      </c>
      <c r="U199" s="453" t="n">
        <f aca="false">IF(pos_xz&lt;L_rampe,Poids*COS(Beta),0)</f>
        <v>0</v>
      </c>
      <c r="V199" s="450" t="n">
        <f aca="false">Rho_moyen*(20000-Alt_rampe-pos_z)/(20000+Alt_rampe+pos_z)</f>
        <v>1.20902428887827</v>
      </c>
      <c r="W199" s="449" t="n">
        <f aca="false">1/2*Rho*Sref*Cx*vit_xz^2</f>
        <v>45.3168838229904</v>
      </c>
      <c r="X199" s="438"/>
      <c r="Y199" s="454" t="str">
        <f aca="false">IF(AND(pos_z&lt;=0,K198&gt;0),"Impact balistique","") &amp; IF(AND(H200&lt;0,vit_z&gt;=0),"Apogée","") &amp; IF(AND(Poussee=0,Q198&gt;0),"Fin de propulsion","") &amp; IF(AND(L200&gt;L_rampe,pos_xz&lt;=L_rampe),"Sortie de rampe","")</f>
        <v/>
      </c>
      <c r="Z199" s="455" t="str">
        <f aca="false">IF(ABS(t-T_para)&lt;pas/2,"Para","")</f>
        <v/>
      </c>
      <c r="AA199" s="456" t="str">
        <f aca="false">IF(ABS(t-T_satellite)&lt;pas/2,"Satellite","")</f>
        <v/>
      </c>
      <c r="AB199" s="444"/>
      <c r="AC199" s="452" t="e">
        <f aca="false">IF(ABS(t-ROUND(t,0))&lt;0.001,t,NA())</f>
        <v>#N/A</v>
      </c>
      <c r="AD199" s="457" t="e">
        <f aca="false">IF(ABS(t-ROUND(t,0))&lt;0.001,pos_x,NA())</f>
        <v>#N/A</v>
      </c>
      <c r="AE199" s="458" t="n">
        <f aca="false">IF(t&lt;T_para, pos_z, NA())</f>
        <v>131.269940030847</v>
      </c>
      <c r="AF199" s="444"/>
      <c r="AG199" s="450" t="n">
        <f aca="false">IF(AND(L198&lt;L_rampe,Poussee&lt;Poids*SIN(M198)),0,(-W198+Poussee)/m-Poids*SIN(M198)/m)</f>
        <v>51.6146402867496</v>
      </c>
      <c r="AH199" s="449" t="n">
        <f aca="false">IF(AND(L198&lt;L_rampe,Poussee&lt;Poids*SIN(M198)), g*SIN(M198), (-W198+Poussee)/m)</f>
        <v>61.189570253046</v>
      </c>
    </row>
    <row r="200" customFormat="false" ht="12" hidden="false" customHeight="false" outlineLevel="0" collapsed="false">
      <c r="A200" s="448" t="n">
        <f aca="false">IF(B199+0.01&lt;=T_ini+ROUNDUP(Temps_fin_propu,0), 0.01, IF(K199&gt;0, 0.1, 0.0001))</f>
        <v>0.01</v>
      </c>
      <c r="B200" s="449" t="n">
        <f aca="false">B199+pas</f>
        <v>1.96</v>
      </c>
      <c r="C200" s="432"/>
      <c r="D200" s="450" t="n">
        <f aca="false">IF(AND(L199&lt;L_rampe,Poussee&lt;Poids*SIN(M199)),0,(-W199+Poussee)/m*COS(M199)-U199/m*SIN(M199))</f>
        <v>13.2851402035223</v>
      </c>
      <c r="E200" s="451" t="n">
        <f aca="false">IF(AND(L199&lt;L_rampe,Poussee&lt;Poids*SIN(M199)),0,(-W199+Poussee)/m*SIN(M199)+U199/m*COS(M199)-Poids/m)</f>
        <v>49.7335765001844</v>
      </c>
      <c r="F200" s="449" t="n">
        <f aca="false">SQRT(acc_x^2+acc_z^2)</f>
        <v>51.4774084597014</v>
      </c>
      <c r="G200" s="450" t="n">
        <f aca="false">G199+acc_x*pas</f>
        <v>28.4061373999357</v>
      </c>
      <c r="H200" s="451" t="n">
        <f aca="false">H199+acc_z*pas</f>
        <v>127.217305741775</v>
      </c>
      <c r="I200" s="449" t="n">
        <f aca="false">SQRT(vit_x^2+vit_z^2)</f>
        <v>130.350111324005</v>
      </c>
      <c r="J200" s="450" t="n">
        <f aca="false">J199+0.5*(vit_x+G199)*pas*(K199&gt;=0)</f>
        <v>27.6379785563386</v>
      </c>
      <c r="K200" s="451" t="n">
        <f aca="false">K199+0.5*(vit_z+H199)*pas</f>
        <v>132.53962640944</v>
      </c>
      <c r="L200" s="449" t="n">
        <f aca="false">SQRT(pos_x^2+pos_z^2)</f>
        <v>135.390584707484</v>
      </c>
      <c r="M200" s="450" t="n">
        <f aca="false">IF(AND(L199&gt;L_rampe,G200&gt;0),ATAN2(G200,H200),$M$4)</f>
        <v>1.35111169014766</v>
      </c>
      <c r="N200" s="449" t="n">
        <f aca="false">DEGREES(Beta)</f>
        <v>77.4129974962486</v>
      </c>
      <c r="O200" s="438"/>
      <c r="P200" s="452" t="n">
        <f aca="false">MATCH(t-pas/2-T_ini,CdP_t)</f>
        <v>5</v>
      </c>
      <c r="Q200" s="449" t="n">
        <f aca="false">(INDEX(CdP,2,i_P+1)-INDEX(CdP,2,i_P+0))/(INDEX(CdP,1,i_P+1)-INDEX(CdP,1,i_P+0))*(t-pas/2-T_ini-INDEX(CdP,1,i_P+0))+INDEX(CdP,2,i_P+0)</f>
        <v>592.57</v>
      </c>
      <c r="R200" s="450" t="n">
        <f aca="false">Poussee/(g*ISP)</f>
        <v>0.297383274144104</v>
      </c>
      <c r="S200" s="451" t="n">
        <f aca="false">S199-Débit*pas</f>
        <v>8.97023869586129</v>
      </c>
      <c r="T200" s="449" t="n">
        <f aca="false">m*g</f>
        <v>87.9980416063992</v>
      </c>
      <c r="U200" s="453" t="n">
        <f aca="false">IF(pos_xz&lt;L_rampe,Poids*COS(Beta),0)</f>
        <v>0</v>
      </c>
      <c r="V200" s="450" t="n">
        <f aca="false">Rho_moyen*(20000-Alt_rampe-pos_z)/(20000+Alt_rampe+pos_z)</f>
        <v>1.20887078377945</v>
      </c>
      <c r="W200" s="449" t="n">
        <f aca="false">1/2*Rho*Sref*Cx*vit_xz^2</f>
        <v>45.6708328438847</v>
      </c>
      <c r="X200" s="438"/>
      <c r="Y200" s="454" t="str">
        <f aca="false">IF(AND(pos_z&lt;=0,K199&gt;0),"Impact balistique","") &amp; IF(AND(H201&lt;0,vit_z&gt;=0),"Apogée","") &amp; IF(AND(Poussee=0,Q199&gt;0),"Fin de propulsion","") &amp; IF(AND(L201&gt;L_rampe,pos_xz&lt;=L_rampe),"Sortie de rampe","")</f>
        <v/>
      </c>
      <c r="Z200" s="455" t="str">
        <f aca="false">IF(ABS(t-T_para)&lt;pas/2,"Para","")</f>
        <v/>
      </c>
      <c r="AA200" s="456" t="str">
        <f aca="false">IF(ABS(t-T_satellite)&lt;pas/2,"Satellite","")</f>
        <v/>
      </c>
      <c r="AB200" s="444"/>
      <c r="AC200" s="452" t="e">
        <f aca="false">IF(ABS(t-ROUND(t,0))&lt;0.001,t,NA())</f>
        <v>#N/A</v>
      </c>
      <c r="AD200" s="457" t="e">
        <f aca="false">IF(ABS(t-ROUND(t,0))&lt;0.001,pos_x,NA())</f>
        <v>#N/A</v>
      </c>
      <c r="AE200" s="458" t="n">
        <f aca="false">IF(t&lt;T_para, pos_z, NA())</f>
        <v>132.53962640944</v>
      </c>
      <c r="AF200" s="444"/>
      <c r="AG200" s="450" t="n">
        <f aca="false">IF(AND(L199&lt;L_rampe,Poussee&lt;Poids*SIN(M199)),0,(-W199+Poussee)/m-Poids*SIN(M199)/m)</f>
        <v>51.433063706624</v>
      </c>
      <c r="AH200" s="449" t="n">
        <f aca="false">IF(AND(L199&lt;L_rampe,Poussee&lt;Poids*SIN(M199)), g*SIN(M199), (-W199+Poussee)/m)</f>
        <v>61.0076425758327</v>
      </c>
    </row>
    <row r="201" customFormat="false" ht="12" hidden="false" customHeight="false" outlineLevel="0" collapsed="false">
      <c r="A201" s="448" t="n">
        <f aca="false">IF(B200+0.01&lt;=T_ini+ROUNDUP(Temps_fin_propu,0), 0.01, IF(K200&gt;0, 0.1, 0.0001))</f>
        <v>0.01</v>
      </c>
      <c r="B201" s="449" t="n">
        <f aca="false">B200+pas</f>
        <v>1.97</v>
      </c>
      <c r="C201" s="432"/>
      <c r="D201" s="450" t="n">
        <f aca="false">IF(AND(L200&lt;L_rampe,Poussee&lt;Poids*SIN(M200)),0,(-W200+Poussee)/m*COS(M200)-U200/m*SIN(M200))</f>
        <v>13.2552140513722</v>
      </c>
      <c r="E201" s="451" t="n">
        <f aca="false">IF(AND(L200&lt;L_rampe,Poussee&lt;Poids*SIN(M200)),0,(-W200+Poussee)/m*SIN(M200)+U200/m*COS(M200)-Poids/m)</f>
        <v>49.5536718327607</v>
      </c>
      <c r="F201" s="449" t="n">
        <f aca="false">SQRT(acc_x^2+acc_z^2)</f>
        <v>51.2958779207125</v>
      </c>
      <c r="G201" s="450" t="n">
        <f aca="false">G200+acc_x*pas</f>
        <v>28.5386895404494</v>
      </c>
      <c r="H201" s="451" t="n">
        <f aca="false">H200+acc_z*pas</f>
        <v>127.712842460103</v>
      </c>
      <c r="I201" s="449" t="n">
        <f aca="false">SQRT(vit_x^2+vit_z^2)</f>
        <v>130.862626176939</v>
      </c>
      <c r="J201" s="450" t="n">
        <f aca="false">J200+0.5*(vit_x+G200)*pas*(K200&gt;=0)</f>
        <v>27.9227026910405</v>
      </c>
      <c r="K201" s="451" t="n">
        <f aca="false">K200+0.5*(vit_z+H200)*pas</f>
        <v>133.814277150449</v>
      </c>
      <c r="L201" s="449" t="n">
        <f aca="false">SQRT(pos_x^2+pos_z^2)</f>
        <v>136.696518225116</v>
      </c>
      <c r="M201" s="450" t="n">
        <f aca="false">IF(AND(L200&gt;L_rampe,G201&gt;0),ATAN2(G201,H201),$M$4)</f>
        <v>1.35094832697669</v>
      </c>
      <c r="N201" s="449" t="n">
        <f aca="false">DEGREES(Beta)</f>
        <v>77.4036374760238</v>
      </c>
      <c r="O201" s="438"/>
      <c r="P201" s="452" t="n">
        <f aca="false">MATCH(t-pas/2-T_ini,CdP_t)</f>
        <v>5</v>
      </c>
      <c r="Q201" s="449" t="n">
        <f aca="false">(INDEX(CdP,2,i_P+1)-INDEX(CdP,2,i_P+0))/(INDEX(CdP,1,i_P+1)-INDEX(CdP,1,i_P+0))*(t-pas/2-T_ini-INDEX(CdP,1,i_P+0))+INDEX(CdP,2,i_P+0)</f>
        <v>591.11</v>
      </c>
      <c r="R201" s="450" t="n">
        <f aca="false">Poussee/(g*ISP)</f>
        <v>0.296650568168016</v>
      </c>
      <c r="S201" s="451" t="n">
        <f aca="false">S200-Débit*pas</f>
        <v>8.96727219017961</v>
      </c>
      <c r="T201" s="449" t="n">
        <f aca="false">m*g</f>
        <v>87.968940185662</v>
      </c>
      <c r="U201" s="453" t="n">
        <f aca="false">IF(pos_xz&lt;L_rampe,Poids*COS(Beta),0)</f>
        <v>0</v>
      </c>
      <c r="V201" s="450" t="n">
        <f aca="false">Rho_moyen*(20000-Alt_rampe-pos_z)/(20000+Alt_rampe+pos_z)</f>
        <v>1.20871669796365</v>
      </c>
      <c r="W201" s="449" t="n">
        <f aca="false">1/2*Rho*Sref*Cx*vit_xz^2</f>
        <v>46.0248118572927</v>
      </c>
      <c r="X201" s="438"/>
      <c r="Y201" s="454" t="str">
        <f aca="false">IF(AND(pos_z&lt;=0,K200&gt;0),"Impact balistique","") &amp; IF(AND(H202&lt;0,vit_z&gt;=0),"Apogée","") &amp; IF(AND(Poussee=0,Q200&gt;0),"Fin de propulsion","") &amp; IF(AND(L202&gt;L_rampe,pos_xz&lt;=L_rampe),"Sortie de rampe","")</f>
        <v/>
      </c>
      <c r="Z201" s="455" t="str">
        <f aca="false">IF(ABS(t-T_para)&lt;pas/2,"Para","")</f>
        <v/>
      </c>
      <c r="AA201" s="456" t="str">
        <f aca="false">IF(ABS(t-T_satellite)&lt;pas/2,"Satellite","")</f>
        <v/>
      </c>
      <c r="AB201" s="444"/>
      <c r="AC201" s="452" t="e">
        <f aca="false">IF(ABS(t-ROUND(t,0))&lt;0.001,t,NA())</f>
        <v>#N/A</v>
      </c>
      <c r="AD201" s="457" t="e">
        <f aca="false">IF(ABS(t-ROUND(t,0))&lt;0.001,pos_x,NA())</f>
        <v>#N/A</v>
      </c>
      <c r="AE201" s="458" t="n">
        <f aca="false">IF(t&lt;T_para, pos_z, NA())</f>
        <v>133.814277150449</v>
      </c>
      <c r="AF201" s="444"/>
      <c r="AG201" s="450" t="n">
        <f aca="false">IF(AND(L200&lt;L_rampe,Poussee&lt;Poids*SIN(M200)),0,(-W200+Poussee)/m-Poids*SIN(M200)/m)</f>
        <v>51.2513106734455</v>
      </c>
      <c r="AH201" s="449" t="n">
        <f aca="false">IF(AND(L200&lt;L_rampe,Poussee&lt;Poids*SIN(M200)), g*SIN(M200), (-W200+Poussee)/m)</f>
        <v>60.8255393154504</v>
      </c>
    </row>
    <row r="202" customFormat="false" ht="12" hidden="false" customHeight="false" outlineLevel="0" collapsed="false">
      <c r="A202" s="448" t="n">
        <f aca="false">IF(B201+0.01&lt;=T_ini+ROUNDUP(Temps_fin_propu,0), 0.01, IF(K201&gt;0, 0.1, 0.0001))</f>
        <v>0.01</v>
      </c>
      <c r="B202" s="449" t="n">
        <f aca="false">B201+pas</f>
        <v>1.98</v>
      </c>
      <c r="C202" s="432"/>
      <c r="D202" s="450" t="n">
        <f aca="false">IF(AND(L201&lt;L_rampe,Poussee&lt;Poids*SIN(M201)),0,(-W201+Poussee)/m*COS(M201)-U201/m*SIN(M201))</f>
        <v>13.2251605757343</v>
      </c>
      <c r="E202" s="451" t="n">
        <f aca="false">IF(AND(L201&lt;L_rampe,Poussee&lt;Poids*SIN(M201)),0,(-W201+Poussee)/m*SIN(M201)+U201/m*COS(M201)-Poids/m)</f>
        <v>49.3736162177097</v>
      </c>
      <c r="F202" s="449" t="n">
        <f aca="false">SQRT(acc_x^2+acc_z^2)</f>
        <v>51.1141746550567</v>
      </c>
      <c r="G202" s="450" t="n">
        <f aca="false">G201+acc_x*pas</f>
        <v>28.6709411462068</v>
      </c>
      <c r="H202" s="451" t="n">
        <f aca="false">H201+acc_z*pas</f>
        <v>128.20657862228</v>
      </c>
      <c r="I202" s="449" t="n">
        <f aca="false">SQRT(vit_x^2+vit_z^2)</f>
        <v>131.373321752326</v>
      </c>
      <c r="J202" s="450" t="n">
        <f aca="false">J201+0.5*(vit_x+G201)*pas*(K201&gt;=0)</f>
        <v>28.2087508444738</v>
      </c>
      <c r="K202" s="451" t="n">
        <f aca="false">K201+0.5*(vit_z+H201)*pas</f>
        <v>135.093874255861</v>
      </c>
      <c r="L202" s="449" t="n">
        <f aca="false">SQRT(pos_x^2+pos_z^2)</f>
        <v>138.007566769594</v>
      </c>
      <c r="M202" s="450" t="n">
        <f aca="false">IF(AND(L201&gt;L_rampe,G202&gt;0),ATAN2(G202,H202),$M$4)</f>
        <v>1.35078547980371</v>
      </c>
      <c r="N202" s="449" t="n">
        <f aca="false">DEGREES(Beta)</f>
        <v>77.3943070203065</v>
      </c>
      <c r="O202" s="438"/>
      <c r="P202" s="452" t="n">
        <f aca="false">MATCH(t-pas/2-T_ini,CdP_t)</f>
        <v>5</v>
      </c>
      <c r="Q202" s="449" t="n">
        <f aca="false">(INDEX(CdP,2,i_P+1)-INDEX(CdP,2,i_P+0))/(INDEX(CdP,1,i_P+1)-INDEX(CdP,1,i_P+0))*(t-pas/2-T_ini-INDEX(CdP,1,i_P+0))+INDEX(CdP,2,i_P+0)</f>
        <v>589.65</v>
      </c>
      <c r="R202" s="450" t="n">
        <f aca="false">Poussee/(g*ISP)</f>
        <v>0.295917862191928</v>
      </c>
      <c r="S202" s="451" t="n">
        <f aca="false">S201-Débit*pas</f>
        <v>8.96431301155769</v>
      </c>
      <c r="T202" s="449" t="n">
        <f aca="false">m*g</f>
        <v>87.9399106433809</v>
      </c>
      <c r="U202" s="453" t="n">
        <f aca="false">IF(pos_xz&lt;L_rampe,Poids*COS(Beta),0)</f>
        <v>0</v>
      </c>
      <c r="V202" s="450" t="n">
        <f aca="false">Rho_moyen*(20000-Alt_rampe-pos_z)/(20000+Alt_rampe+pos_z)</f>
        <v>1.20856203383039</v>
      </c>
      <c r="W202" s="449" t="n">
        <f aca="false">1/2*Rho*Sref*Cx*vit_xz^2</f>
        <v>46.378804132078</v>
      </c>
      <c r="X202" s="438"/>
      <c r="Y202" s="454" t="str">
        <f aca="false">IF(AND(pos_z&lt;=0,K201&gt;0),"Impact balistique","") &amp; IF(AND(H203&lt;0,vit_z&gt;=0),"Apogée","") &amp; IF(AND(Poussee=0,Q201&gt;0),"Fin de propulsion","") &amp; IF(AND(L203&gt;L_rampe,pos_xz&lt;=L_rampe),"Sortie de rampe","")</f>
        <v/>
      </c>
      <c r="Z202" s="455" t="str">
        <f aca="false">IF(ABS(t-T_para)&lt;pas/2,"Para","")</f>
        <v/>
      </c>
      <c r="AA202" s="456" t="str">
        <f aca="false">IF(ABS(t-T_satellite)&lt;pas/2,"Satellite","")</f>
        <v/>
      </c>
      <c r="AB202" s="444"/>
      <c r="AC202" s="452" t="e">
        <f aca="false">IF(ABS(t-ROUND(t,0))&lt;0.001,t,NA())</f>
        <v>#N/A</v>
      </c>
      <c r="AD202" s="457" t="e">
        <f aca="false">IF(ABS(t-ROUND(t,0))&lt;0.001,pos_x,NA())</f>
        <v>#N/A</v>
      </c>
      <c r="AE202" s="458" t="n">
        <f aca="false">IF(t&lt;T_para, pos_z, NA())</f>
        <v>135.093874255861</v>
      </c>
      <c r="AF202" s="444"/>
      <c r="AG202" s="450" t="n">
        <f aca="false">IF(AND(L201&lt;L_rampe,Poussee&lt;Poids*SIN(M201)),0,(-W201+Poussee)/m-Poids*SIN(M201)/m)</f>
        <v>51.0693833429207</v>
      </c>
      <c r="AH202" s="449" t="n">
        <f aca="false">IF(AND(L201&lt;L_rampe,Poussee&lt;Poids*SIN(M201)), g*SIN(M201), (-W201+Poussee)/m)</f>
        <v>60.6432626172035</v>
      </c>
    </row>
    <row r="203" customFormat="false" ht="12" hidden="false" customHeight="false" outlineLevel="0" collapsed="false">
      <c r="A203" s="448" t="n">
        <f aca="false">IF(B202+0.01&lt;=T_ini+ROUNDUP(Temps_fin_propu,0), 0.01, IF(K202&gt;0, 0.1, 0.0001))</f>
        <v>0.01</v>
      </c>
      <c r="B203" s="449" t="n">
        <f aca="false">B202+pas</f>
        <v>1.99</v>
      </c>
      <c r="C203" s="432"/>
      <c r="D203" s="450" t="n">
        <f aca="false">IF(AND(L202&lt;L_rampe,Poussee&lt;Poids*SIN(M202)),0,(-W202+Poussee)/m*COS(M202)-U202/m*SIN(M202))</f>
        <v>13.1949807966916</v>
      </c>
      <c r="E203" s="451" t="n">
        <f aca="false">IF(AND(L202&lt;L_rampe,Poussee&lt;Poids*SIN(M202)),0,(-W202+Poussee)/m*SIN(M202)+U202/m*COS(M202)-Poids/m)</f>
        <v>49.1934116530677</v>
      </c>
      <c r="F203" s="449" t="n">
        <f aca="false">SQRT(acc_x^2+acc_z^2)</f>
        <v>50.9323008344728</v>
      </c>
      <c r="G203" s="450" t="n">
        <f aca="false">G202+acc_x*pas</f>
        <v>28.8028909541737</v>
      </c>
      <c r="H203" s="451" t="n">
        <f aca="false">H202+acc_z*pas</f>
        <v>128.698512738811</v>
      </c>
      <c r="I203" s="449" t="n">
        <f aca="false">SQRT(vit_x^2+vit_z^2)</f>
        <v>131.882196328769</v>
      </c>
      <c r="J203" s="450" t="n">
        <f aca="false">J202+0.5*(vit_x+G202)*pas*(K202&gt;=0)</f>
        <v>28.4961200049757</v>
      </c>
      <c r="K203" s="451" t="n">
        <f aca="false">K202+0.5*(vit_z+H202)*pas</f>
        <v>136.378399712667</v>
      </c>
      <c r="L203" s="449" t="n">
        <f aca="false">SQRT(pos_x^2+pos_z^2)</f>
        <v>139.323712136613</v>
      </c>
      <c r="M203" s="450" t="n">
        <f aca="false">IF(AND(L202&gt;L_rampe,G203&gt;0),ATAN2(G203,H203),$M$4)</f>
        <v>1.35062314276994</v>
      </c>
      <c r="N203" s="449" t="n">
        <f aca="false">DEGREES(Beta)</f>
        <v>77.3850057934126</v>
      </c>
      <c r="O203" s="438"/>
      <c r="P203" s="452" t="n">
        <f aca="false">MATCH(t-pas/2-T_ini,CdP_t)</f>
        <v>5</v>
      </c>
      <c r="Q203" s="449" t="n">
        <f aca="false">(INDEX(CdP,2,i_P+1)-INDEX(CdP,2,i_P+0))/(INDEX(CdP,1,i_P+1)-INDEX(CdP,1,i_P+0))*(t-pas/2-T_ini-INDEX(CdP,1,i_P+0))+INDEX(CdP,2,i_P+0)</f>
        <v>588.19</v>
      </c>
      <c r="R203" s="450" t="n">
        <f aca="false">Poussee/(g*ISP)</f>
        <v>0.295185156215841</v>
      </c>
      <c r="S203" s="451" t="n">
        <f aca="false">S202-Débit*pas</f>
        <v>8.96136115999553</v>
      </c>
      <c r="T203" s="449" t="n">
        <f aca="false">m*g</f>
        <v>87.9109529795562</v>
      </c>
      <c r="U203" s="453" t="n">
        <f aca="false">IF(pos_xz&lt;L_rampe,Poids*COS(Beta),0)</f>
        <v>0</v>
      </c>
      <c r="V203" s="450" t="n">
        <f aca="false">Rho_moyen*(20000-Alt_rampe-pos_z)/(20000+Alt_rampe+pos_z)</f>
        <v>1.20840679378071</v>
      </c>
      <c r="W203" s="449" t="n">
        <f aca="false">1/2*Rho*Sref*Cx*vit_xz^2</f>
        <v>46.7327929974029</v>
      </c>
      <c r="X203" s="438"/>
      <c r="Y203" s="454" t="str">
        <f aca="false">IF(AND(pos_z&lt;=0,K202&gt;0),"Impact balistique","") &amp; IF(AND(H204&lt;0,vit_z&gt;=0),"Apogée","") &amp; IF(AND(Poussee=0,Q202&gt;0),"Fin de propulsion","") &amp; IF(AND(L204&gt;L_rampe,pos_xz&lt;=L_rampe),"Sortie de rampe","")</f>
        <v/>
      </c>
      <c r="Z203" s="455" t="str">
        <f aca="false">IF(ABS(t-T_para)&lt;pas/2,"Para","")</f>
        <v/>
      </c>
      <c r="AA203" s="456" t="str">
        <f aca="false">IF(ABS(t-T_satellite)&lt;pas/2,"Satellite","")</f>
        <v/>
      </c>
      <c r="AB203" s="444"/>
      <c r="AC203" s="452" t="e">
        <f aca="false">IF(ABS(t-ROUND(t,0))&lt;0.001,t,NA())</f>
        <v>#N/A</v>
      </c>
      <c r="AD203" s="457" t="e">
        <f aca="false">IF(ABS(t-ROUND(t,0))&lt;0.001,pos_x,NA())</f>
        <v>#N/A</v>
      </c>
      <c r="AE203" s="458" t="n">
        <f aca="false">IF(t&lt;T_para, pos_z, NA())</f>
        <v>136.378399712667</v>
      </c>
      <c r="AF203" s="444"/>
      <c r="AG203" s="450" t="n">
        <f aca="false">IF(AND(L202&lt;L_rampe,Poussee&lt;Poids*SIN(M202)),0,(-W202+Poussee)/m-Poids*SIN(M202)/m)</f>
        <v>50.8872838676329</v>
      </c>
      <c r="AH203" s="449" t="n">
        <f aca="false">IF(AND(L202&lt;L_rampe,Poussee&lt;Poids*SIN(M202)), g*SIN(M202), (-W202+Poussee)/m)</f>
        <v>60.4608146234106</v>
      </c>
    </row>
    <row r="204" customFormat="false" ht="12" hidden="false" customHeight="false" outlineLevel="0" collapsed="false">
      <c r="A204" s="448" t="n">
        <f aca="false">IF(B203+0.01&lt;=T_ini+ROUNDUP(Temps_fin_propu,0), 0.01, IF(K203&gt;0, 0.1, 0.0001))</f>
        <v>0.01</v>
      </c>
      <c r="B204" s="449" t="n">
        <f aca="false">B203+pas</f>
        <v>2</v>
      </c>
      <c r="C204" s="432"/>
      <c r="D204" s="450" t="n">
        <f aca="false">IF(AND(L203&lt;L_rampe,Poussee&lt;Poids*SIN(M203)),0,(-W203+Poussee)/m*COS(M203)-U203/m*SIN(M203))</f>
        <v>13.1646757262843</v>
      </c>
      <c r="E204" s="451" t="n">
        <f aca="false">IF(AND(L203&lt;L_rampe,Poussee&lt;Poids*SIN(M203)),0,(-W203+Poussee)/m*SIN(M203)+U203/m*COS(M203)-Poids/m)</f>
        <v>49.0130601350801</v>
      </c>
      <c r="F204" s="449" t="n">
        <f aca="false">SQRT(acc_x^2+acc_z^2)</f>
        <v>50.7502586277468</v>
      </c>
      <c r="G204" s="450" t="n">
        <f aca="false">G203+acc_x*pas</f>
        <v>28.9345377114365</v>
      </c>
      <c r="H204" s="451" t="n">
        <f aca="false">H203+acc_z*pas</f>
        <v>129.188643340162</v>
      </c>
      <c r="I204" s="449" t="n">
        <f aca="false">SQRT(vit_x^2+vit_z^2)</f>
        <v>132.389248206363</v>
      </c>
      <c r="J204" s="450" t="n">
        <f aca="false">J203+0.5*(vit_x+G203)*pas*(K203&gt;=0)</f>
        <v>28.7848071483038</v>
      </c>
      <c r="K204" s="451" t="n">
        <f aca="false">K203+0.5*(vit_z+H203)*pas</f>
        <v>137.667835493061</v>
      </c>
      <c r="L204" s="449" t="n">
        <f aca="false">SQRT(pos_x^2+pos_z^2)</f>
        <v>140.644936104752</v>
      </c>
      <c r="M204" s="450" t="n">
        <f aca="false">IF(AND(L203&gt;L_rampe,G204&gt;0),ATAN2(G204,H204),$M$4)</f>
        <v>1.35046131009883</v>
      </c>
      <c r="N204" s="449" t="n">
        <f aca="false">DEGREES(Beta)</f>
        <v>77.375733464371</v>
      </c>
      <c r="O204" s="438"/>
      <c r="P204" s="452" t="n">
        <f aca="false">MATCH(t-pas/2-T_ini,CdP_t)</f>
        <v>5</v>
      </c>
      <c r="Q204" s="449" t="n">
        <f aca="false">(INDEX(CdP,2,i_P+1)-INDEX(CdP,2,i_P+0))/(INDEX(CdP,1,i_P+1)-INDEX(CdP,1,i_P+0))*(t-pas/2-T_ini-INDEX(CdP,1,i_P+0))+INDEX(CdP,2,i_P+0)</f>
        <v>586.73</v>
      </c>
      <c r="R204" s="450" t="n">
        <f aca="false">Poussee/(g*ISP)</f>
        <v>0.294452450239753</v>
      </c>
      <c r="S204" s="451" t="n">
        <f aca="false">S203-Débit*pas</f>
        <v>8.95841663549313</v>
      </c>
      <c r="T204" s="449" t="n">
        <f aca="false">m*g</f>
        <v>87.8820671941876</v>
      </c>
      <c r="U204" s="453" t="n">
        <f aca="false">IF(pos_xz&lt;L_rampe,Poids*COS(Beta),0)</f>
        <v>0</v>
      </c>
      <c r="V204" s="450" t="n">
        <f aca="false">Rho_moyen*(20000-Alt_rampe-pos_z)/(20000+Alt_rampe+pos_z)</f>
        <v>1.20825098021711</v>
      </c>
      <c r="W204" s="449" t="n">
        <f aca="false">1/2*Rho*Sref*Cx*vit_xz^2</f>
        <v>47.0867618432187</v>
      </c>
      <c r="X204" s="438"/>
      <c r="Y204" s="454" t="str">
        <f aca="false">IF(AND(pos_z&lt;=0,K203&gt;0),"Impact balistique","") &amp; IF(AND(H205&lt;0,vit_z&gt;=0),"Apogée","") &amp; IF(AND(Poussee=0,Q203&gt;0),"Fin de propulsion","") &amp; IF(AND(L205&gt;L_rampe,pos_xz&lt;=L_rampe),"Sortie de rampe","")</f>
        <v/>
      </c>
      <c r="Z204" s="455" t="str">
        <f aca="false">IF(ABS(t-T_para)&lt;pas/2,"Para","")</f>
        <v/>
      </c>
      <c r="AA204" s="456" t="str">
        <f aca="false">IF(ABS(t-T_satellite)&lt;pas/2,"Satellite","")</f>
        <v/>
      </c>
      <c r="AB204" s="444"/>
      <c r="AC204" s="452" t="n">
        <f aca="false">IF(ABS(t-ROUND(t,0))&lt;0.001,t,NA())</f>
        <v>2</v>
      </c>
      <c r="AD204" s="457" t="n">
        <f aca="false">IF(ABS(t-ROUND(t,0))&lt;0.001,pos_x,NA())</f>
        <v>28.7848071483038</v>
      </c>
      <c r="AE204" s="458" t="n">
        <f aca="false">IF(t&lt;T_para, pos_z, NA())</f>
        <v>137.667835493061</v>
      </c>
      <c r="AF204" s="444"/>
      <c r="AG204" s="450" t="n">
        <f aca="false">IF(AND(L203&lt;L_rampe,Poussee&lt;Poids*SIN(M203)),0,(-W203+Poussee)/m-Poids*SIN(M203)/m)</f>
        <v>50.7050143969676</v>
      </c>
      <c r="AH204" s="449" t="n">
        <f aca="false">IF(AND(L203&lt;L_rampe,Poussee&lt;Poids*SIN(M203)), g*SIN(M203), (-W203+Poussee)/m)</f>
        <v>60.2781974733275</v>
      </c>
    </row>
    <row r="205" customFormat="false" ht="12" hidden="false" customHeight="false" outlineLevel="0" collapsed="false">
      <c r="A205" s="448" t="n">
        <f aca="false">IF(B204+0.01&lt;=T_ini+ROUNDUP(Temps_fin_propu,0), 0.01, IF(K204&gt;0, 0.1, 0.0001))</f>
        <v>0.01</v>
      </c>
      <c r="B205" s="449" t="n">
        <f aca="false">B204+pas</f>
        <v>2.01</v>
      </c>
      <c r="C205" s="432"/>
      <c r="D205" s="450" t="n">
        <f aca="false">IF(AND(L204&lt;L_rampe,Poussee&lt;Poids*SIN(M204)),0,(-W204+Poussee)/m*COS(M204)-U204/m*SIN(M204))</f>
        <v>13.1342463686446</v>
      </c>
      <c r="E205" s="451" t="n">
        <f aca="false">IF(AND(L204&lt;L_rampe,Poussee&lt;Poids*SIN(M204)),0,(-W204+Poussee)/m*SIN(M204)+U204/m*COS(M204)-Poids/m)</f>
        <v>48.8325636581011</v>
      </c>
      <c r="F205" s="449" t="n">
        <f aca="false">SQRT(acc_x^2+acc_z^2)</f>
        <v>50.568050200643</v>
      </c>
      <c r="G205" s="450" t="n">
        <f aca="false">G204+acc_x*pas</f>
        <v>29.065880175123</v>
      </c>
      <c r="H205" s="451" t="n">
        <f aca="false">H204+acc_z*pas</f>
        <v>129.676968976743</v>
      </c>
      <c r="I205" s="449" t="n">
        <f aca="false">SQRT(vit_x^2+vit_z^2)</f>
        <v>132.894475706666</v>
      </c>
      <c r="J205" s="450" t="n">
        <f aca="false">J204+0.5*(vit_x+G204)*pas*(K204&gt;=0)</f>
        <v>29.0748092377366</v>
      </c>
      <c r="K205" s="451" t="n">
        <f aca="false">K204+0.5*(vit_z+H204)*pas</f>
        <v>138.962163554646</v>
      </c>
      <c r="L205" s="449" t="n">
        <f aca="false">SQRT(pos_x^2+pos_z^2)</f>
        <v>141.971220435689</v>
      </c>
      <c r="M205" s="450" t="n">
        <f aca="false">IF(AND(L204&gt;L_rampe,G205&gt;0),ATAN2(G205,H205),$M$4)</f>
        <v>1.3502999760945</v>
      </c>
      <c r="N205" s="449" t="n">
        <f aca="false">DEGREES(Beta)</f>
        <v>77.3664897068308</v>
      </c>
      <c r="O205" s="438"/>
      <c r="P205" s="452" t="n">
        <f aca="false">MATCH(t-pas/2-T_ini,CdP_t)</f>
        <v>6</v>
      </c>
      <c r="Q205" s="449" t="n">
        <f aca="false">(INDEX(CdP,2,i_P+1)-INDEX(CdP,2,i_P+0))/(INDEX(CdP,1,i_P+1)-INDEX(CdP,1,i_P+0))*(t-pas/2-T_ini-INDEX(CdP,1,i_P+0))+INDEX(CdP,2,i_P+0)</f>
        <v>585.27</v>
      </c>
      <c r="R205" s="450" t="n">
        <f aca="false">Poussee/(g*ISP)</f>
        <v>0.293719744263665</v>
      </c>
      <c r="S205" s="451" t="n">
        <f aca="false">S204-Débit*pas</f>
        <v>8.9554794380505</v>
      </c>
      <c r="T205" s="449" t="n">
        <f aca="false">m*g</f>
        <v>87.8532532872754</v>
      </c>
      <c r="U205" s="453" t="n">
        <f aca="false">IF(pos_xz&lt;L_rampe,Poids*COS(Beta),0)</f>
        <v>0</v>
      </c>
      <c r="V205" s="450" t="n">
        <f aca="false">Rho_moyen*(20000-Alt_rampe-pos_z)/(20000+Alt_rampe+pos_z)</f>
        <v>1.20809459554351</v>
      </c>
      <c r="W205" s="449" t="n">
        <f aca="false">1/2*Rho*Sref*Cx*vit_xz^2</f>
        <v>47.4406941207502</v>
      </c>
      <c r="X205" s="438"/>
      <c r="Y205" s="454" t="str">
        <f aca="false">IF(AND(pos_z&lt;=0,K204&gt;0),"Impact balistique","") &amp; IF(AND(H206&lt;0,vit_z&gt;=0),"Apogée","") &amp; IF(AND(Poussee=0,Q204&gt;0),"Fin de propulsion","") &amp; IF(AND(L206&gt;L_rampe,pos_xz&lt;=L_rampe),"Sortie de rampe","")</f>
        <v/>
      </c>
      <c r="Z205" s="455" t="str">
        <f aca="false">IF(ABS(t-T_para)&lt;pas/2,"Para","")</f>
        <v/>
      </c>
      <c r="AA205" s="456" t="str">
        <f aca="false">IF(ABS(t-T_satellite)&lt;pas/2,"Satellite","")</f>
        <v/>
      </c>
      <c r="AB205" s="444"/>
      <c r="AC205" s="452" t="e">
        <f aca="false">IF(ABS(t-ROUND(t,0))&lt;0.001,t,NA())</f>
        <v>#N/A</v>
      </c>
      <c r="AD205" s="457" t="e">
        <f aca="false">IF(ABS(t-ROUND(t,0))&lt;0.001,pos_x,NA())</f>
        <v>#N/A</v>
      </c>
      <c r="AE205" s="458" t="n">
        <f aca="false">IF(t&lt;T_para, pos_z, NA())</f>
        <v>138.962163554646</v>
      </c>
      <c r="AF205" s="444"/>
      <c r="AG205" s="450" t="n">
        <f aca="false">IF(AND(L204&lt;L_rampe,Poussee&lt;Poids*SIN(M204)),0,(-W204+Poussee)/m-Poids*SIN(M204)/m)</f>
        <v>50.5225770770373</v>
      </c>
      <c r="AH205" s="449" t="n">
        <f aca="false">IF(AND(L204&lt;L_rampe,Poussee&lt;Poids*SIN(M204)), g*SIN(M204), (-W204+Poussee)/m)</f>
        <v>60.0954133030691</v>
      </c>
    </row>
    <row r="206" customFormat="false" ht="12" hidden="false" customHeight="false" outlineLevel="0" collapsed="false">
      <c r="A206" s="448" t="n">
        <f aca="false">IF(B205+0.01&lt;=T_ini+ROUNDUP(Temps_fin_propu,0), 0.01, IF(K205&gt;0, 0.1, 0.0001))</f>
        <v>0.01</v>
      </c>
      <c r="B206" s="449" t="n">
        <f aca="false">B205+pas</f>
        <v>2.02</v>
      </c>
      <c r="C206" s="432"/>
      <c r="D206" s="450" t="n">
        <f aca="false">IF(AND(L205&lt;L_rampe,Poussee&lt;Poids*SIN(M205)),0,(-W205+Poussee)/m*COS(M205)-U205/m*SIN(M205))</f>
        <v>13.103693720127</v>
      </c>
      <c r="E206" s="451" t="n">
        <f aca="false">IF(AND(L205&lt;L_rampe,Poussee&lt;Poids*SIN(M205)),0,(-W205+Poussee)/m*SIN(M205)+U205/m*COS(M205)-Poids/m)</f>
        <v>48.6519242144953</v>
      </c>
      <c r="F206" s="449" t="n">
        <f aca="false">SQRT(acc_x^2+acc_z^2)</f>
        <v>50.385677715834</v>
      </c>
      <c r="G206" s="450" t="n">
        <f aca="false">G205+acc_x*pas</f>
        <v>29.1969171123243</v>
      </c>
      <c r="H206" s="451" t="n">
        <f aca="false">H205+acc_z*pas</f>
        <v>130.163488218888</v>
      </c>
      <c r="I206" s="449" t="n">
        <f aca="false">SQRT(vit_x^2+vit_z^2)</f>
        <v>133.397877172661</v>
      </c>
      <c r="J206" s="450" t="n">
        <f aca="false">J205+0.5*(vit_x+G205)*pas*(K205&gt;=0)</f>
        <v>29.3661232241738</v>
      </c>
      <c r="K206" s="451" t="n">
        <f aca="false">K205+0.5*(vit_z+H205)*pas</f>
        <v>140.261365840624</v>
      </c>
      <c r="L206" s="449" t="n">
        <f aca="false">SQRT(pos_x^2+pos_z^2)</f>
        <v>143.302546874418</v>
      </c>
      <c r="M206" s="450" t="n">
        <f aca="false">IF(AND(L205&gt;L_rampe,G206&gt;0),ATAN2(G206,H206),$M$4)</f>
        <v>1.3501391351401</v>
      </c>
      <c r="N206" s="449" t="n">
        <f aca="false">DEGREES(Beta)</f>
        <v>77.3572741989706</v>
      </c>
      <c r="O206" s="438"/>
      <c r="P206" s="452" t="n">
        <f aca="false">MATCH(t-pas/2-T_ini,CdP_t)</f>
        <v>6</v>
      </c>
      <c r="Q206" s="449" t="n">
        <f aca="false">(INDEX(CdP,2,i_P+1)-INDEX(CdP,2,i_P+0))/(INDEX(CdP,1,i_P+1)-INDEX(CdP,1,i_P+0))*(t-pas/2-T_ini-INDEX(CdP,1,i_P+0))+INDEX(CdP,2,i_P+0)</f>
        <v>583.81</v>
      </c>
      <c r="R206" s="450" t="n">
        <f aca="false">Poussee/(g*ISP)</f>
        <v>0.292987038287577</v>
      </c>
      <c r="S206" s="451" t="n">
        <f aca="false">S205-Débit*pas</f>
        <v>8.95254956766762</v>
      </c>
      <c r="T206" s="449" t="n">
        <f aca="false">m*g</f>
        <v>87.8245112588194</v>
      </c>
      <c r="U206" s="453" t="n">
        <f aca="false">IF(pos_xz&lt;L_rampe,Poids*COS(Beta),0)</f>
        <v>0</v>
      </c>
      <c r="V206" s="450" t="n">
        <f aca="false">Rho_moyen*(20000-Alt_rampe-pos_z)/(20000+Alt_rampe+pos_z)</f>
        <v>1.20793764216524</v>
      </c>
      <c r="W206" s="449" t="n">
        <f aca="false">1/2*Rho*Sref*Cx*vit_xz^2</f>
        <v>47.7945733429742</v>
      </c>
      <c r="X206" s="438"/>
      <c r="Y206" s="454" t="str">
        <f aca="false">IF(AND(pos_z&lt;=0,K205&gt;0),"Impact balistique","") &amp; IF(AND(H207&lt;0,vit_z&gt;=0),"Apogée","") &amp; IF(AND(Poussee=0,Q205&gt;0),"Fin de propulsion","") &amp; IF(AND(L207&gt;L_rampe,pos_xz&lt;=L_rampe),"Sortie de rampe","")</f>
        <v/>
      </c>
      <c r="Z206" s="455" t="str">
        <f aca="false">IF(ABS(t-T_para)&lt;pas/2,"Para","")</f>
        <v/>
      </c>
      <c r="AA206" s="456" t="str">
        <f aca="false">IF(ABS(t-T_satellite)&lt;pas/2,"Satellite","")</f>
        <v/>
      </c>
      <c r="AB206" s="444"/>
      <c r="AC206" s="452" t="e">
        <f aca="false">IF(ABS(t-ROUND(t,0))&lt;0.001,t,NA())</f>
        <v>#N/A</v>
      </c>
      <c r="AD206" s="457" t="e">
        <f aca="false">IF(ABS(t-ROUND(t,0))&lt;0.001,pos_x,NA())</f>
        <v>#N/A</v>
      </c>
      <c r="AE206" s="458" t="n">
        <f aca="false">IF(t&lt;T_para, pos_z, NA())</f>
        <v>140.261365840624</v>
      </c>
      <c r="AF206" s="444"/>
      <c r="AG206" s="450" t="n">
        <f aca="false">IF(AND(L205&lt;L_rampe,Poussee&lt;Poids*SIN(M205)),0,(-W205+Poussee)/m-Poids*SIN(M205)/m)</f>
        <v>50.3399740506075</v>
      </c>
      <c r="AH206" s="449" t="n">
        <f aca="false">IF(AND(L205&lt;L_rampe,Poussee&lt;Poids*SIN(M205)), g*SIN(M205), (-W205+Poussee)/m)</f>
        <v>59.9124642455332</v>
      </c>
    </row>
    <row r="207" customFormat="false" ht="12" hidden="false" customHeight="false" outlineLevel="0" collapsed="false">
      <c r="A207" s="448" t="n">
        <f aca="false">IF(B206+0.01&lt;=T_ini+ROUNDUP(Temps_fin_propu,0), 0.01, IF(K206&gt;0, 0.1, 0.0001))</f>
        <v>0.01</v>
      </c>
      <c r="B207" s="449" t="n">
        <f aca="false">B206+pas</f>
        <v>2.03</v>
      </c>
      <c r="C207" s="432"/>
      <c r="D207" s="450" t="n">
        <f aca="false">IF(AND(L206&lt;L_rampe,Poussee&lt;Poids*SIN(M206)),0,(-W206+Poussee)/m*COS(M206)-U206/m*SIN(M206))</f>
        <v>13.0730187694349</v>
      </c>
      <c r="E207" s="451" t="n">
        <f aca="false">IF(AND(L206&lt;L_rampe,Poussee&lt;Poids*SIN(M206)),0,(-W206+Poussee)/m*SIN(M206)+U206/m*COS(M206)-Poids/m)</f>
        <v>48.4711437945401</v>
      </c>
      <c r="F207" s="449" t="n">
        <f aca="false">SQRT(acc_x^2+acc_z^2)</f>
        <v>50.2031433328331</v>
      </c>
      <c r="G207" s="450" t="n">
        <f aca="false">G206+acc_x*pas</f>
        <v>29.3276473000186</v>
      </c>
      <c r="H207" s="451" t="n">
        <f aca="false">H206+acc_z*pas</f>
        <v>130.648199656833</v>
      </c>
      <c r="I207" s="449" t="n">
        <f aca="false">SQRT(vit_x^2+vit_z^2)</f>
        <v>133.899450968725</v>
      </c>
      <c r="J207" s="450" t="n">
        <f aca="false">J206+0.5*(vit_x+G206)*pas*(K206&gt;=0)</f>
        <v>29.6587460462355</v>
      </c>
      <c r="K207" s="451" t="n">
        <f aca="false">K206+0.5*(vit_z+H206)*pas</f>
        <v>141.565424280003</v>
      </c>
      <c r="L207" s="449" t="n">
        <f aca="false">SQRT(pos_x^2+pos_z^2)</f>
        <v>144.638897149461</v>
      </c>
      <c r="M207" s="450" t="n">
        <f aca="false">IF(AND(L206&gt;L_rampe,G207&gt;0),ATAN2(G207,H207),$M$4)</f>
        <v>1.34997878169629</v>
      </c>
      <c r="N207" s="449" t="n">
        <f aca="false">DEGREES(Beta)</f>
        <v>77.3480866234102</v>
      </c>
      <c r="O207" s="438"/>
      <c r="P207" s="452" t="n">
        <f aca="false">MATCH(t-pas/2-T_ini,CdP_t)</f>
        <v>6</v>
      </c>
      <c r="Q207" s="449" t="n">
        <f aca="false">(INDEX(CdP,2,i_P+1)-INDEX(CdP,2,i_P+0))/(INDEX(CdP,1,i_P+1)-INDEX(CdP,1,i_P+0))*(t-pas/2-T_ini-INDEX(CdP,1,i_P+0))+INDEX(CdP,2,i_P+0)</f>
        <v>582.35</v>
      </c>
      <c r="R207" s="450" t="n">
        <f aca="false">Poussee/(g*ISP)</f>
        <v>0.292254332311489</v>
      </c>
      <c r="S207" s="451" t="n">
        <f aca="false">S206-Débit*pas</f>
        <v>8.94962702434451</v>
      </c>
      <c r="T207" s="449" t="n">
        <f aca="false">m*g</f>
        <v>87.7958411088196</v>
      </c>
      <c r="U207" s="453" t="n">
        <f aca="false">IF(pos_xz&lt;L_rampe,Poids*COS(Beta),0)</f>
        <v>0</v>
      </c>
      <c r="V207" s="450" t="n">
        <f aca="false">Rho_moyen*(20000-Alt_rampe-pos_z)/(20000+Alt_rampe+pos_z)</f>
        <v>1.20778012248899</v>
      </c>
      <c r="W207" s="449" t="n">
        <f aca="false">1/2*Rho*Sref*Cx*vit_xz^2</f>
        <v>48.1483830850935</v>
      </c>
      <c r="X207" s="438"/>
      <c r="Y207" s="454" t="str">
        <f aca="false">IF(AND(pos_z&lt;=0,K206&gt;0),"Impact balistique","") &amp; IF(AND(H208&lt;0,vit_z&gt;=0),"Apogée","") &amp; IF(AND(Poussee=0,Q206&gt;0),"Fin de propulsion","") &amp; IF(AND(L208&gt;L_rampe,pos_xz&lt;=L_rampe),"Sortie de rampe","")</f>
        <v/>
      </c>
      <c r="Z207" s="455" t="str">
        <f aca="false">IF(ABS(t-T_para)&lt;pas/2,"Para","")</f>
        <v/>
      </c>
      <c r="AA207" s="456" t="str">
        <f aca="false">IF(ABS(t-T_satellite)&lt;pas/2,"Satellite","")</f>
        <v/>
      </c>
      <c r="AB207" s="444"/>
      <c r="AC207" s="452" t="e">
        <f aca="false">IF(ABS(t-ROUND(t,0))&lt;0.001,t,NA())</f>
        <v>#N/A</v>
      </c>
      <c r="AD207" s="457" t="e">
        <f aca="false">IF(ABS(t-ROUND(t,0))&lt;0.001,pos_x,NA())</f>
        <v>#N/A</v>
      </c>
      <c r="AE207" s="458" t="n">
        <f aca="false">IF(t&lt;T_para, pos_z, NA())</f>
        <v>141.565424280003</v>
      </c>
      <c r="AF207" s="444"/>
      <c r="AG207" s="450" t="n">
        <f aca="false">IF(AND(L206&lt;L_rampe,Poussee&lt;Poids*SIN(M206)),0,(-W206+Poussee)/m-Poids*SIN(M206)/m)</f>
        <v>50.1572074570233</v>
      </c>
      <c r="AH207" s="449" t="n">
        <f aca="false">IF(AND(L206&lt;L_rampe,Poussee&lt;Poids*SIN(M206)), g*SIN(M206), (-W206+Poussee)/m)</f>
        <v>59.7293524303241</v>
      </c>
    </row>
    <row r="208" customFormat="false" ht="12" hidden="false" customHeight="false" outlineLevel="0" collapsed="false">
      <c r="A208" s="448" t="n">
        <f aca="false">IF(B207+0.01&lt;=T_ini+ROUNDUP(Temps_fin_propu,0), 0.01, IF(K207&gt;0, 0.1, 0.0001))</f>
        <v>0.01</v>
      </c>
      <c r="B208" s="449" t="n">
        <f aca="false">B207+pas</f>
        <v>2.04</v>
      </c>
      <c r="C208" s="432"/>
      <c r="D208" s="450" t="n">
        <f aca="false">IF(AND(L207&lt;L_rampe,Poussee&lt;Poids*SIN(M207)),0,(-W207+Poussee)/m*COS(M207)-U207/m*SIN(M207))</f>
        <v>13.0422224977447</v>
      </c>
      <c r="E208" s="451" t="n">
        <f aca="false">IF(AND(L207&lt;L_rampe,Poussee&lt;Poids*SIN(M207)),0,(-W207+Poussee)/m*SIN(M207)+U207/m*COS(M207)-Poids/m)</f>
        <v>48.2902243863288</v>
      </c>
      <c r="F208" s="449" t="n">
        <f aca="false">SQRT(acc_x^2+acc_z^2)</f>
        <v>50.0204492079256</v>
      </c>
      <c r="G208" s="450" t="n">
        <f aca="false">G207+acc_x*pas</f>
        <v>29.4580695249961</v>
      </c>
      <c r="H208" s="451" t="n">
        <f aca="false">H207+acc_z*pas</f>
        <v>131.131101900696</v>
      </c>
      <c r="I208" s="449" t="n">
        <f aca="false">SQRT(vit_x^2+vit_z^2)</f>
        <v>134.399195480592</v>
      </c>
      <c r="J208" s="450" t="n">
        <f aca="false">J207+0.5*(vit_x+G207)*pas*(K207&gt;=0)</f>
        <v>29.9526746303606</v>
      </c>
      <c r="K208" s="451" t="n">
        <f aca="false">K207+0.5*(vit_z+H207)*pas</f>
        <v>142.87432078779</v>
      </c>
      <c r="L208" s="449" t="n">
        <f aca="false">SQRT(pos_x^2+pos_z^2)</f>
        <v>145.980252973081</v>
      </c>
      <c r="M208" s="450" t="n">
        <f aca="false">IF(AND(L207&gt;L_rampe,G208&gt;0),ATAN2(G208,H208),$M$4)</f>
        <v>1.34981891029976</v>
      </c>
      <c r="N208" s="449" t="n">
        <f aca="false">DEGREES(Beta)</f>
        <v>77.3389266671242</v>
      </c>
      <c r="O208" s="438"/>
      <c r="P208" s="452" t="n">
        <f aca="false">MATCH(t-pas/2-T_ini,CdP_t)</f>
        <v>6</v>
      </c>
      <c r="Q208" s="449" t="n">
        <f aca="false">(INDEX(CdP,2,i_P+1)-INDEX(CdP,2,i_P+0))/(INDEX(CdP,1,i_P+1)-INDEX(CdP,1,i_P+0))*(t-pas/2-T_ini-INDEX(CdP,1,i_P+0))+INDEX(CdP,2,i_P+0)</f>
        <v>580.89</v>
      </c>
      <c r="R208" s="450" t="n">
        <f aca="false">Poussee/(g*ISP)</f>
        <v>0.291521626335401</v>
      </c>
      <c r="S208" s="451" t="n">
        <f aca="false">S207-Débit*pas</f>
        <v>8.94671180808115</v>
      </c>
      <c r="T208" s="449" t="n">
        <f aca="false">m*g</f>
        <v>87.7672428372761</v>
      </c>
      <c r="U208" s="453" t="n">
        <f aca="false">IF(pos_xz&lt;L_rampe,Poids*COS(Beta),0)</f>
        <v>0</v>
      </c>
      <c r="V208" s="450" t="n">
        <f aca="false">Rho_moyen*(20000-Alt_rampe-pos_z)/(20000+Alt_rampe+pos_z)</f>
        <v>1.20762203892278</v>
      </c>
      <c r="W208" s="449" t="n">
        <f aca="false">1/2*Rho*Sref*Cx*vit_xz^2</f>
        <v>48.5021069850043</v>
      </c>
      <c r="X208" s="438"/>
      <c r="Y208" s="454" t="str">
        <f aca="false">IF(AND(pos_z&lt;=0,K207&gt;0),"Impact balistique","") &amp; IF(AND(H209&lt;0,vit_z&gt;=0),"Apogée","") &amp; IF(AND(Poussee=0,Q207&gt;0),"Fin de propulsion","") &amp; IF(AND(L209&gt;L_rampe,pos_xz&lt;=L_rampe),"Sortie de rampe","")</f>
        <v/>
      </c>
      <c r="Z208" s="455" t="str">
        <f aca="false">IF(ABS(t-T_para)&lt;pas/2,"Para","")</f>
        <v/>
      </c>
      <c r="AA208" s="456" t="str">
        <f aca="false">IF(ABS(t-T_satellite)&lt;pas/2,"Satellite","")</f>
        <v/>
      </c>
      <c r="AB208" s="444"/>
      <c r="AC208" s="452" t="e">
        <f aca="false">IF(ABS(t-ROUND(t,0))&lt;0.001,t,NA())</f>
        <v>#N/A</v>
      </c>
      <c r="AD208" s="457" t="e">
        <f aca="false">IF(ABS(t-ROUND(t,0))&lt;0.001,pos_x,NA())</f>
        <v>#N/A</v>
      </c>
      <c r="AE208" s="458" t="n">
        <f aca="false">IF(t&lt;T_para, pos_z, NA())</f>
        <v>142.87432078779</v>
      </c>
      <c r="AF208" s="444"/>
      <c r="AG208" s="450" t="n">
        <f aca="false">IF(AND(L207&lt;L_rampe,Poussee&lt;Poids*SIN(M207)),0,(-W207+Poussee)/m-Poids*SIN(M207)/m)</f>
        <v>49.9742794321355</v>
      </c>
      <c r="AH208" s="449" t="n">
        <f aca="false">IF(AND(L207&lt;L_rampe,Poussee&lt;Poids*SIN(M207)), g*SIN(M207), (-W207+Poussee)/m)</f>
        <v>59.5460799836769</v>
      </c>
    </row>
    <row r="209" customFormat="false" ht="12" hidden="false" customHeight="false" outlineLevel="0" collapsed="false">
      <c r="A209" s="448" t="n">
        <f aca="false">IF(B208+0.01&lt;=T_ini+ROUNDUP(Temps_fin_propu,0), 0.01, IF(K208&gt;0, 0.1, 0.0001))</f>
        <v>0.01</v>
      </c>
      <c r="B209" s="449" t="n">
        <f aca="false">B208+pas</f>
        <v>2.05</v>
      </c>
      <c r="C209" s="432"/>
      <c r="D209" s="450" t="n">
        <f aca="false">IF(AND(L208&lt;L_rampe,Poussee&lt;Poids*SIN(M208)),0,(-W208+Poussee)/m*COS(M208)-U208/m*SIN(M208))</f>
        <v>13.0113058788253</v>
      </c>
      <c r="E209" s="451" t="n">
        <f aca="false">IF(AND(L208&lt;L_rampe,Poussee&lt;Poids*SIN(M208)),0,(-W208+Poussee)/m*SIN(M208)+U208/m*COS(M208)-Poids/m)</f>
        <v>48.1091679756754</v>
      </c>
      <c r="F209" s="449" t="n">
        <f aca="false">SQRT(acc_x^2+acc_z^2)</f>
        <v>49.8375974941018</v>
      </c>
      <c r="G209" s="450" t="n">
        <f aca="false">G208+acc_x*pas</f>
        <v>29.5881825837843</v>
      </c>
      <c r="H209" s="451" t="n">
        <f aca="false">H208+acc_z*pas</f>
        <v>131.612193580453</v>
      </c>
      <c r="I209" s="449" t="n">
        <f aca="false">SQRT(vit_x^2+vit_z^2)</f>
        <v>134.897109115318</v>
      </c>
      <c r="J209" s="450" t="n">
        <f aca="false">J208+0.5*(vit_x+G208)*pas*(K208&gt;=0)</f>
        <v>30.2479058909045</v>
      </c>
      <c r="K209" s="451" t="n">
        <f aca="false">K208+0.5*(vit_z+H208)*pas</f>
        <v>144.188037265196</v>
      </c>
      <c r="L209" s="449" t="n">
        <f aca="false">SQRT(pos_x^2+pos_z^2)</f>
        <v>147.326596041498</v>
      </c>
      <c r="M209" s="450" t="n">
        <f aca="false">IF(AND(L208&gt;L_rampe,G209&gt;0),ATAN2(G209,H209),$M$4)</f>
        <v>1.34965951556172</v>
      </c>
      <c r="N209" s="449" t="n">
        <f aca="false">DEGREES(Beta)</f>
        <v>77.3297940213578</v>
      </c>
      <c r="O209" s="438"/>
      <c r="P209" s="452" t="n">
        <f aca="false">MATCH(t-pas/2-T_ini,CdP_t)</f>
        <v>6</v>
      </c>
      <c r="Q209" s="449" t="n">
        <f aca="false">(INDEX(CdP,2,i_P+1)-INDEX(CdP,2,i_P+0))/(INDEX(CdP,1,i_P+1)-INDEX(CdP,1,i_P+0))*(t-pas/2-T_ini-INDEX(CdP,1,i_P+0))+INDEX(CdP,2,i_P+0)</f>
        <v>579.43</v>
      </c>
      <c r="R209" s="450" t="n">
        <f aca="false">Poussee/(g*ISP)</f>
        <v>0.290788920359313</v>
      </c>
      <c r="S209" s="451" t="n">
        <f aca="false">S208-Débit*pas</f>
        <v>8.94380391887756</v>
      </c>
      <c r="T209" s="449" t="n">
        <f aca="false">m*g</f>
        <v>87.7387164441889</v>
      </c>
      <c r="U209" s="453" t="n">
        <f aca="false">IF(pos_xz&lt;L_rampe,Poids*COS(Beta),0)</f>
        <v>0</v>
      </c>
      <c r="V209" s="450" t="n">
        <f aca="false">Rho_moyen*(20000-Alt_rampe-pos_z)/(20000+Alt_rampe+pos_z)</f>
        <v>1.20746339387588</v>
      </c>
      <c r="W209" s="449" t="n">
        <f aca="false">1/2*Rho*Sref*Cx*vit_xz^2</f>
        <v>48.8557287437591</v>
      </c>
      <c r="X209" s="438"/>
      <c r="Y209" s="454" t="str">
        <f aca="false">IF(AND(pos_z&lt;=0,K208&gt;0),"Impact balistique","") &amp; IF(AND(H210&lt;0,vit_z&gt;=0),"Apogée","") &amp; IF(AND(Poussee=0,Q208&gt;0),"Fin de propulsion","") &amp; IF(AND(L210&gt;L_rampe,pos_xz&lt;=L_rampe),"Sortie de rampe","")</f>
        <v/>
      </c>
      <c r="Z209" s="455" t="str">
        <f aca="false">IF(ABS(t-T_para)&lt;pas/2,"Para","")</f>
        <v/>
      </c>
      <c r="AA209" s="456" t="str">
        <f aca="false">IF(ABS(t-T_satellite)&lt;pas/2,"Satellite","")</f>
        <v/>
      </c>
      <c r="AB209" s="444"/>
      <c r="AC209" s="452" t="e">
        <f aca="false">IF(ABS(t-ROUND(t,0))&lt;0.001,t,NA())</f>
        <v>#N/A</v>
      </c>
      <c r="AD209" s="457" t="e">
        <f aca="false">IF(ABS(t-ROUND(t,0))&lt;0.001,pos_x,NA())</f>
        <v>#N/A</v>
      </c>
      <c r="AE209" s="458" t="n">
        <f aca="false">IF(t&lt;T_para, pos_z, NA())</f>
        <v>144.188037265196</v>
      </c>
      <c r="AF209" s="444"/>
      <c r="AG209" s="450" t="n">
        <f aca="false">IF(AND(L208&lt;L_rampe,Poussee&lt;Poids*SIN(M208)),0,(-W208+Poussee)/m-Poids*SIN(M208)/m)</f>
        <v>49.791192108228</v>
      </c>
      <c r="AH209" s="449" t="n">
        <f aca="false">IF(AND(L208&lt;L_rampe,Poussee&lt;Poids*SIN(M208)), g*SIN(M208), (-W208+Poussee)/m)</f>
        <v>59.362649028382</v>
      </c>
    </row>
    <row r="210" customFormat="false" ht="12" hidden="false" customHeight="false" outlineLevel="0" collapsed="false">
      <c r="A210" s="448" t="n">
        <f aca="false">IF(B209+0.01&lt;=T_ini+ROUNDUP(Temps_fin_propu,0), 0.01, IF(K209&gt;0, 0.1, 0.0001))</f>
        <v>0.01</v>
      </c>
      <c r="B210" s="449" t="n">
        <f aca="false">B209+pas</f>
        <v>2.06</v>
      </c>
      <c r="C210" s="432"/>
      <c r="D210" s="450" t="n">
        <f aca="false">IF(AND(L209&lt;L_rampe,Poussee&lt;Poids*SIN(M209)),0,(-W209+Poussee)/m*COS(M209)-U209/m*SIN(M209))</f>
        <v>12.9802698791551</v>
      </c>
      <c r="E210" s="451" t="n">
        <f aca="false">IF(AND(L209&lt;L_rampe,Poussee&lt;Poids*SIN(M209)),0,(-W209+Poussee)/m*SIN(M209)+U209/m*COS(M209)-Poids/m)</f>
        <v>47.9279765460198</v>
      </c>
      <c r="F210" s="449" t="n">
        <f aca="false">SQRT(acc_x^2+acc_z^2)</f>
        <v>49.6545903409899</v>
      </c>
      <c r="G210" s="450" t="n">
        <f aca="false">G209+acc_x*pas</f>
        <v>29.7179852825759</v>
      </c>
      <c r="H210" s="451" t="n">
        <f aca="false">H209+acc_z*pas</f>
        <v>132.091473345913</v>
      </c>
      <c r="I210" s="449" t="n">
        <f aca="false">SQRT(vit_x^2+vit_z^2)</f>
        <v>135.393190301246</v>
      </c>
      <c r="J210" s="450" t="n">
        <f aca="false">J209+0.5*(vit_x+G209)*pas*(K209&gt;=0)</f>
        <v>30.5444367302363</v>
      </c>
      <c r="K210" s="451" t="n">
        <f aca="false">K209+0.5*(vit_z+H209)*pas</f>
        <v>145.506555599828</v>
      </c>
      <c r="L210" s="449" t="n">
        <f aca="false">SQRT(pos_x^2+pos_z^2)</f>
        <v>148.677908035099</v>
      </c>
      <c r="M210" s="450" t="n">
        <f aca="false">IF(AND(L209&gt;L_rampe,G210&gt;0),ATAN2(G210,H210),$M$4)</f>
        <v>1.34950059216648</v>
      </c>
      <c r="N210" s="449" t="n">
        <f aca="false">DEGREES(Beta)</f>
        <v>77.3206883815447</v>
      </c>
      <c r="O210" s="438"/>
      <c r="P210" s="452" t="n">
        <f aca="false">MATCH(t-pas/2-T_ini,CdP_t)</f>
        <v>6</v>
      </c>
      <c r="Q210" s="449" t="n">
        <f aca="false">(INDEX(CdP,2,i_P+1)-INDEX(CdP,2,i_P+0))/(INDEX(CdP,1,i_P+1)-INDEX(CdP,1,i_P+0))*(t-pas/2-T_ini-INDEX(CdP,1,i_P+0))+INDEX(CdP,2,i_P+0)</f>
        <v>577.97</v>
      </c>
      <c r="R210" s="450" t="n">
        <f aca="false">Poussee/(g*ISP)</f>
        <v>0.290056214383226</v>
      </c>
      <c r="S210" s="451" t="n">
        <f aca="false">S209-Débit*pas</f>
        <v>8.94090335673373</v>
      </c>
      <c r="T210" s="449" t="n">
        <f aca="false">m*g</f>
        <v>87.7102619295579</v>
      </c>
      <c r="U210" s="453" t="n">
        <f aca="false">IF(pos_xz&lt;L_rampe,Poids*COS(Beta),0)</f>
        <v>0</v>
      </c>
      <c r="V210" s="450" t="n">
        <f aca="false">Rho_moyen*(20000-Alt_rampe-pos_z)/(20000+Alt_rampe+pos_z)</f>
        <v>1.20730418975886</v>
      </c>
      <c r="W210" s="449" t="n">
        <f aca="false">1/2*Rho*Sref*Cx*vit_xz^2</f>
        <v>49.2092321260237</v>
      </c>
      <c r="X210" s="438"/>
      <c r="Y210" s="454" t="str">
        <f aca="false">IF(AND(pos_z&lt;=0,K209&gt;0),"Impact balistique","") &amp; IF(AND(H211&lt;0,vit_z&gt;=0),"Apogée","") &amp; IF(AND(Poussee=0,Q209&gt;0),"Fin de propulsion","") &amp; IF(AND(L211&gt;L_rampe,pos_xz&lt;=L_rampe),"Sortie de rampe","")</f>
        <v/>
      </c>
      <c r="Z210" s="455" t="str">
        <f aca="false">IF(ABS(t-T_para)&lt;pas/2,"Para","")</f>
        <v/>
      </c>
      <c r="AA210" s="456" t="str">
        <f aca="false">IF(ABS(t-T_satellite)&lt;pas/2,"Satellite","")</f>
        <v/>
      </c>
      <c r="AB210" s="444"/>
      <c r="AC210" s="452" t="e">
        <f aca="false">IF(ABS(t-ROUND(t,0))&lt;0.001,t,NA())</f>
        <v>#N/A</v>
      </c>
      <c r="AD210" s="457" t="e">
        <f aca="false">IF(ABS(t-ROUND(t,0))&lt;0.001,pos_x,NA())</f>
        <v>#N/A</v>
      </c>
      <c r="AE210" s="458" t="n">
        <f aca="false">IF(t&lt;T_para, pos_z, NA())</f>
        <v>145.506555599828</v>
      </c>
      <c r="AF210" s="444"/>
      <c r="AG210" s="450" t="n">
        <f aca="false">IF(AND(L209&lt;L_rampe,Poussee&lt;Poids*SIN(M209)),0,(-W209+Poussee)/m-Poids*SIN(M209)/m)</f>
        <v>49.6079476139457</v>
      </c>
      <c r="AH210" s="449" t="n">
        <f aca="false">IF(AND(L209&lt;L_rampe,Poussee&lt;Poids*SIN(M209)), g*SIN(M209), (-W209+Poussee)/m)</f>
        <v>59.1790616837107</v>
      </c>
    </row>
    <row r="211" customFormat="false" ht="12" hidden="false" customHeight="false" outlineLevel="0" collapsed="false">
      <c r="A211" s="448" t="n">
        <f aca="false">IF(B210+0.01&lt;=T_ini+ROUNDUP(Temps_fin_propu,0), 0.01, IF(K210&gt;0, 0.1, 0.0001))</f>
        <v>0.01</v>
      </c>
      <c r="B211" s="449" t="n">
        <f aca="false">B210+pas</f>
        <v>2.07</v>
      </c>
      <c r="C211" s="432"/>
      <c r="D211" s="450" t="n">
        <f aca="false">IF(AND(L210&lt;L_rampe,Poussee&lt;Poids*SIN(M210)),0,(-W210+Poussee)/m*COS(M210)-U210/m*SIN(M210))</f>
        <v>12.9491154580358</v>
      </c>
      <c r="E211" s="451" t="n">
        <f aca="false">IF(AND(L210&lt;L_rampe,Poussee&lt;Poids*SIN(M210)),0,(-W210+Poussee)/m*SIN(M210)+U210/m*COS(M210)-Poids/m)</f>
        <v>47.7466520783345</v>
      </c>
      <c r="F211" s="449" t="n">
        <f aca="false">SQRT(acc_x^2+acc_z^2)</f>
        <v>49.4714298947895</v>
      </c>
      <c r="G211" s="450" t="n">
        <f aca="false">G210+acc_x*pas</f>
        <v>29.8474764371562</v>
      </c>
      <c r="H211" s="451" t="n">
        <f aca="false">H210+acc_z*pas</f>
        <v>132.568939866697</v>
      </c>
      <c r="I211" s="449" t="n">
        <f aca="false">SQRT(vit_x^2+vit_z^2)</f>
        <v>135.887437487968</v>
      </c>
      <c r="J211" s="450" t="n">
        <f aca="false">J210+0.5*(vit_x+G210)*pas*(K210&gt;=0)</f>
        <v>30.8422640388349</v>
      </c>
      <c r="K211" s="451" t="n">
        <f aca="false">K210+0.5*(vit_z+H210)*pas</f>
        <v>146.829857665891</v>
      </c>
      <c r="L211" s="449" t="n">
        <f aca="false">SQRT(pos_x^2+pos_z^2)</f>
        <v>150.034170618653</v>
      </c>
      <c r="M211" s="450" t="n">
        <f aca="false">IF(AND(L210&gt;L_rampe,G211&gt;0),ATAN2(G211,H211),$M$4)</f>
        <v>1.34934213487006</v>
      </c>
      <c r="N211" s="449" t="n">
        <f aca="false">DEGREES(Beta)</f>
        <v>77.3116094472266</v>
      </c>
      <c r="O211" s="438"/>
      <c r="P211" s="452" t="n">
        <f aca="false">MATCH(t-pas/2-T_ini,CdP_t)</f>
        <v>6</v>
      </c>
      <c r="Q211" s="449" t="n">
        <f aca="false">(INDEX(CdP,2,i_P+1)-INDEX(CdP,2,i_P+0))/(INDEX(CdP,1,i_P+1)-INDEX(CdP,1,i_P+0))*(t-pas/2-T_ini-INDEX(CdP,1,i_P+0))+INDEX(CdP,2,i_P+0)</f>
        <v>576.51</v>
      </c>
      <c r="R211" s="450" t="n">
        <f aca="false">Poussee/(g*ISP)</f>
        <v>0.289323508407138</v>
      </c>
      <c r="S211" s="451" t="n">
        <f aca="false">S210-Débit*pas</f>
        <v>8.93801012164966</v>
      </c>
      <c r="T211" s="449" t="n">
        <f aca="false">m*g</f>
        <v>87.6818792933831</v>
      </c>
      <c r="U211" s="453" t="n">
        <f aca="false">IF(pos_xz&lt;L_rampe,Poids*COS(Beta),0)</f>
        <v>0</v>
      </c>
      <c r="V211" s="450" t="n">
        <f aca="false">Rho_moyen*(20000-Alt_rampe-pos_z)/(20000+Alt_rampe+pos_z)</f>
        <v>1.20714442898347</v>
      </c>
      <c r="W211" s="449" t="n">
        <f aca="false">1/2*Rho*Sref*Cx*vit_xz^2</f>
        <v>49.5626009605285</v>
      </c>
      <c r="X211" s="438"/>
      <c r="Y211" s="454" t="str">
        <f aca="false">IF(AND(pos_z&lt;=0,K210&gt;0),"Impact balistique","") &amp; IF(AND(H212&lt;0,vit_z&gt;=0),"Apogée","") &amp; IF(AND(Poussee=0,Q210&gt;0),"Fin de propulsion","") &amp; IF(AND(L212&gt;L_rampe,pos_xz&lt;=L_rampe),"Sortie de rampe","")</f>
        <v/>
      </c>
      <c r="Z211" s="455" t="str">
        <f aca="false">IF(ABS(t-T_para)&lt;pas/2,"Para","")</f>
        <v/>
      </c>
      <c r="AA211" s="456" t="str">
        <f aca="false">IF(ABS(t-T_satellite)&lt;pas/2,"Satellite","")</f>
        <v/>
      </c>
      <c r="AB211" s="444"/>
      <c r="AC211" s="452" t="e">
        <f aca="false">IF(ABS(t-ROUND(t,0))&lt;0.001,t,NA())</f>
        <v>#N/A</v>
      </c>
      <c r="AD211" s="457" t="e">
        <f aca="false">IF(ABS(t-ROUND(t,0))&lt;0.001,pos_x,NA())</f>
        <v>#N/A</v>
      </c>
      <c r="AE211" s="458" t="n">
        <f aca="false">IF(t&lt;T_para, pos_z, NA())</f>
        <v>146.829857665891</v>
      </c>
      <c r="AF211" s="444"/>
      <c r="AG211" s="450" t="n">
        <f aca="false">IF(AND(L210&lt;L_rampe,Poussee&lt;Poids*SIN(M210)),0,(-W210+Poussee)/m-Poids*SIN(M210)/m)</f>
        <v>49.4245480742217</v>
      </c>
      <c r="AH211" s="449" t="n">
        <f aca="false">IF(AND(L210&lt;L_rampe,Poussee&lt;Poids*SIN(M210)), g*SIN(M210), (-W210+Poussee)/m)</f>
        <v>58.9953200653407</v>
      </c>
    </row>
    <row r="212" customFormat="false" ht="12" hidden="false" customHeight="false" outlineLevel="0" collapsed="false">
      <c r="A212" s="448" t="n">
        <f aca="false">IF(B211+0.01&lt;=T_ini+ROUNDUP(Temps_fin_propu,0), 0.01, IF(K211&gt;0, 0.1, 0.0001))</f>
        <v>0.01</v>
      </c>
      <c r="B212" s="449" t="n">
        <f aca="false">B211+pas</f>
        <v>2.08</v>
      </c>
      <c r="C212" s="432"/>
      <c r="D212" s="450" t="n">
        <f aca="false">IF(AND(L211&lt;L_rampe,Poussee&lt;Poids*SIN(M211)),0,(-W211+Poussee)/m*COS(M211)-U211/m*SIN(M211))</f>
        <v>12.9178435677025</v>
      </c>
      <c r="E212" s="451" t="n">
        <f aca="false">IF(AND(L211&lt;L_rampe,Poussee&lt;Poids*SIN(M211)),0,(-W211+Poussee)/m*SIN(M211)+U211/m*COS(M211)-Poids/m)</f>
        <v>47.5651965510325</v>
      </c>
      <c r="F212" s="449" t="n">
        <f aca="false">SQRT(acc_x^2+acc_z^2)</f>
        <v>49.2881182982064</v>
      </c>
      <c r="G212" s="450" t="n">
        <f aca="false">G211+acc_x*pas</f>
        <v>29.9766548728332</v>
      </c>
      <c r="H212" s="451" t="n">
        <f aca="false">H211+acc_z*pas</f>
        <v>133.044591832207</v>
      </c>
      <c r="I212" s="449" t="n">
        <f aca="false">SQRT(vit_x^2+vit_z^2)</f>
        <v>136.379849146285</v>
      </c>
      <c r="J212" s="450" t="n">
        <f aca="false">J211+0.5*(vit_x+G211)*pas*(K211&gt;=0)</f>
        <v>31.1413846953849</v>
      </c>
      <c r="K212" s="451" t="n">
        <f aca="false">K211+0.5*(vit_z+H211)*pas</f>
        <v>148.157925324385</v>
      </c>
      <c r="L212" s="449" t="n">
        <f aca="false">SQRT(pos_x^2+pos_z^2)</f>
        <v>151.395365441522</v>
      </c>
      <c r="M212" s="450" t="n">
        <f aca="false">IF(AND(L211&gt;L_rampe,G212&gt;0),ATAN2(G212,H212),$M$4)</f>
        <v>1.3491841384988</v>
      </c>
      <c r="N212" s="449" t="n">
        <f aca="false">DEGREES(Beta)</f>
        <v>77.3025569219752</v>
      </c>
      <c r="O212" s="438"/>
      <c r="P212" s="452" t="n">
        <f aca="false">MATCH(t-pas/2-T_ini,CdP_t)</f>
        <v>6</v>
      </c>
      <c r="Q212" s="449" t="n">
        <f aca="false">(INDEX(CdP,2,i_P+1)-INDEX(CdP,2,i_P+0))/(INDEX(CdP,1,i_P+1)-INDEX(CdP,1,i_P+0))*(t-pas/2-T_ini-INDEX(CdP,1,i_P+0))+INDEX(CdP,2,i_P+0)</f>
        <v>575.05</v>
      </c>
      <c r="R212" s="450" t="n">
        <f aca="false">Poussee/(g*ISP)</f>
        <v>0.28859080243105</v>
      </c>
      <c r="S212" s="451" t="n">
        <f aca="false">S211-Débit*pas</f>
        <v>8.93512421362535</v>
      </c>
      <c r="T212" s="449" t="n">
        <f aca="false">m*g</f>
        <v>87.6535685356646</v>
      </c>
      <c r="U212" s="453" t="n">
        <f aca="false">IF(pos_xz&lt;L_rampe,Poids*COS(Beta),0)</f>
        <v>0</v>
      </c>
      <c r="V212" s="450" t="n">
        <f aca="false">Rho_moyen*(20000-Alt_rampe-pos_z)/(20000+Alt_rampe+pos_z)</f>
        <v>1.20698411396267</v>
      </c>
      <c r="W212" s="449" t="n">
        <f aca="false">1/2*Rho*Sref*Cx*vit_xz^2</f>
        <v>49.9158191405144</v>
      </c>
      <c r="X212" s="438"/>
      <c r="Y212" s="454" t="str">
        <f aca="false">IF(AND(pos_z&lt;=0,K211&gt;0),"Impact balistique","") &amp; IF(AND(H213&lt;0,vit_z&gt;=0),"Apogée","") &amp; IF(AND(Poussee=0,Q211&gt;0),"Fin de propulsion","") &amp; IF(AND(L213&gt;L_rampe,pos_xz&lt;=L_rampe),"Sortie de rampe","")</f>
        <v/>
      </c>
      <c r="Z212" s="455" t="str">
        <f aca="false">IF(ABS(t-T_para)&lt;pas/2,"Para","")</f>
        <v/>
      </c>
      <c r="AA212" s="456" t="str">
        <f aca="false">IF(ABS(t-T_satellite)&lt;pas/2,"Satellite","")</f>
        <v/>
      </c>
      <c r="AB212" s="444"/>
      <c r="AC212" s="452" t="e">
        <f aca="false">IF(ABS(t-ROUND(t,0))&lt;0.001,t,NA())</f>
        <v>#N/A</v>
      </c>
      <c r="AD212" s="457" t="e">
        <f aca="false">IF(ABS(t-ROUND(t,0))&lt;0.001,pos_x,NA())</f>
        <v>#N/A</v>
      </c>
      <c r="AE212" s="458" t="n">
        <f aca="false">IF(t&lt;T_para, pos_z, NA())</f>
        <v>148.157925324385</v>
      </c>
      <c r="AF212" s="444"/>
      <c r="AG212" s="450" t="n">
        <f aca="false">IF(AND(L211&lt;L_rampe,Poussee&lt;Poids*SIN(M211)),0,(-W211+Poussee)/m-Poids*SIN(M211)/m)</f>
        <v>49.2409956102069</v>
      </c>
      <c r="AH212" s="449" t="n">
        <f aca="false">IF(AND(L211&lt;L_rampe,Poussee&lt;Poids*SIN(M211)), g*SIN(M211), (-W211+Poussee)/m)</f>
        <v>58.8114262852827</v>
      </c>
    </row>
    <row r="213" customFormat="false" ht="12" hidden="false" customHeight="false" outlineLevel="0" collapsed="false">
      <c r="A213" s="448" t="n">
        <f aca="false">IF(B212+0.01&lt;=T_ini+ROUNDUP(Temps_fin_propu,0), 0.01, IF(K212&gt;0, 0.1, 0.0001))</f>
        <v>0.01</v>
      </c>
      <c r="B213" s="449" t="n">
        <f aca="false">B212+pas</f>
        <v>2.09</v>
      </c>
      <c r="C213" s="432"/>
      <c r="D213" s="450" t="n">
        <f aca="false">IF(AND(L212&lt;L_rampe,Poussee&lt;Poids*SIN(M212)),0,(-W212+Poussee)/m*COS(M212)-U212/m*SIN(M212))</f>
        <v>12.8864551534319</v>
      </c>
      <c r="E213" s="451" t="n">
        <f aca="false">IF(AND(L212&lt;L_rampe,Poussee&lt;Poids*SIN(M212)),0,(-W212+Poussee)/m*SIN(M212)+U212/m*COS(M212)-Poids/m)</f>
        <v>47.383611939875</v>
      </c>
      <c r="F213" s="449" t="n">
        <f aca="false">SQRT(acc_x^2+acc_z^2)</f>
        <v>49.104657690387</v>
      </c>
      <c r="G213" s="450" t="n">
        <f aca="false">G212+acc_x*pas</f>
        <v>30.1055194243676</v>
      </c>
      <c r="H213" s="451" t="n">
        <f aca="false">H212+acc_z*pas</f>
        <v>133.518427951606</v>
      </c>
      <c r="I213" s="449" t="n">
        <f aca="false">SQRT(vit_x^2+vit_z^2)</f>
        <v>136.870423768172</v>
      </c>
      <c r="J213" s="450" t="n">
        <f aca="false">J212+0.5*(vit_x+G212)*pas*(K212&gt;=0)</f>
        <v>31.4417955668709</v>
      </c>
      <c r="K213" s="451" t="n">
        <f aca="false">K212+0.5*(vit_z+H212)*pas</f>
        <v>149.490740423305</v>
      </c>
      <c r="L213" s="449" t="n">
        <f aca="false">SQRT(pos_x^2+pos_z^2)</f>
        <v>152.761474137875</v>
      </c>
      <c r="M213" s="450" t="n">
        <f aca="false">IF(AND(L212&gt;L_rampe,G213&gt;0),ATAN2(G213,H213),$M$4)</f>
        <v>1.34902659794805</v>
      </c>
      <c r="N213" s="449" t="n">
        <f aca="false">DEGREES(Beta)</f>
        <v>77.2935305133151</v>
      </c>
      <c r="O213" s="438"/>
      <c r="P213" s="452" t="n">
        <f aca="false">MATCH(t-pas/2-T_ini,CdP_t)</f>
        <v>6</v>
      </c>
      <c r="Q213" s="449" t="n">
        <f aca="false">(INDEX(CdP,2,i_P+1)-INDEX(CdP,2,i_P+0))/(INDEX(CdP,1,i_P+1)-INDEX(CdP,1,i_P+0))*(t-pas/2-T_ini-INDEX(CdP,1,i_P+0))+INDEX(CdP,2,i_P+0)</f>
        <v>573.59</v>
      </c>
      <c r="R213" s="450" t="n">
        <f aca="false">Poussee/(g*ISP)</f>
        <v>0.287858096454962</v>
      </c>
      <c r="S213" s="451" t="n">
        <f aca="false">S212-Débit*pas</f>
        <v>8.9322456326608</v>
      </c>
      <c r="T213" s="449" t="n">
        <f aca="false">m*g</f>
        <v>87.6253296564024</v>
      </c>
      <c r="U213" s="453" t="n">
        <f aca="false">IF(pos_xz&lt;L_rampe,Poids*COS(Beta),0)</f>
        <v>0</v>
      </c>
      <c r="V213" s="450" t="n">
        <f aca="false">Rho_moyen*(20000-Alt_rampe-pos_z)/(20000+Alt_rampe+pos_z)</f>
        <v>1.20682324711054</v>
      </c>
      <c r="W213" s="449" t="n">
        <f aca="false">1/2*Rho*Sref*Cx*vit_xz^2</f>
        <v>50.2688706241736</v>
      </c>
      <c r="X213" s="438"/>
      <c r="Y213" s="454" t="str">
        <f aca="false">IF(AND(pos_z&lt;=0,K212&gt;0),"Impact balistique","") &amp; IF(AND(H214&lt;0,vit_z&gt;=0),"Apogée","") &amp; IF(AND(Poussee=0,Q212&gt;0),"Fin de propulsion","") &amp; IF(AND(L214&gt;L_rampe,pos_xz&lt;=L_rampe),"Sortie de rampe","")</f>
        <v/>
      </c>
      <c r="Z213" s="455" t="str">
        <f aca="false">IF(ABS(t-T_para)&lt;pas/2,"Para","")</f>
        <v/>
      </c>
      <c r="AA213" s="456" t="str">
        <f aca="false">IF(ABS(t-T_satellite)&lt;pas/2,"Satellite","")</f>
        <v/>
      </c>
      <c r="AB213" s="444"/>
      <c r="AC213" s="452" t="e">
        <f aca="false">IF(ABS(t-ROUND(t,0))&lt;0.001,t,NA())</f>
        <v>#N/A</v>
      </c>
      <c r="AD213" s="457" t="e">
        <f aca="false">IF(ABS(t-ROUND(t,0))&lt;0.001,pos_x,NA())</f>
        <v>#N/A</v>
      </c>
      <c r="AE213" s="458" t="n">
        <f aca="false">IF(t&lt;T_para, pos_z, NA())</f>
        <v>149.490740423305</v>
      </c>
      <c r="AF213" s="444"/>
      <c r="AG213" s="450" t="n">
        <f aca="false">IF(AND(L212&lt;L_rampe,Poussee&lt;Poids*SIN(M212)),0,(-W212+Poussee)/m-Poids*SIN(M212)/m)</f>
        <v>49.057292339198</v>
      </c>
      <c r="AH213" s="449" t="n">
        <f aca="false">IF(AND(L212&lt;L_rampe,Poussee&lt;Poids*SIN(M212)), g*SIN(M212), (-W212+Poussee)/m)</f>
        <v>58.6273824518068</v>
      </c>
    </row>
    <row r="214" customFormat="false" ht="12" hidden="false" customHeight="false" outlineLevel="0" collapsed="false">
      <c r="A214" s="448" t="n">
        <f aca="false">IF(B213+0.01&lt;=T_ini+ROUNDUP(Temps_fin_propu,0), 0.01, IF(K213&gt;0, 0.1, 0.0001))</f>
        <v>0.01</v>
      </c>
      <c r="B214" s="449" t="n">
        <f aca="false">B213+pas</f>
        <v>2.1</v>
      </c>
      <c r="C214" s="432"/>
      <c r="D214" s="450" t="n">
        <f aca="false">IF(AND(L213&lt;L_rampe,Poussee&lt;Poids*SIN(M213)),0,(-W213+Poussee)/m*COS(M213)-U213/m*SIN(M213))</f>
        <v>12.8549511536464</v>
      </c>
      <c r="E214" s="451" t="n">
        <f aca="false">IF(AND(L213&lt;L_rampe,Poussee&lt;Poids*SIN(M213)),0,(-W213+Poussee)/m*SIN(M213)+U213/m*COS(M213)-Poids/m)</f>
        <v>47.2019002178819</v>
      </c>
      <c r="F214" s="449" t="n">
        <f aca="false">SQRT(acc_x^2+acc_z^2)</f>
        <v>48.9210502068539</v>
      </c>
      <c r="G214" s="450" t="n">
        <f aca="false">G213+acc_x*pas</f>
        <v>30.234068935904</v>
      </c>
      <c r="H214" s="451" t="n">
        <f aca="false">H213+acc_z*pas</f>
        <v>133.990446953785</v>
      </c>
      <c r="I214" s="449" t="n">
        <f aca="false">SQRT(vit_x^2+vit_z^2)</f>
        <v>137.359159866737</v>
      </c>
      <c r="J214" s="450" t="n">
        <f aca="false">J213+0.5*(vit_x+G213)*pas*(K213&gt;=0)</f>
        <v>31.7434935086722</v>
      </c>
      <c r="K214" s="451" t="n">
        <f aca="false">K213+0.5*(vit_z+H213)*pas</f>
        <v>150.828284797831</v>
      </c>
      <c r="L214" s="449" t="n">
        <f aca="false">SQRT(pos_x^2+pos_z^2)</f>
        <v>154.132478326895</v>
      </c>
      <c r="M214" s="450" t="n">
        <f aca="false">IF(AND(L213&gt;L_rampe,G214&gt;0),ATAN2(G214,H214),$M$4)</f>
        <v>1.34886950818085</v>
      </c>
      <c r="N214" s="449" t="n">
        <f aca="false">DEGREES(Beta)</f>
        <v>77.2845299326499</v>
      </c>
      <c r="O214" s="438"/>
      <c r="P214" s="452" t="n">
        <f aca="false">MATCH(t-pas/2-T_ini,CdP_t)</f>
        <v>6</v>
      </c>
      <c r="Q214" s="449" t="n">
        <f aca="false">(INDEX(CdP,2,i_P+1)-INDEX(CdP,2,i_P+0))/(INDEX(CdP,1,i_P+1)-INDEX(CdP,1,i_P+0))*(t-pas/2-T_ini-INDEX(CdP,1,i_P+0))+INDEX(CdP,2,i_P+0)</f>
        <v>572.13</v>
      </c>
      <c r="R214" s="450" t="n">
        <f aca="false">Poussee/(g*ISP)</f>
        <v>0.287125390478874</v>
      </c>
      <c r="S214" s="451" t="n">
        <f aca="false">S213-Débit*pas</f>
        <v>8.92937437875601</v>
      </c>
      <c r="T214" s="449" t="n">
        <f aca="false">m*g</f>
        <v>87.5971626555964</v>
      </c>
      <c r="U214" s="453" t="n">
        <f aca="false">IF(pos_xz&lt;L_rampe,Poids*COS(Beta),0)</f>
        <v>0</v>
      </c>
      <c r="V214" s="450" t="n">
        <f aca="false">Rho_moyen*(20000-Alt_rampe-pos_z)/(20000+Alt_rampe+pos_z)</f>
        <v>1.20666183084229</v>
      </c>
      <c r="W214" s="449" t="n">
        <f aca="false">1/2*Rho*Sref*Cx*vit_xz^2</f>
        <v>50.6217394350845</v>
      </c>
      <c r="X214" s="438"/>
      <c r="Y214" s="454" t="str">
        <f aca="false">IF(AND(pos_z&lt;=0,K213&gt;0),"Impact balistique","") &amp; IF(AND(H215&lt;0,vit_z&gt;=0),"Apogée","") &amp; IF(AND(Poussee=0,Q213&gt;0),"Fin de propulsion","") &amp; IF(AND(L215&gt;L_rampe,pos_xz&lt;=L_rampe),"Sortie de rampe","")</f>
        <v/>
      </c>
      <c r="Z214" s="455" t="str">
        <f aca="false">IF(ABS(t-T_para)&lt;pas/2,"Para","")</f>
        <v/>
      </c>
      <c r="AA214" s="456" t="str">
        <f aca="false">IF(ABS(t-T_satellite)&lt;pas/2,"Satellite","")</f>
        <v/>
      </c>
      <c r="AB214" s="444"/>
      <c r="AC214" s="452" t="e">
        <f aca="false">IF(ABS(t-ROUND(t,0))&lt;0.001,t,NA())</f>
        <v>#N/A</v>
      </c>
      <c r="AD214" s="457" t="e">
        <f aca="false">IF(ABS(t-ROUND(t,0))&lt;0.001,pos_x,NA())</f>
        <v>#N/A</v>
      </c>
      <c r="AE214" s="458" t="n">
        <f aca="false">IF(t&lt;T_para, pos_z, NA())</f>
        <v>150.828284797831</v>
      </c>
      <c r="AF214" s="444"/>
      <c r="AG214" s="450" t="n">
        <f aca="false">IF(AND(L213&lt;L_rampe,Poussee&lt;Poids*SIN(M213)),0,(-W213+Poussee)/m-Poids*SIN(M213)/m)</f>
        <v>48.8734403745674</v>
      </c>
      <c r="AH214" s="449" t="n">
        <f aca="false">IF(AND(L213&lt;L_rampe,Poussee&lt;Poids*SIN(M213)), g*SIN(M213), (-W213+Poussee)/m)</f>
        <v>58.4431906693702</v>
      </c>
    </row>
    <row r="215" customFormat="false" ht="12" hidden="false" customHeight="false" outlineLevel="0" collapsed="false">
      <c r="A215" s="448" t="n">
        <f aca="false">IF(B214+0.01&lt;=T_ini+ROUNDUP(Temps_fin_propu,0), 0.01, IF(K214&gt;0, 0.1, 0.0001))</f>
        <v>0.01</v>
      </c>
      <c r="B215" s="449" t="n">
        <f aca="false">B214+pas</f>
        <v>2.11</v>
      </c>
      <c r="C215" s="432"/>
      <c r="D215" s="450" t="n">
        <f aca="false">IF(AND(L214&lt;L_rampe,Poussee&lt;Poids*SIN(M214)),0,(-W214+Poussee)/m*COS(M214)-U214/m*SIN(M214))</f>
        <v>12.8233325000163</v>
      </c>
      <c r="E215" s="451" t="n">
        <f aca="false">IF(AND(L214&lt;L_rampe,Poussee&lt;Poids*SIN(M214)),0,(-W214+Poussee)/m*SIN(M214)+U214/m*COS(M214)-Poids/m)</f>
        <v>47.0200633552417</v>
      </c>
      <c r="F215" s="449" t="n">
        <f aca="false">SQRT(acc_x^2+acc_z^2)</f>
        <v>48.737297979442</v>
      </c>
      <c r="G215" s="450" t="n">
        <f aca="false">G214+acc_x*pas</f>
        <v>30.3623022609042</v>
      </c>
      <c r="H215" s="451" t="n">
        <f aca="false">H214+acc_z*pas</f>
        <v>134.460647587337</v>
      </c>
      <c r="I215" s="449" t="n">
        <f aca="false">SQRT(vit_x^2+vit_z^2)</f>
        <v>137.846055976181</v>
      </c>
      <c r="J215" s="450" t="n">
        <f aca="false">J214+0.5*(vit_x+G214)*pas*(K214&gt;=0)</f>
        <v>32.0464753646563</v>
      </c>
      <c r="K215" s="451" t="n">
        <f aca="false">K214+0.5*(vit_z+H214)*pas</f>
        <v>152.170540270537</v>
      </c>
      <c r="L215" s="449" t="n">
        <f aca="false">SQRT(pos_x^2+pos_z^2)</f>
        <v>155.508359612995</v>
      </c>
      <c r="M215" s="450" t="n">
        <f aca="false">IF(AND(L214&gt;L_rampe,G215&gt;0),ATAN2(G215,H215),$M$4)</f>
        <v>1.34871286422666</v>
      </c>
      <c r="N215" s="449" t="n">
        <f aca="false">DEGREES(Beta)</f>
        <v>77.2755548951885</v>
      </c>
      <c r="O215" s="438"/>
      <c r="P215" s="452" t="n">
        <f aca="false">MATCH(t-pas/2-T_ini,CdP_t)</f>
        <v>6</v>
      </c>
      <c r="Q215" s="449" t="n">
        <f aca="false">(INDEX(CdP,2,i_P+1)-INDEX(CdP,2,i_P+0))/(INDEX(CdP,1,i_P+1)-INDEX(CdP,1,i_P+0))*(t-pas/2-T_ini-INDEX(CdP,1,i_P+0))+INDEX(CdP,2,i_P+0)</f>
        <v>570.67</v>
      </c>
      <c r="R215" s="450" t="n">
        <f aca="false">Poussee/(g*ISP)</f>
        <v>0.286392684502786</v>
      </c>
      <c r="S215" s="451" t="n">
        <f aca="false">S214-Débit*pas</f>
        <v>8.92651045191098</v>
      </c>
      <c r="T215" s="449" t="n">
        <f aca="false">m*g</f>
        <v>87.5690675332467</v>
      </c>
      <c r="U215" s="453" t="n">
        <f aca="false">IF(pos_xz&lt;L_rampe,Poids*COS(Beta),0)</f>
        <v>0</v>
      </c>
      <c r="V215" s="450" t="n">
        <f aca="false">Rho_moyen*(20000-Alt_rampe-pos_z)/(20000+Alt_rampe+pos_z)</f>
        <v>1.20649986757418</v>
      </c>
      <c r="W215" s="449" t="n">
        <f aca="false">1/2*Rho*Sref*Cx*vit_xz^2</f>
        <v>50.9744096626408</v>
      </c>
      <c r="X215" s="438"/>
      <c r="Y215" s="454" t="str">
        <f aca="false">IF(AND(pos_z&lt;=0,K214&gt;0),"Impact balistique","") &amp; IF(AND(H216&lt;0,vit_z&gt;=0),"Apogée","") &amp; IF(AND(Poussee=0,Q214&gt;0),"Fin de propulsion","") &amp; IF(AND(L216&gt;L_rampe,pos_xz&lt;=L_rampe),"Sortie de rampe","")</f>
        <v/>
      </c>
      <c r="Z215" s="455" t="str">
        <f aca="false">IF(ABS(t-T_para)&lt;pas/2,"Para","")</f>
        <v/>
      </c>
      <c r="AA215" s="456" t="str">
        <f aca="false">IF(ABS(t-T_satellite)&lt;pas/2,"Satellite","")</f>
        <v/>
      </c>
      <c r="AB215" s="444"/>
      <c r="AC215" s="452" t="e">
        <f aca="false">IF(ABS(t-ROUND(t,0))&lt;0.001,t,NA())</f>
        <v>#N/A</v>
      </c>
      <c r="AD215" s="457" t="e">
        <f aca="false">IF(ABS(t-ROUND(t,0))&lt;0.001,pos_x,NA())</f>
        <v>#N/A</v>
      </c>
      <c r="AE215" s="458" t="n">
        <f aca="false">IF(t&lt;T_para, pos_z, NA())</f>
        <v>152.170540270537</v>
      </c>
      <c r="AF215" s="444"/>
      <c r="AG215" s="450" t="n">
        <f aca="false">IF(AND(L214&lt;L_rampe,Poussee&lt;Poids*SIN(M214)),0,(-W214+Poussee)/m-Poids*SIN(M214)/m)</f>
        <v>48.6894418256932</v>
      </c>
      <c r="AH215" s="449" t="n">
        <f aca="false">IF(AND(L214&lt;L_rampe,Poussee&lt;Poids*SIN(M214)), g*SIN(M214), (-W214+Poussee)/m)</f>
        <v>58.2588530385448</v>
      </c>
    </row>
    <row r="216" customFormat="false" ht="12" hidden="false" customHeight="false" outlineLevel="0" collapsed="false">
      <c r="A216" s="448" t="n">
        <f aca="false">IF(B215+0.01&lt;=T_ini+ROUNDUP(Temps_fin_propu,0), 0.01, IF(K215&gt;0, 0.1, 0.0001))</f>
        <v>0.01</v>
      </c>
      <c r="B216" s="449" t="n">
        <f aca="false">B215+pas</f>
        <v>2.12</v>
      </c>
      <c r="C216" s="432"/>
      <c r="D216" s="450" t="n">
        <f aca="false">IF(AND(L215&lt;L_rampe,Poussee&lt;Poids*SIN(M215)),0,(-W215+Poussee)/m*COS(M215)-U215/m*SIN(M215))</f>
        <v>12.7916001175586</v>
      </c>
      <c r="E216" s="451" t="n">
        <f aca="false">IF(AND(L215&lt;L_rampe,Poussee&lt;Poids*SIN(M215)),0,(-W215+Poussee)/m*SIN(M215)+U215/m*COS(M215)-Poids/m)</f>
        <v>46.8381033192231</v>
      </c>
      <c r="F216" s="449" t="n">
        <f aca="false">SQRT(acc_x^2+acc_z^2)</f>
        <v>48.5534031362349</v>
      </c>
      <c r="G216" s="450" t="n">
        <f aca="false">G215+acc_x*pas</f>
        <v>30.4902182620798</v>
      </c>
      <c r="H216" s="451" t="n">
        <f aca="false">H215+acc_z*pas</f>
        <v>134.929028620529</v>
      </c>
      <c r="I216" s="449" t="n">
        <f aca="false">SQRT(vit_x^2+vit_z^2)</f>
        <v>138.331110651758</v>
      </c>
      <c r="J216" s="450" t="n">
        <f aca="false">J215+0.5*(vit_x+G215)*pas*(K215&gt;=0)</f>
        <v>32.3507379672712</v>
      </c>
      <c r="K216" s="451" t="n">
        <f aca="false">K215+0.5*(vit_z+H215)*pas</f>
        <v>153.517488651576</v>
      </c>
      <c r="L216" s="449" t="n">
        <f aca="false">SQRT(pos_x^2+pos_z^2)</f>
        <v>156.889099586026</v>
      </c>
      <c r="M216" s="450" t="n">
        <f aca="false">IF(AND(L215&gt;L_rampe,G216&gt;0),ATAN2(G216,H216),$M$4)</f>
        <v>1.34855666118011</v>
      </c>
      <c r="N216" s="449" t="n">
        <f aca="false">DEGREES(Beta)</f>
        <v>77.266605119874</v>
      </c>
      <c r="O216" s="438"/>
      <c r="P216" s="452" t="n">
        <f aca="false">MATCH(t-pas/2-T_ini,CdP_t)</f>
        <v>6</v>
      </c>
      <c r="Q216" s="449" t="n">
        <f aca="false">(INDEX(CdP,2,i_P+1)-INDEX(CdP,2,i_P+0))/(INDEX(CdP,1,i_P+1)-INDEX(CdP,1,i_P+0))*(t-pas/2-T_ini-INDEX(CdP,1,i_P+0))+INDEX(CdP,2,i_P+0)</f>
        <v>569.21</v>
      </c>
      <c r="R216" s="450" t="n">
        <f aca="false">Poussee/(g*ISP)</f>
        <v>0.285659978526698</v>
      </c>
      <c r="S216" s="451" t="n">
        <f aca="false">S215-Débit*pas</f>
        <v>8.92365385212571</v>
      </c>
      <c r="T216" s="449" t="n">
        <f aca="false">m*g</f>
        <v>87.5410442893532</v>
      </c>
      <c r="U216" s="453" t="n">
        <f aca="false">IF(pos_xz&lt;L_rampe,Poids*COS(Beta),0)</f>
        <v>0</v>
      </c>
      <c r="V216" s="450" t="n">
        <f aca="false">Rho_moyen*(20000-Alt_rampe-pos_z)/(20000+Alt_rampe+pos_z)</f>
        <v>1.20633735972352</v>
      </c>
      <c r="W216" s="449" t="n">
        <f aca="false">1/2*Rho*Sref*Cx*vit_xz^2</f>
        <v>51.3268654624761</v>
      </c>
      <c r="X216" s="438"/>
      <c r="Y216" s="454" t="str">
        <f aca="false">IF(AND(pos_z&lt;=0,K215&gt;0),"Impact balistique","") &amp; IF(AND(H217&lt;0,vit_z&gt;=0),"Apogée","") &amp; IF(AND(Poussee=0,Q215&gt;0),"Fin de propulsion","") &amp; IF(AND(L217&gt;L_rampe,pos_xz&lt;=L_rampe),"Sortie de rampe","")</f>
        <v/>
      </c>
      <c r="Z216" s="455" t="str">
        <f aca="false">IF(ABS(t-T_para)&lt;pas/2,"Para","")</f>
        <v/>
      </c>
      <c r="AA216" s="456" t="str">
        <f aca="false">IF(ABS(t-T_satellite)&lt;pas/2,"Satellite","")</f>
        <v/>
      </c>
      <c r="AB216" s="444"/>
      <c r="AC216" s="452" t="e">
        <f aca="false">IF(ABS(t-ROUND(t,0))&lt;0.001,t,NA())</f>
        <v>#N/A</v>
      </c>
      <c r="AD216" s="457" t="e">
        <f aca="false">IF(ABS(t-ROUND(t,0))&lt;0.001,pos_x,NA())</f>
        <v>#N/A</v>
      </c>
      <c r="AE216" s="458" t="n">
        <f aca="false">IF(t&lt;T_para, pos_z, NA())</f>
        <v>153.517488651576</v>
      </c>
      <c r="AF216" s="444"/>
      <c r="AG216" s="450" t="n">
        <f aca="false">IF(AND(L215&lt;L_rampe,Poussee&lt;Poids*SIN(M215)),0,(-W215+Poussee)/m-Poids*SIN(M215)/m)</f>
        <v>48.5052987978894</v>
      </c>
      <c r="AH216" s="449" t="n">
        <f aca="false">IF(AND(L215&lt;L_rampe,Poussee&lt;Poids*SIN(M215)), g*SIN(M215), (-W215+Poussee)/m)</f>
        <v>58.0743716559456</v>
      </c>
    </row>
    <row r="217" customFormat="false" ht="12" hidden="false" customHeight="false" outlineLevel="0" collapsed="false">
      <c r="A217" s="448" t="n">
        <f aca="false">IF(B216+0.01&lt;=T_ini+ROUNDUP(Temps_fin_propu,0), 0.01, IF(K216&gt;0, 0.1, 0.0001))</f>
        <v>0.01</v>
      </c>
      <c r="B217" s="449" t="n">
        <f aca="false">B216+pas</f>
        <v>2.13</v>
      </c>
      <c r="C217" s="432"/>
      <c r="D217" s="450" t="n">
        <f aca="false">IF(AND(L216&lt;L_rampe,Poussee&lt;Poids*SIN(M216)),0,(-W216+Poussee)/m*COS(M216)-U216/m*SIN(M216))</f>
        <v>12.7597549247338</v>
      </c>
      <c r="E217" s="451" t="n">
        <f aca="false">IF(AND(L216&lt;L_rampe,Poussee&lt;Poids*SIN(M216)),0,(-W216+Poussee)/m*SIN(M216)+U216/m*COS(M216)-Poids/m)</f>
        <v>46.6560220740877</v>
      </c>
      <c r="F217" s="449" t="n">
        <f aca="false">SQRT(acc_x^2+acc_z^2)</f>
        <v>48.3693678015025</v>
      </c>
      <c r="G217" s="450" t="n">
        <f aca="false">G216+acc_x*pas</f>
        <v>30.6178158113271</v>
      </c>
      <c r="H217" s="451" t="n">
        <f aca="false">H216+acc_z*pas</f>
        <v>135.39558884127</v>
      </c>
      <c r="I217" s="449" t="n">
        <f aca="false">SQRT(vit_x^2+vit_z^2)</f>
        <v>138.814322469732</v>
      </c>
      <c r="J217" s="450" t="n">
        <f aca="false">J216+0.5*(vit_x+G216)*pas*(K216&gt;=0)</f>
        <v>32.6562781376382</v>
      </c>
      <c r="K217" s="451" t="n">
        <f aca="false">K216+0.5*(vit_z+H216)*pas</f>
        <v>154.869111738885</v>
      </c>
      <c r="L217" s="449" t="n">
        <f aca="false">SQRT(pos_x^2+pos_z^2)</f>
        <v>158.274679821487</v>
      </c>
      <c r="M217" s="450" t="n">
        <f aca="false">IF(AND(L216&gt;L_rampe,G217&gt;0),ATAN2(G217,H217),$M$4)</f>
        <v>1.34840089419979</v>
      </c>
      <c r="N217" s="449" t="n">
        <f aca="false">DEGREES(Beta)</f>
        <v>77.2576803293144</v>
      </c>
      <c r="O217" s="438"/>
      <c r="P217" s="452" t="n">
        <f aca="false">MATCH(t-pas/2-T_ini,CdP_t)</f>
        <v>6</v>
      </c>
      <c r="Q217" s="449" t="n">
        <f aca="false">(INDEX(CdP,2,i_P+1)-INDEX(CdP,2,i_P+0))/(INDEX(CdP,1,i_P+1)-INDEX(CdP,1,i_P+0))*(t-pas/2-T_ini-INDEX(CdP,1,i_P+0))+INDEX(CdP,2,i_P+0)</f>
        <v>567.75</v>
      </c>
      <c r="R217" s="450" t="n">
        <f aca="false">Poussee/(g*ISP)</f>
        <v>0.284927272550611</v>
      </c>
      <c r="S217" s="451" t="n">
        <f aca="false">S216-Débit*pas</f>
        <v>8.92080457940021</v>
      </c>
      <c r="T217" s="449" t="n">
        <f aca="false">m*g</f>
        <v>87.513092923916</v>
      </c>
      <c r="U217" s="453" t="n">
        <f aca="false">IF(pos_xz&lt;L_rampe,Poids*COS(Beta),0)</f>
        <v>0</v>
      </c>
      <c r="V217" s="450" t="n">
        <f aca="false">Rho_moyen*(20000-Alt_rampe-pos_z)/(20000+Alt_rampe+pos_z)</f>
        <v>1.20617430970865</v>
      </c>
      <c r="W217" s="449" t="n">
        <f aca="false">1/2*Rho*Sref*Cx*vit_xz^2</f>
        <v>51.6790910568815</v>
      </c>
      <c r="X217" s="438"/>
      <c r="Y217" s="454" t="str">
        <f aca="false">IF(AND(pos_z&lt;=0,K216&gt;0),"Impact balistique","") &amp; IF(AND(H218&lt;0,vit_z&gt;=0),"Apogée","") &amp; IF(AND(Poussee=0,Q216&gt;0),"Fin de propulsion","") &amp; IF(AND(L218&gt;L_rampe,pos_xz&lt;=L_rampe),"Sortie de rampe","")</f>
        <v/>
      </c>
      <c r="Z217" s="455" t="str">
        <f aca="false">IF(ABS(t-T_para)&lt;pas/2,"Para","")</f>
        <v/>
      </c>
      <c r="AA217" s="456" t="str">
        <f aca="false">IF(ABS(t-T_satellite)&lt;pas/2,"Satellite","")</f>
        <v/>
      </c>
      <c r="AB217" s="444"/>
      <c r="AC217" s="452" t="e">
        <f aca="false">IF(ABS(t-ROUND(t,0))&lt;0.001,t,NA())</f>
        <v>#N/A</v>
      </c>
      <c r="AD217" s="457" t="e">
        <f aca="false">IF(ABS(t-ROUND(t,0))&lt;0.001,pos_x,NA())</f>
        <v>#N/A</v>
      </c>
      <c r="AE217" s="458" t="n">
        <f aca="false">IF(t&lt;T_para, pos_z, NA())</f>
        <v>154.869111738885</v>
      </c>
      <c r="AF217" s="444"/>
      <c r="AG217" s="450" t="n">
        <f aca="false">IF(AND(L216&lt;L_rampe,Poussee&lt;Poids*SIN(M216)),0,(-W216+Poussee)/m-Poids*SIN(M216)/m)</f>
        <v>48.3210133923367</v>
      </c>
      <c r="AH217" s="449" t="n">
        <f aca="false">IF(AND(L216&lt;L_rampe,Poussee&lt;Poids*SIN(M216)), g*SIN(M216), (-W216+Poussee)/m)</f>
        <v>57.8897486141599</v>
      </c>
    </row>
    <row r="218" customFormat="false" ht="12" hidden="false" customHeight="false" outlineLevel="0" collapsed="false">
      <c r="A218" s="448" t="n">
        <f aca="false">IF(B217+0.01&lt;=T_ini+ROUNDUP(Temps_fin_propu,0), 0.01, IF(K217&gt;0, 0.1, 0.0001))</f>
        <v>0.01</v>
      </c>
      <c r="B218" s="449" t="n">
        <f aca="false">B217+pas</f>
        <v>2.14</v>
      </c>
      <c r="C218" s="432"/>
      <c r="D218" s="450" t="n">
        <f aca="false">IF(AND(L217&lt;L_rampe,Poussee&lt;Poids*SIN(M217)),0,(-W217+Poussee)/m*COS(M217)-U217/m*SIN(M217))</f>
        <v>12.7277978335397</v>
      </c>
      <c r="E218" s="451" t="n">
        <f aca="false">IF(AND(L217&lt;L_rampe,Poussee&lt;Poids*SIN(M217)),0,(-W217+Poussee)/m*SIN(M217)+U217/m*COS(M217)-Poids/m)</f>
        <v>46.4738215810031</v>
      </c>
      <c r="F218" s="449" t="n">
        <f aca="false">SQRT(acc_x^2+acc_z^2)</f>
        <v>48.1851940956386</v>
      </c>
      <c r="G218" s="450" t="n">
        <f aca="false">G217+acc_x*pas</f>
        <v>30.7450937896625</v>
      </c>
      <c r="H218" s="451" t="n">
        <f aca="false">H217+acc_z*pas</f>
        <v>135.86032705708</v>
      </c>
      <c r="I218" s="449" t="n">
        <f aca="false">SQRT(vit_x^2+vit_z^2)</f>
        <v>139.295690027337</v>
      </c>
      <c r="J218" s="450" t="n">
        <f aca="false">J217+0.5*(vit_x+G217)*pas*(K217&gt;=0)</f>
        <v>32.9630926856432</v>
      </c>
      <c r="K218" s="451" t="n">
        <f aca="false">K217+0.5*(vit_z+H217)*pas</f>
        <v>156.225391318377</v>
      </c>
      <c r="L218" s="449" t="n">
        <f aca="false">SQRT(pos_x^2+pos_z^2)</f>
        <v>159.665081880737</v>
      </c>
      <c r="M218" s="450" t="n">
        <f aca="false">IF(AND(L217&gt;L_rampe,G218&gt;0),ATAN2(G218,H218),$M$4)</f>
        <v>1.34824555850708</v>
      </c>
      <c r="N218" s="449" t="n">
        <f aca="false">DEGREES(Beta)</f>
        <v>77.2487802497139</v>
      </c>
      <c r="O218" s="438"/>
      <c r="P218" s="452" t="n">
        <f aca="false">MATCH(t-pas/2-T_ini,CdP_t)</f>
        <v>6</v>
      </c>
      <c r="Q218" s="449" t="n">
        <f aca="false">(INDEX(CdP,2,i_P+1)-INDEX(CdP,2,i_P+0))/(INDEX(CdP,1,i_P+1)-INDEX(CdP,1,i_P+0))*(t-pas/2-T_ini-INDEX(CdP,1,i_P+0))+INDEX(CdP,2,i_P+0)</f>
        <v>566.29</v>
      </c>
      <c r="R218" s="450" t="n">
        <f aca="false">Poussee/(g*ISP)</f>
        <v>0.284194566574523</v>
      </c>
      <c r="S218" s="451" t="n">
        <f aca="false">S217-Débit*pas</f>
        <v>8.91796263373446</v>
      </c>
      <c r="T218" s="449" t="n">
        <f aca="false">m*g</f>
        <v>87.4852134369351</v>
      </c>
      <c r="U218" s="453" t="n">
        <f aca="false">IF(pos_xz&lt;L_rampe,Poids*COS(Beta),0)</f>
        <v>0</v>
      </c>
      <c r="V218" s="450" t="n">
        <f aca="false">Rho_moyen*(20000-Alt_rampe-pos_z)/(20000+Alt_rampe+pos_z)</f>
        <v>1.20601071994884</v>
      </c>
      <c r="W218" s="449" t="n">
        <f aca="false">1/2*Rho*Sref*Cx*vit_xz^2</f>
        <v>52.0310707352189</v>
      </c>
      <c r="X218" s="438"/>
      <c r="Y218" s="454" t="str">
        <f aca="false">IF(AND(pos_z&lt;=0,K217&gt;0),"Impact balistique","") &amp; IF(AND(H219&lt;0,vit_z&gt;=0),"Apogée","") &amp; IF(AND(Poussee=0,Q217&gt;0),"Fin de propulsion","") &amp; IF(AND(L219&gt;L_rampe,pos_xz&lt;=L_rampe),"Sortie de rampe","")</f>
        <v/>
      </c>
      <c r="Z218" s="455" t="str">
        <f aca="false">IF(ABS(t-T_para)&lt;pas/2,"Para","")</f>
        <v/>
      </c>
      <c r="AA218" s="456" t="str">
        <f aca="false">IF(ABS(t-T_satellite)&lt;pas/2,"Satellite","")</f>
        <v/>
      </c>
      <c r="AB218" s="444"/>
      <c r="AC218" s="452" t="e">
        <f aca="false">IF(ABS(t-ROUND(t,0))&lt;0.001,t,NA())</f>
        <v>#N/A</v>
      </c>
      <c r="AD218" s="457" t="e">
        <f aca="false">IF(ABS(t-ROUND(t,0))&lt;0.001,pos_x,NA())</f>
        <v>#N/A</v>
      </c>
      <c r="AE218" s="458" t="n">
        <f aca="false">IF(t&lt;T_para, pos_z, NA())</f>
        <v>156.225391318377</v>
      </c>
      <c r="AF218" s="444"/>
      <c r="AG218" s="450" t="n">
        <f aca="false">IF(AND(L217&lt;L_rampe,Poussee&lt;Poids*SIN(M217)),0,(-W217+Poussee)/m-Poids*SIN(M217)/m)</f>
        <v>48.1365877060142</v>
      </c>
      <c r="AH218" s="449" t="n">
        <f aca="false">IF(AND(L217&lt;L_rampe,Poussee&lt;Poids*SIN(M217)), g*SIN(M217), (-W217+Poussee)/m)</f>
        <v>57.7049860016762</v>
      </c>
    </row>
    <row r="219" customFormat="false" ht="12" hidden="false" customHeight="false" outlineLevel="0" collapsed="false">
      <c r="A219" s="448" t="n">
        <f aca="false">IF(B218+0.01&lt;=T_ini+ROUNDUP(Temps_fin_propu,0), 0.01, IF(K218&gt;0, 0.1, 0.0001))</f>
        <v>0.01</v>
      </c>
      <c r="B219" s="449" t="n">
        <f aca="false">B218+pas</f>
        <v>2.15</v>
      </c>
      <c r="C219" s="432"/>
      <c r="D219" s="450" t="n">
        <f aca="false">IF(AND(L218&lt;L_rampe,Poussee&lt;Poids*SIN(M218)),0,(-W218+Poussee)/m*COS(M218)-U218/m*SIN(M218))</f>
        <v>12.6957297496026</v>
      </c>
      <c r="E219" s="451" t="n">
        <f aca="false">IF(AND(L218&lt;L_rampe,Poussee&lt;Poids*SIN(M218)),0,(-W218+Poussee)/m*SIN(M218)+U218/m*COS(M218)-Poids/m)</f>
        <v>46.2915037979576</v>
      </c>
      <c r="F219" s="449" t="n">
        <f aca="false">SQRT(acc_x^2+acc_z^2)</f>
        <v>48.0008841350998</v>
      </c>
      <c r="G219" s="450" t="n">
        <f aca="false">G218+acc_x*pas</f>
        <v>30.8720510871585</v>
      </c>
      <c r="H219" s="451" t="n">
        <f aca="false">H218+acc_z*pas</f>
        <v>136.32324209506</v>
      </c>
      <c r="I219" s="449" t="n">
        <f aca="false">SQRT(vit_x^2+vit_z^2)</f>
        <v>139.775211942735</v>
      </c>
      <c r="J219" s="450" t="n">
        <f aca="false">J218+0.5*(vit_x+G218)*pas*(K218&gt;=0)</f>
        <v>33.2711784100273</v>
      </c>
      <c r="K219" s="451" t="n">
        <f aca="false">K218+0.5*(vit_z+H218)*pas</f>
        <v>157.586309164138</v>
      </c>
      <c r="L219" s="449" t="n">
        <f aca="false">SQRT(pos_x^2+pos_z^2)</f>
        <v>161.060287311203</v>
      </c>
      <c r="M219" s="450" t="n">
        <f aca="false">IF(AND(L218&gt;L_rampe,G219&gt;0),ATAN2(G219,H219),$M$4)</f>
        <v>1.34809064938493</v>
      </c>
      <c r="N219" s="449" t="n">
        <f aca="false">DEGREES(Beta)</f>
        <v>77.2399046108071</v>
      </c>
      <c r="O219" s="438"/>
      <c r="P219" s="452" t="n">
        <f aca="false">MATCH(t-pas/2-T_ini,CdP_t)</f>
        <v>6</v>
      </c>
      <c r="Q219" s="449" t="n">
        <f aca="false">(INDEX(CdP,2,i_P+1)-INDEX(CdP,2,i_P+0))/(INDEX(CdP,1,i_P+1)-INDEX(CdP,1,i_P+0))*(t-pas/2-T_ini-INDEX(CdP,1,i_P+0))+INDEX(CdP,2,i_P+0)</f>
        <v>564.83</v>
      </c>
      <c r="R219" s="450" t="n">
        <f aca="false">Poussee/(g*ISP)</f>
        <v>0.283461860598435</v>
      </c>
      <c r="S219" s="451" t="n">
        <f aca="false">S218-Débit*pas</f>
        <v>8.91512801512848</v>
      </c>
      <c r="T219" s="449" t="n">
        <f aca="false">m*g</f>
        <v>87.4574058284104</v>
      </c>
      <c r="U219" s="453" t="n">
        <f aca="false">IF(pos_xz&lt;L_rampe,Poids*COS(Beta),0)</f>
        <v>0</v>
      </c>
      <c r="V219" s="450" t="n">
        <f aca="false">Rho_moyen*(20000-Alt_rampe-pos_z)/(20000+Alt_rampe+pos_z)</f>
        <v>1.20584659286431</v>
      </c>
      <c r="W219" s="449" t="n">
        <f aca="false">1/2*Rho*Sref*Cx*vit_xz^2</f>
        <v>52.3827888543288</v>
      </c>
      <c r="X219" s="438"/>
      <c r="Y219" s="454" t="str">
        <f aca="false">IF(AND(pos_z&lt;=0,K218&gt;0),"Impact balistique","") &amp; IF(AND(H220&lt;0,vit_z&gt;=0),"Apogée","") &amp; IF(AND(Poussee=0,Q218&gt;0),"Fin de propulsion","") &amp; IF(AND(L220&gt;L_rampe,pos_xz&lt;=L_rampe),"Sortie de rampe","")</f>
        <v/>
      </c>
      <c r="Z219" s="455" t="str">
        <f aca="false">IF(ABS(t-T_para)&lt;pas/2,"Para","")</f>
        <v/>
      </c>
      <c r="AA219" s="456" t="str">
        <f aca="false">IF(ABS(t-T_satellite)&lt;pas/2,"Satellite","")</f>
        <v/>
      </c>
      <c r="AB219" s="444"/>
      <c r="AC219" s="452" t="e">
        <f aca="false">IF(ABS(t-ROUND(t,0))&lt;0.001,t,NA())</f>
        <v>#N/A</v>
      </c>
      <c r="AD219" s="457" t="e">
        <f aca="false">IF(ABS(t-ROUND(t,0))&lt;0.001,pos_x,NA())</f>
        <v>#N/A</v>
      </c>
      <c r="AE219" s="458" t="n">
        <f aca="false">IF(t&lt;T_para, pos_z, NA())</f>
        <v>157.586309164138</v>
      </c>
      <c r="AF219" s="444"/>
      <c r="AG219" s="450" t="n">
        <f aca="false">IF(AND(L218&lt;L_rampe,Poussee&lt;Poids*SIN(M218)),0,(-W218+Poussee)/m-Poids*SIN(M218)/m)</f>
        <v>47.9520238316309</v>
      </c>
      <c r="AH219" s="449" t="n">
        <f aca="false">IF(AND(L218&lt;L_rampe,Poussee&lt;Poids*SIN(M218)), g*SIN(M218), (-W218+Poussee)/m)</f>
        <v>57.5200859028149</v>
      </c>
    </row>
    <row r="220" customFormat="false" ht="12" hidden="false" customHeight="false" outlineLevel="0" collapsed="false">
      <c r="A220" s="448" t="n">
        <f aca="false">IF(B219+0.01&lt;=T_ini+ROUNDUP(Temps_fin_propu,0), 0.01, IF(K219&gt;0, 0.1, 0.0001))</f>
        <v>0.01</v>
      </c>
      <c r="B220" s="449" t="n">
        <f aca="false">B219+pas</f>
        <v>2.16</v>
      </c>
      <c r="C220" s="432"/>
      <c r="D220" s="450" t="n">
        <f aca="false">IF(AND(L219&lt;L_rampe,Poussee&lt;Poids*SIN(M219)),0,(-W219+Poussee)/m*COS(M219)-U219/m*SIN(M219))</f>
        <v>12.6635515722665</v>
      </c>
      <c r="E220" s="451" t="n">
        <f aca="false">IF(AND(L219&lt;L_rampe,Poussee&lt;Poids*SIN(M219)),0,(-W219+Poussee)/m*SIN(M219)+U219/m*COS(M219)-Poids/m)</f>
        <v>46.1090706796753</v>
      </c>
      <c r="F220" s="449" t="n">
        <f aca="false">SQRT(acc_x^2+acc_z^2)</f>
        <v>47.8164400323439</v>
      </c>
      <c r="G220" s="450" t="n">
        <f aca="false">G219+acc_x*pas</f>
        <v>30.9986866028812</v>
      </c>
      <c r="H220" s="451" t="n">
        <f aca="false">H219+acc_z*pas</f>
        <v>136.784332801856</v>
      </c>
      <c r="I220" s="449" t="n">
        <f aca="false">SQRT(vit_x^2+vit_z^2)</f>
        <v>140.252886854969</v>
      </c>
      <c r="J220" s="450" t="n">
        <f aca="false">J219+0.5*(vit_x+G219)*pas*(K219&gt;=0)</f>
        <v>33.5805320984775</v>
      </c>
      <c r="K220" s="451" t="n">
        <f aca="false">K219+0.5*(vit_z+H219)*pas</f>
        <v>158.951847038622</v>
      </c>
      <c r="L220" s="449" t="n">
        <f aca="false">SQRT(pos_x^2+pos_z^2)</f>
        <v>162.460277646588</v>
      </c>
      <c r="M220" s="450" t="n">
        <f aca="false">IF(AND(L219&gt;L_rampe,G220&gt;0),ATAN2(G220,H220),$M$4)</f>
        <v>1.34793616217682</v>
      </c>
      <c r="N220" s="449" t="n">
        <f aca="false">DEGREES(Beta)</f>
        <v>77.2310531457936</v>
      </c>
      <c r="O220" s="438"/>
      <c r="P220" s="452" t="n">
        <f aca="false">MATCH(t-pas/2-T_ini,CdP_t)</f>
        <v>6</v>
      </c>
      <c r="Q220" s="449" t="n">
        <f aca="false">(INDEX(CdP,2,i_P+1)-INDEX(CdP,2,i_P+0))/(INDEX(CdP,1,i_P+1)-INDEX(CdP,1,i_P+0))*(t-pas/2-T_ini-INDEX(CdP,1,i_P+0))+INDEX(CdP,2,i_P+0)</f>
        <v>563.37</v>
      </c>
      <c r="R220" s="450" t="n">
        <f aca="false">Poussee/(g*ISP)</f>
        <v>0.282729154622347</v>
      </c>
      <c r="S220" s="451" t="n">
        <f aca="false">S219-Débit*pas</f>
        <v>8.91230072358225</v>
      </c>
      <c r="T220" s="449" t="n">
        <f aca="false">m*g</f>
        <v>87.4296700983419</v>
      </c>
      <c r="U220" s="453" t="n">
        <f aca="false">IF(pos_xz&lt;L_rampe,Poids*COS(Beta),0)</f>
        <v>0</v>
      </c>
      <c r="V220" s="450" t="n">
        <f aca="false">Rho_moyen*(20000-Alt_rampe-pos_z)/(20000+Alt_rampe+pos_z)</f>
        <v>1.20568193087619</v>
      </c>
      <c r="W220" s="449" t="n">
        <f aca="false">1/2*Rho*Sref*Cx*vit_xz^2</f>
        <v>52.7342298389311</v>
      </c>
      <c r="X220" s="438"/>
      <c r="Y220" s="454" t="str">
        <f aca="false">IF(AND(pos_z&lt;=0,K219&gt;0),"Impact balistique","") &amp; IF(AND(H221&lt;0,vit_z&gt;=0),"Apogée","") &amp; IF(AND(Poussee=0,Q219&gt;0),"Fin de propulsion","") &amp; IF(AND(L221&gt;L_rampe,pos_xz&lt;=L_rampe),"Sortie de rampe","")</f>
        <v/>
      </c>
      <c r="Z220" s="455" t="str">
        <f aca="false">IF(ABS(t-T_para)&lt;pas/2,"Para","")</f>
        <v/>
      </c>
      <c r="AA220" s="456" t="str">
        <f aca="false">IF(ABS(t-T_satellite)&lt;pas/2,"Satellite","")</f>
        <v/>
      </c>
      <c r="AB220" s="444"/>
      <c r="AC220" s="452" t="e">
        <f aca="false">IF(ABS(t-ROUND(t,0))&lt;0.001,t,NA())</f>
        <v>#N/A</v>
      </c>
      <c r="AD220" s="457" t="e">
        <f aca="false">IF(ABS(t-ROUND(t,0))&lt;0.001,pos_x,NA())</f>
        <v>#N/A</v>
      </c>
      <c r="AE220" s="458" t="n">
        <f aca="false">IF(t&lt;T_para, pos_z, NA())</f>
        <v>158.951847038622</v>
      </c>
      <c r="AF220" s="444"/>
      <c r="AG220" s="450" t="n">
        <f aca="false">IF(AND(L219&lt;L_rampe,Poussee&lt;Poids*SIN(M219)),0,(-W219+Poussee)/m-Poids*SIN(M219)/m)</f>
        <v>47.7673238575584</v>
      </c>
      <c r="AH220" s="449" t="n">
        <f aca="false">IF(AND(L219&lt;L_rampe,Poussee&lt;Poids*SIN(M219)), g*SIN(M219), (-W219+Poussee)/m)</f>
        <v>57.3350503976579</v>
      </c>
    </row>
    <row r="221" customFormat="false" ht="12" hidden="false" customHeight="false" outlineLevel="0" collapsed="false">
      <c r="A221" s="448" t="n">
        <f aca="false">IF(B220+0.01&lt;=T_ini+ROUNDUP(Temps_fin_propu,0), 0.01, IF(K220&gt;0, 0.1, 0.0001))</f>
        <v>0.01</v>
      </c>
      <c r="B221" s="449" t="n">
        <f aca="false">B220+pas</f>
        <v>2.17</v>
      </c>
      <c r="C221" s="432"/>
      <c r="D221" s="450" t="n">
        <f aca="false">IF(AND(L220&lt;L_rampe,Poussee&lt;Poids*SIN(M220)),0,(-W220+Poussee)/m*COS(M220)-U220/m*SIN(M220))</f>
        <v>12.6312641946796</v>
      </c>
      <c r="E221" s="451" t="n">
        <f aca="false">IF(AND(L220&lt;L_rampe,Poussee&lt;Poids*SIN(M220)),0,(-W220+Poussee)/m*SIN(M220)+U220/m*COS(M220)-Poids/m)</f>
        <v>45.926524177532</v>
      </c>
      <c r="F221" s="449" t="n">
        <f aca="false">SQRT(acc_x^2+acc_z^2)</f>
        <v>47.6318638957707</v>
      </c>
      <c r="G221" s="450" t="n">
        <f aca="false">G220+acc_x*pas</f>
        <v>31.124999244828</v>
      </c>
      <c r="H221" s="451" t="n">
        <f aca="false">H220+acc_z*pas</f>
        <v>137.243598043632</v>
      </c>
      <c r="I221" s="449" t="n">
        <f aca="false">SQRT(vit_x^2+vit_z^2)</f>
        <v>140.728713423922</v>
      </c>
      <c r="J221" s="450" t="n">
        <f aca="false">J220+0.5*(vit_x+G220)*pas*(K220&gt;=0)</f>
        <v>33.891150527716</v>
      </c>
      <c r="K221" s="451" t="n">
        <f aca="false">K220+0.5*(vit_z+H220)*pas</f>
        <v>160.32198669285</v>
      </c>
      <c r="L221" s="449" t="n">
        <f aca="false">SQRT(pos_x^2+pos_z^2)</f>
        <v>163.865034407083</v>
      </c>
      <c r="M221" s="450" t="n">
        <f aca="false">IF(AND(L220&gt;L_rampe,G221&gt;0),ATAN2(G221,H221),$M$4)</f>
        <v>1.34778209228556</v>
      </c>
      <c r="N221" s="449" t="n">
        <f aca="false">DEGREES(Beta)</f>
        <v>77.2222255912743</v>
      </c>
      <c r="O221" s="438"/>
      <c r="P221" s="452" t="n">
        <f aca="false">MATCH(t-pas/2-T_ini,CdP_t)</f>
        <v>6</v>
      </c>
      <c r="Q221" s="449" t="n">
        <f aca="false">(INDEX(CdP,2,i_P+1)-INDEX(CdP,2,i_P+0))/(INDEX(CdP,1,i_P+1)-INDEX(CdP,1,i_P+0))*(t-pas/2-T_ini-INDEX(CdP,1,i_P+0))+INDEX(CdP,2,i_P+0)</f>
        <v>561.91</v>
      </c>
      <c r="R221" s="450" t="n">
        <f aca="false">Poussee/(g*ISP)</f>
        <v>0.281996448646259</v>
      </c>
      <c r="S221" s="451" t="n">
        <f aca="false">S220-Débit*pas</f>
        <v>8.90948075909579</v>
      </c>
      <c r="T221" s="449" t="n">
        <f aca="false">m*g</f>
        <v>87.4020062467297</v>
      </c>
      <c r="U221" s="453" t="n">
        <f aca="false">IF(pos_xz&lt;L_rampe,Poids*COS(Beta),0)</f>
        <v>0</v>
      </c>
      <c r="V221" s="450" t="n">
        <f aca="false">Rho_moyen*(20000-Alt_rampe-pos_z)/(20000+Alt_rampe+pos_z)</f>
        <v>1.20551673640646</v>
      </c>
      <c r="W221" s="449" t="n">
        <f aca="false">1/2*Rho*Sref*Cx*vit_xz^2</f>
        <v>53.0853781820222</v>
      </c>
      <c r="X221" s="438"/>
      <c r="Y221" s="454" t="str">
        <f aca="false">IF(AND(pos_z&lt;=0,K220&gt;0),"Impact balistique","") &amp; IF(AND(H222&lt;0,vit_z&gt;=0),"Apogée","") &amp; IF(AND(Poussee=0,Q220&gt;0),"Fin de propulsion","") &amp; IF(AND(L222&gt;L_rampe,pos_xz&lt;=L_rampe),"Sortie de rampe","")</f>
        <v/>
      </c>
      <c r="Z221" s="455" t="str">
        <f aca="false">IF(ABS(t-T_para)&lt;pas/2,"Para","")</f>
        <v/>
      </c>
      <c r="AA221" s="456" t="str">
        <f aca="false">IF(ABS(t-T_satellite)&lt;pas/2,"Satellite","")</f>
        <v/>
      </c>
      <c r="AB221" s="444"/>
      <c r="AC221" s="452" t="e">
        <f aca="false">IF(ABS(t-ROUND(t,0))&lt;0.001,t,NA())</f>
        <v>#N/A</v>
      </c>
      <c r="AD221" s="457" t="e">
        <f aca="false">IF(ABS(t-ROUND(t,0))&lt;0.001,pos_x,NA())</f>
        <v>#N/A</v>
      </c>
      <c r="AE221" s="458" t="n">
        <f aca="false">IF(t&lt;T_para, pos_z, NA())</f>
        <v>160.32198669285</v>
      </c>
      <c r="AF221" s="444"/>
      <c r="AG221" s="450" t="n">
        <f aca="false">IF(AND(L220&lt;L_rampe,Poussee&lt;Poids*SIN(M220)),0,(-W220+Poussee)/m-Poids*SIN(M220)/m)</f>
        <v>47.5824898677634</v>
      </c>
      <c r="AH221" s="449" t="n">
        <f aca="false">IF(AND(L220&lt;L_rampe,Poussee&lt;Poids*SIN(M220)), g*SIN(M220), (-W220+Poussee)/m)</f>
        <v>57.1498815619806</v>
      </c>
    </row>
    <row r="222" customFormat="false" ht="12" hidden="false" customHeight="false" outlineLevel="0" collapsed="false">
      <c r="A222" s="448" t="n">
        <f aca="false">IF(B221+0.01&lt;=T_ini+ROUNDUP(Temps_fin_propu,0), 0.01, IF(K221&gt;0, 0.1, 0.0001))</f>
        <v>0.01</v>
      </c>
      <c r="B222" s="449" t="n">
        <f aca="false">B221+pas</f>
        <v>2.18</v>
      </c>
      <c r="C222" s="432"/>
      <c r="D222" s="450" t="n">
        <f aca="false">IF(AND(L221&lt;L_rampe,Poussee&lt;Poids*SIN(M221)),0,(-W221+Poussee)/m*COS(M221)-U221/m*SIN(M221))</f>
        <v>12.5988685038785</v>
      </c>
      <c r="E222" s="451" t="n">
        <f aca="false">IF(AND(L221&lt;L_rampe,Poussee&lt;Poids*SIN(M221)),0,(-W221+Poussee)/m*SIN(M221)+U221/m*COS(M221)-Poids/m)</f>
        <v>45.7438662394732</v>
      </c>
      <c r="F222" s="449" t="n">
        <f aca="false">SQRT(acc_x^2+acc_z^2)</f>
        <v>47.4471578296618</v>
      </c>
      <c r="G222" s="450" t="n">
        <f aca="false">G221+acc_x*pas</f>
        <v>31.2509879298668</v>
      </c>
      <c r="H222" s="451" t="n">
        <f aca="false">H221+acc_z*pas</f>
        <v>137.701036706026</v>
      </c>
      <c r="I222" s="449" t="n">
        <f aca="false">SQRT(vit_x^2+vit_z^2)</f>
        <v>141.202690330274</v>
      </c>
      <c r="J222" s="450" t="n">
        <f aca="false">J221+0.5*(vit_x+G221)*pas*(K221&gt;=0)</f>
        <v>34.2030304635895</v>
      </c>
      <c r="K222" s="451" t="n">
        <f aca="false">K221+0.5*(vit_z+H221)*pas</f>
        <v>161.696709866598</v>
      </c>
      <c r="L222" s="449" t="n">
        <f aca="false">SQRT(pos_x^2+pos_z^2)</f>
        <v>165.274539099572</v>
      </c>
      <c r="M222" s="450" t="n">
        <f aca="false">IF(AND(L221&gt;L_rampe,G222&gt;0),ATAN2(G222,H222),$M$4)</f>
        <v>1.34762843517226</v>
      </c>
      <c r="N222" s="449" t="n">
        <f aca="false">DEGREES(Beta)</f>
        <v>77.2134216871899</v>
      </c>
      <c r="O222" s="438"/>
      <c r="P222" s="452" t="n">
        <f aca="false">MATCH(t-pas/2-T_ini,CdP_t)</f>
        <v>6</v>
      </c>
      <c r="Q222" s="449" t="n">
        <f aca="false">(INDEX(CdP,2,i_P+1)-INDEX(CdP,2,i_P+0))/(INDEX(CdP,1,i_P+1)-INDEX(CdP,1,i_P+0))*(t-pas/2-T_ini-INDEX(CdP,1,i_P+0))+INDEX(CdP,2,i_P+0)</f>
        <v>560.45</v>
      </c>
      <c r="R222" s="450" t="n">
        <f aca="false">Poussee/(g*ISP)</f>
        <v>0.281263742670171</v>
      </c>
      <c r="S222" s="451" t="n">
        <f aca="false">S221-Débit*pas</f>
        <v>8.90666812166909</v>
      </c>
      <c r="T222" s="449" t="n">
        <f aca="false">m*g</f>
        <v>87.3744142735738</v>
      </c>
      <c r="U222" s="453" t="n">
        <f aca="false">IF(pos_xz&lt;L_rampe,Poids*COS(Beta),0)</f>
        <v>0</v>
      </c>
      <c r="V222" s="450" t="n">
        <f aca="false">Rho_moyen*(20000-Alt_rampe-pos_z)/(20000+Alt_rampe+pos_z)</f>
        <v>1.20535101187792</v>
      </c>
      <c r="W222" s="449" t="n">
        <f aca="false">1/2*Rho*Sref*Cx*vit_xz^2</f>
        <v>53.4362184452654</v>
      </c>
      <c r="X222" s="438"/>
      <c r="Y222" s="454" t="str">
        <f aca="false">IF(AND(pos_z&lt;=0,K221&gt;0),"Impact balistique","") &amp; IF(AND(H223&lt;0,vit_z&gt;=0),"Apogée","") &amp; IF(AND(Poussee=0,Q221&gt;0),"Fin de propulsion","") &amp; IF(AND(L223&gt;L_rampe,pos_xz&lt;=L_rampe),"Sortie de rampe","")</f>
        <v/>
      </c>
      <c r="Z222" s="455" t="str">
        <f aca="false">IF(ABS(t-T_para)&lt;pas/2,"Para","")</f>
        <v/>
      </c>
      <c r="AA222" s="456" t="str">
        <f aca="false">IF(ABS(t-T_satellite)&lt;pas/2,"Satellite","")</f>
        <v/>
      </c>
      <c r="AB222" s="444"/>
      <c r="AC222" s="452" t="e">
        <f aca="false">IF(ABS(t-ROUND(t,0))&lt;0.001,t,NA())</f>
        <v>#N/A</v>
      </c>
      <c r="AD222" s="457" t="e">
        <f aca="false">IF(ABS(t-ROUND(t,0))&lt;0.001,pos_x,NA())</f>
        <v>#N/A</v>
      </c>
      <c r="AE222" s="458" t="n">
        <f aca="false">IF(t&lt;T_para, pos_z, NA())</f>
        <v>161.696709866598</v>
      </c>
      <c r="AF222" s="444"/>
      <c r="AG222" s="450" t="n">
        <f aca="false">IF(AND(L221&lt;L_rampe,Poussee&lt;Poids*SIN(M221)),0,(-W221+Poussee)/m-Poids*SIN(M221)/m)</f>
        <v>47.3975239417413</v>
      </c>
      <c r="AH222" s="449" t="n">
        <f aca="false">IF(AND(L221&lt;L_rampe,Poussee&lt;Poids*SIN(M221)), g*SIN(M221), (-W221+Poussee)/m)</f>
        <v>56.9645814671827</v>
      </c>
    </row>
    <row r="223" customFormat="false" ht="12" hidden="false" customHeight="false" outlineLevel="0" collapsed="false">
      <c r="A223" s="448" t="n">
        <f aca="false">IF(B222+0.01&lt;=T_ini+ROUNDUP(Temps_fin_propu,0), 0.01, IF(K222&gt;0, 0.1, 0.0001))</f>
        <v>0.01</v>
      </c>
      <c r="B223" s="449" t="n">
        <f aca="false">B222+pas</f>
        <v>2.19</v>
      </c>
      <c r="C223" s="432"/>
      <c r="D223" s="450" t="n">
        <f aca="false">IF(AND(L222&lt;L_rampe,Poussee&lt;Poids*SIN(M222)),0,(-W222+Poussee)/m*COS(M222)-U222/m*SIN(M222))</f>
        <v>12.5663653808707</v>
      </c>
      <c r="E223" s="451" t="n">
        <f aca="false">IF(AND(L222&lt;L_rampe,Poussee&lt;Poids*SIN(M222)),0,(-W222+Poussee)/m*SIN(M222)+U222/m*COS(M222)-Poids/m)</f>
        <v>45.561098809931</v>
      </c>
      <c r="F223" s="449" t="n">
        <f aca="false">SQRT(acc_x^2+acc_z^2)</f>
        <v>47.2623239341216</v>
      </c>
      <c r="G223" s="450" t="n">
        <f aca="false">G222+acc_x*pas</f>
        <v>31.3766515836755</v>
      </c>
      <c r="H223" s="451" t="n">
        <f aca="false">H222+acc_z*pas</f>
        <v>138.156647694126</v>
      </c>
      <c r="I223" s="449" t="n">
        <f aca="false">SQRT(vit_x^2+vit_z^2)</f>
        <v>141.674816275449</v>
      </c>
      <c r="J223" s="450" t="n">
        <f aca="false">J222+0.5*(vit_x+G222)*pas*(K222&gt;=0)</f>
        <v>34.5161686611572</v>
      </c>
      <c r="K223" s="451" t="n">
        <f aca="false">K222+0.5*(vit_z+H222)*pas</f>
        <v>163.075998288599</v>
      </c>
      <c r="L223" s="449" t="n">
        <f aca="false">SQRT(pos_x^2+pos_z^2)</f>
        <v>166.68877321784</v>
      </c>
      <c r="M223" s="450" t="n">
        <f aca="false">IF(AND(L222&gt;L_rampe,G223&gt;0),ATAN2(G223,H223),$M$4)</f>
        <v>1.34747518635525</v>
      </c>
      <c r="N223" s="449" t="n">
        <f aca="false">DEGREES(Beta)</f>
        <v>77.2046411767598</v>
      </c>
      <c r="O223" s="438"/>
      <c r="P223" s="452" t="n">
        <f aca="false">MATCH(t-pas/2-T_ini,CdP_t)</f>
        <v>6</v>
      </c>
      <c r="Q223" s="449" t="n">
        <f aca="false">(INDEX(CdP,2,i_P+1)-INDEX(CdP,2,i_P+0))/(INDEX(CdP,1,i_P+1)-INDEX(CdP,1,i_P+0))*(t-pas/2-T_ini-INDEX(CdP,1,i_P+0))+INDEX(CdP,2,i_P+0)</f>
        <v>558.99</v>
      </c>
      <c r="R223" s="450" t="n">
        <f aca="false">Poussee/(g*ISP)</f>
        <v>0.280531036694083</v>
      </c>
      <c r="S223" s="451" t="n">
        <f aca="false">S222-Débit*pas</f>
        <v>8.90386281130215</v>
      </c>
      <c r="T223" s="449" t="n">
        <f aca="false">m*g</f>
        <v>87.3468941788741</v>
      </c>
      <c r="U223" s="453" t="n">
        <f aca="false">IF(pos_xz&lt;L_rampe,Poids*COS(Beta),0)</f>
        <v>0</v>
      </c>
      <c r="V223" s="450" t="n">
        <f aca="false">Rho_moyen*(20000-Alt_rampe-pos_z)/(20000+Alt_rampe+pos_z)</f>
        <v>1.20518475971419</v>
      </c>
      <c r="W223" s="449" t="n">
        <f aca="false">1/2*Rho*Sref*Cx*vit_xz^2</f>
        <v>53.7867352593765</v>
      </c>
      <c r="X223" s="438"/>
      <c r="Y223" s="454" t="str">
        <f aca="false">IF(AND(pos_z&lt;=0,K222&gt;0),"Impact balistique","") &amp; IF(AND(H224&lt;0,vit_z&gt;=0),"Apogée","") &amp; IF(AND(Poussee=0,Q222&gt;0),"Fin de propulsion","") &amp; IF(AND(L224&gt;L_rampe,pos_xz&lt;=L_rampe),"Sortie de rampe","")</f>
        <v/>
      </c>
      <c r="Z223" s="455" t="str">
        <f aca="false">IF(ABS(t-T_para)&lt;pas/2,"Para","")</f>
        <v/>
      </c>
      <c r="AA223" s="456" t="str">
        <f aca="false">IF(ABS(t-T_satellite)&lt;pas/2,"Satellite","")</f>
        <v/>
      </c>
      <c r="AB223" s="444"/>
      <c r="AC223" s="452" t="e">
        <f aca="false">IF(ABS(t-ROUND(t,0))&lt;0.001,t,NA())</f>
        <v>#N/A</v>
      </c>
      <c r="AD223" s="457" t="e">
        <f aca="false">IF(ABS(t-ROUND(t,0))&lt;0.001,pos_x,NA())</f>
        <v>#N/A</v>
      </c>
      <c r="AE223" s="458" t="n">
        <f aca="false">IF(t&lt;T_para, pos_z, NA())</f>
        <v>163.075998288599</v>
      </c>
      <c r="AF223" s="444"/>
      <c r="AG223" s="450" t="n">
        <f aca="false">IF(AND(L222&lt;L_rampe,Poussee&lt;Poids*SIN(M222)),0,(-W222+Poussee)/m-Poids*SIN(M222)/m)</f>
        <v>47.2124281544501</v>
      </c>
      <c r="AH223" s="449" t="n">
        <f aca="false">IF(AND(L222&lt;L_rampe,Poussee&lt;Poids*SIN(M222)), g*SIN(M222), (-W222+Poussee)/m)</f>
        <v>56.779152180221</v>
      </c>
    </row>
    <row r="224" customFormat="false" ht="12" hidden="false" customHeight="false" outlineLevel="0" collapsed="false">
      <c r="A224" s="448" t="n">
        <f aca="false">IF(B223+0.01&lt;=T_ini+ROUNDUP(Temps_fin_propu,0), 0.01, IF(K223&gt;0, 0.1, 0.0001))</f>
        <v>0.01</v>
      </c>
      <c r="B224" s="449" t="n">
        <f aca="false">B223+pas</f>
        <v>2.2</v>
      </c>
      <c r="C224" s="432"/>
      <c r="D224" s="450" t="n">
        <f aca="false">IF(AND(L223&lt;L_rampe,Poussee&lt;Poids*SIN(M223)),0,(-W223+Poussee)/m*COS(M223)-U223/m*SIN(M223))</f>
        <v>12.533755700714</v>
      </c>
      <c r="E224" s="451" t="n">
        <f aca="false">IF(AND(L223&lt;L_rampe,Poussee&lt;Poids*SIN(M223)),0,(-W223+Poussee)/m*SIN(M223)+U223/m*COS(M223)-Poids/m)</f>
        <v>45.3782238297443</v>
      </c>
      <c r="F224" s="449" t="n">
        <f aca="false">SQRT(acc_x^2+acc_z^2)</f>
        <v>47.0773643050198</v>
      </c>
      <c r="G224" s="450" t="n">
        <f aca="false">G223+acc_x*pas</f>
        <v>31.5019891406826</v>
      </c>
      <c r="H224" s="451" t="n">
        <f aca="false">H223+acc_z*pas</f>
        <v>138.610429932423</v>
      </c>
      <c r="I224" s="449" t="n">
        <f aca="false">SQRT(vit_x^2+vit_z^2)</f>
        <v>142.145089981578</v>
      </c>
      <c r="J224" s="450" t="n">
        <f aca="false">J223+0.5*(vit_x+G223)*pas*(K223&gt;=0)</f>
        <v>34.830561864779</v>
      </c>
      <c r="K224" s="451" t="n">
        <f aca="false">K223+0.5*(vit_z+H223)*pas</f>
        <v>164.459833676732</v>
      </c>
      <c r="L224" s="449" t="n">
        <f aca="false">SQRT(pos_x^2+pos_z^2)</f>
        <v>168.107718242782</v>
      </c>
      <c r="M224" s="450" t="n">
        <f aca="false">IF(AND(L223&gt;L_rampe,G224&gt;0),ATAN2(G224,H224),$M$4)</f>
        <v>1.34732234140905</v>
      </c>
      <c r="N224" s="449" t="n">
        <f aca="false">DEGREES(Beta)</f>
        <v>77.1958838064228</v>
      </c>
      <c r="O224" s="438"/>
      <c r="P224" s="452" t="n">
        <f aca="false">MATCH(t-pas/2-T_ini,CdP_t)</f>
        <v>6</v>
      </c>
      <c r="Q224" s="449" t="n">
        <f aca="false">(INDEX(CdP,2,i_P+1)-INDEX(CdP,2,i_P+0))/(INDEX(CdP,1,i_P+1)-INDEX(CdP,1,i_P+0))*(t-pas/2-T_ini-INDEX(CdP,1,i_P+0))+INDEX(CdP,2,i_P+0)</f>
        <v>557.53</v>
      </c>
      <c r="R224" s="450" t="n">
        <f aca="false">Poussee/(g*ISP)</f>
        <v>0.279798330717996</v>
      </c>
      <c r="S224" s="451" t="n">
        <f aca="false">S223-Débit*pas</f>
        <v>8.90106482799497</v>
      </c>
      <c r="T224" s="449" t="n">
        <f aca="false">m*g</f>
        <v>87.3194459626306</v>
      </c>
      <c r="U224" s="453" t="n">
        <f aca="false">IF(pos_xz&lt;L_rampe,Poids*COS(Beta),0)</f>
        <v>0</v>
      </c>
      <c r="V224" s="450" t="n">
        <f aca="false">Rho_moyen*(20000-Alt_rampe-pos_z)/(20000+Alt_rampe+pos_z)</f>
        <v>1.20501798233965</v>
      </c>
      <c r="W224" s="449" t="n">
        <f aca="false">1/2*Rho*Sref*Cx*vit_xz^2</f>
        <v>54.1369133245026</v>
      </c>
      <c r="X224" s="438"/>
      <c r="Y224" s="454" t="str">
        <f aca="false">IF(AND(pos_z&lt;=0,K223&gt;0),"Impact balistique","") &amp; IF(AND(H225&lt;0,vit_z&gt;=0),"Apogée","") &amp; IF(AND(Poussee=0,Q223&gt;0),"Fin de propulsion","") &amp; IF(AND(L225&gt;L_rampe,pos_xz&lt;=L_rampe),"Sortie de rampe","")</f>
        <v/>
      </c>
      <c r="Z224" s="455" t="str">
        <f aca="false">IF(ABS(t-T_para)&lt;pas/2,"Para","")</f>
        <v/>
      </c>
      <c r="AA224" s="456" t="str">
        <f aca="false">IF(ABS(t-T_satellite)&lt;pas/2,"Satellite","")</f>
        <v/>
      </c>
      <c r="AB224" s="444"/>
      <c r="AC224" s="452" t="e">
        <f aca="false">IF(ABS(t-ROUND(t,0))&lt;0.001,t,NA())</f>
        <v>#N/A</v>
      </c>
      <c r="AD224" s="457" t="e">
        <f aca="false">IF(ABS(t-ROUND(t,0))&lt;0.001,pos_x,NA())</f>
        <v>#N/A</v>
      </c>
      <c r="AE224" s="458" t="n">
        <f aca="false">IF(t&lt;T_para, pos_z, NA())</f>
        <v>164.459833676732</v>
      </c>
      <c r="AF224" s="444"/>
      <c r="AG224" s="450" t="n">
        <f aca="false">IF(AND(L223&lt;L_rampe,Poussee&lt;Poids*SIN(M223)),0,(-W223+Poussee)/m-Poids*SIN(M223)/m)</f>
        <v>47.0272045762445</v>
      </c>
      <c r="AH224" s="449" t="n">
        <f aca="false">IF(AND(L223&lt;L_rampe,Poussee&lt;Poids*SIN(M223)), g*SIN(M223), (-W223+Poussee)/m)</f>
        <v>56.5935957635415</v>
      </c>
    </row>
    <row r="225" customFormat="false" ht="12" hidden="false" customHeight="false" outlineLevel="0" collapsed="false">
      <c r="A225" s="448" t="n">
        <f aca="false">IF(B224+0.01&lt;=T_ini+ROUNDUP(Temps_fin_propu,0), 0.01, IF(K224&gt;0, 0.1, 0.0001))</f>
        <v>0.01</v>
      </c>
      <c r="B225" s="449" t="n">
        <f aca="false">B224+pas</f>
        <v>2.21</v>
      </c>
      <c r="C225" s="432"/>
      <c r="D225" s="450" t="n">
        <f aca="false">IF(AND(L224&lt;L_rampe,Poussee&lt;Poids*SIN(M224)),0,(-W224+Poussee)/m*COS(M224)-U224/m*SIN(M224))</f>
        <v>12.5010403325947</v>
      </c>
      <c r="E225" s="451" t="n">
        <f aca="false">IF(AND(L224&lt;L_rampe,Poussee&lt;Poids*SIN(M224)),0,(-W224+Poussee)/m*SIN(M224)+U224/m*COS(M224)-Poids/m)</f>
        <v>45.1952432360775</v>
      </c>
      <c r="F225" s="449" t="n">
        <f aca="false">SQRT(acc_x^2+acc_z^2)</f>
        <v>46.8922810339332</v>
      </c>
      <c r="G225" s="450" t="n">
        <f aca="false">G224+acc_x*pas</f>
        <v>31.6269995440086</v>
      </c>
      <c r="H225" s="451" t="n">
        <f aca="false">H224+acc_z*pas</f>
        <v>139.062382364784</v>
      </c>
      <c r="I225" s="449" t="n">
        <f aca="false">SQRT(vit_x^2+vit_z^2)</f>
        <v>142.613510191448</v>
      </c>
      <c r="J225" s="450" t="n">
        <f aca="false">J224+0.5*(vit_x+G224)*pas*(K224&gt;=0)</f>
        <v>35.1462068082025</v>
      </c>
      <c r="K225" s="451" t="n">
        <f aca="false">K224+0.5*(vit_z+H224)*pas</f>
        <v>165.848197738218</v>
      </c>
      <c r="L225" s="449" t="n">
        <f aca="false">SQRT(pos_x^2+pos_z^2)</f>
        <v>169.531355642606</v>
      </c>
      <c r="M225" s="450" t="n">
        <f aca="false">IF(AND(L224&gt;L_rampe,G225&gt;0),ATAN2(G225,H225),$M$4)</f>
        <v>1.34716989596337</v>
      </c>
      <c r="N225" s="449" t="n">
        <f aca="false">DEGREES(Beta)</f>
        <v>77.1871493257791</v>
      </c>
      <c r="O225" s="438"/>
      <c r="P225" s="452" t="n">
        <f aca="false">MATCH(t-pas/2-T_ini,CdP_t)</f>
        <v>6</v>
      </c>
      <c r="Q225" s="449" t="n">
        <f aca="false">(INDEX(CdP,2,i_P+1)-INDEX(CdP,2,i_P+0))/(INDEX(CdP,1,i_P+1)-INDEX(CdP,1,i_P+0))*(t-pas/2-T_ini-INDEX(CdP,1,i_P+0))+INDEX(CdP,2,i_P+0)</f>
        <v>556.07</v>
      </c>
      <c r="R225" s="450" t="n">
        <f aca="false">Poussee/(g*ISP)</f>
        <v>0.279065624741908</v>
      </c>
      <c r="S225" s="451" t="n">
        <f aca="false">S224-Débit*pas</f>
        <v>8.89827417174755</v>
      </c>
      <c r="T225" s="449" t="n">
        <f aca="false">m*g</f>
        <v>87.2920696248435</v>
      </c>
      <c r="U225" s="453" t="n">
        <f aca="false">IF(pos_xz&lt;L_rampe,Poids*COS(Beta),0)</f>
        <v>0</v>
      </c>
      <c r="V225" s="450" t="n">
        <f aca="false">Rho_moyen*(20000-Alt_rampe-pos_z)/(20000+Alt_rampe+pos_z)</f>
        <v>1.20485068217938</v>
      </c>
      <c r="W225" s="449" t="n">
        <f aca="false">1/2*Rho*Sref*Cx*vit_xz^2</f>
        <v>54.4867374105977</v>
      </c>
      <c r="X225" s="438"/>
      <c r="Y225" s="454" t="str">
        <f aca="false">IF(AND(pos_z&lt;=0,K224&gt;0),"Impact balistique","") &amp; IF(AND(H226&lt;0,vit_z&gt;=0),"Apogée","") &amp; IF(AND(Poussee=0,Q224&gt;0),"Fin de propulsion","") &amp; IF(AND(L226&gt;L_rampe,pos_xz&lt;=L_rampe),"Sortie de rampe","")</f>
        <v/>
      </c>
      <c r="Z225" s="455" t="str">
        <f aca="false">IF(ABS(t-T_para)&lt;pas/2,"Para","")</f>
        <v/>
      </c>
      <c r="AA225" s="456" t="str">
        <f aca="false">IF(ABS(t-T_satellite)&lt;pas/2,"Satellite","")</f>
        <v/>
      </c>
      <c r="AB225" s="444"/>
      <c r="AC225" s="452" t="e">
        <f aca="false">IF(ABS(t-ROUND(t,0))&lt;0.001,t,NA())</f>
        <v>#N/A</v>
      </c>
      <c r="AD225" s="457" t="e">
        <f aca="false">IF(ABS(t-ROUND(t,0))&lt;0.001,pos_x,NA())</f>
        <v>#N/A</v>
      </c>
      <c r="AE225" s="458" t="n">
        <f aca="false">IF(t&lt;T_para, pos_z, NA())</f>
        <v>165.848197738218</v>
      </c>
      <c r="AF225" s="444"/>
      <c r="AG225" s="450" t="n">
        <f aca="false">IF(AND(L224&lt;L_rampe,Poussee&lt;Poids*SIN(M224)),0,(-W224+Poussee)/m-Poids*SIN(M224)/m)</f>
        <v>46.8418552728111</v>
      </c>
      <c r="AH225" s="449" t="n">
        <f aca="false">IF(AND(L224&lt;L_rampe,Poussee&lt;Poids*SIN(M224)), g*SIN(M224), (-W224+Poussee)/m)</f>
        <v>56.407914275013</v>
      </c>
    </row>
    <row r="226" customFormat="false" ht="12" hidden="false" customHeight="false" outlineLevel="0" collapsed="false">
      <c r="A226" s="448" t="n">
        <f aca="false">IF(B225+0.01&lt;=T_ini+ROUNDUP(Temps_fin_propu,0), 0.01, IF(K225&gt;0, 0.1, 0.0001))</f>
        <v>0.01</v>
      </c>
      <c r="B226" s="449" t="n">
        <f aca="false">B225+pas</f>
        <v>2.22</v>
      </c>
      <c r="C226" s="432"/>
      <c r="D226" s="450" t="n">
        <f aca="false">IF(AND(L225&lt;L_rampe,Poussee&lt;Poids*SIN(M225)),0,(-W225+Poussee)/m*COS(M225)-U225/m*SIN(M225))</f>
        <v>12.4682201399035</v>
      </c>
      <c r="E226" s="451" t="n">
        <f aca="false">IF(AND(L225&lt;L_rampe,Poussee&lt;Poids*SIN(M225)),0,(-W225+Poussee)/m*SIN(M225)+U225/m*COS(M225)-Poids/m)</f>
        <v>45.012158962342</v>
      </c>
      <c r="F226" s="449" t="n">
        <f aca="false">SQRT(acc_x^2+acc_z^2)</f>
        <v>46.7070762080891</v>
      </c>
      <c r="G226" s="450" t="n">
        <f aca="false">G225+acc_x*pas</f>
        <v>31.7516817454076</v>
      </c>
      <c r="H226" s="451" t="n">
        <f aca="false">H225+acc_z*pas</f>
        <v>139.512503954407</v>
      </c>
      <c r="I226" s="449" t="n">
        <f aca="false">SQRT(vit_x^2+vit_z^2)</f>
        <v>143.080075668453</v>
      </c>
      <c r="J226" s="450" t="n">
        <f aca="false">J225+0.5*(vit_x+G225)*pas*(K225&gt;=0)</f>
        <v>35.4631002146495</v>
      </c>
      <c r="K226" s="451" t="n">
        <f aca="false">K225+0.5*(vit_z+H225)*pas</f>
        <v>167.241072169814</v>
      </c>
      <c r="L226" s="449" t="n">
        <f aca="false">SQRT(pos_x^2+pos_z^2)</f>
        <v>170.959666873047</v>
      </c>
      <c r="M226" s="450" t="n">
        <f aca="false">IF(AND(L225&gt;L_rampe,G226&gt;0),ATAN2(G226,H226),$M$4)</f>
        <v>1.34701784570208</v>
      </c>
      <c r="N226" s="449" t="n">
        <f aca="false">DEGREES(Beta)</f>
        <v>77.1784374875337</v>
      </c>
      <c r="O226" s="438"/>
      <c r="P226" s="452" t="n">
        <f aca="false">MATCH(t-pas/2-T_ini,CdP_t)</f>
        <v>6</v>
      </c>
      <c r="Q226" s="449" t="n">
        <f aca="false">(INDEX(CdP,2,i_P+1)-INDEX(CdP,2,i_P+0))/(INDEX(CdP,1,i_P+1)-INDEX(CdP,1,i_P+0))*(t-pas/2-T_ini-INDEX(CdP,1,i_P+0))+INDEX(CdP,2,i_P+0)</f>
        <v>554.610000000001</v>
      </c>
      <c r="R226" s="450" t="n">
        <f aca="false">Poussee/(g*ISP)</f>
        <v>0.27833291876582</v>
      </c>
      <c r="S226" s="451" t="n">
        <f aca="false">S225-Débit*pas</f>
        <v>8.89549084255989</v>
      </c>
      <c r="T226" s="449" t="n">
        <f aca="false">m*g</f>
        <v>87.2647651655125</v>
      </c>
      <c r="U226" s="453" t="n">
        <f aca="false">IF(pos_xz&lt;L_rampe,Poids*COS(Beta),0)</f>
        <v>0</v>
      </c>
      <c r="V226" s="450" t="n">
        <f aca="false">Rho_moyen*(20000-Alt_rampe-pos_z)/(20000+Alt_rampe+pos_z)</f>
        <v>1.20468286165918</v>
      </c>
      <c r="W226" s="449" t="n">
        <f aca="false">1/2*Rho*Sref*Cx*vit_xz^2</f>
        <v>54.83619235779</v>
      </c>
      <c r="X226" s="438"/>
      <c r="Y226" s="454" t="str">
        <f aca="false">IF(AND(pos_z&lt;=0,K225&gt;0),"Impact balistique","") &amp; IF(AND(H227&lt;0,vit_z&gt;=0),"Apogée","") &amp; IF(AND(Poussee=0,Q225&gt;0),"Fin de propulsion","") &amp; IF(AND(L227&gt;L_rampe,pos_xz&lt;=L_rampe),"Sortie de rampe","")</f>
        <v/>
      </c>
      <c r="Z226" s="455" t="str">
        <f aca="false">IF(ABS(t-T_para)&lt;pas/2,"Para","")</f>
        <v/>
      </c>
      <c r="AA226" s="456" t="str">
        <f aca="false">IF(ABS(t-T_satellite)&lt;pas/2,"Satellite","")</f>
        <v/>
      </c>
      <c r="AB226" s="444"/>
      <c r="AC226" s="452" t="e">
        <f aca="false">IF(ABS(t-ROUND(t,0))&lt;0.001,t,NA())</f>
        <v>#N/A</v>
      </c>
      <c r="AD226" s="457" t="e">
        <f aca="false">IF(ABS(t-ROUND(t,0))&lt;0.001,pos_x,NA())</f>
        <v>#N/A</v>
      </c>
      <c r="AE226" s="458" t="n">
        <f aca="false">IF(t&lt;T_para, pos_z, NA())</f>
        <v>167.241072169814</v>
      </c>
      <c r="AF226" s="444"/>
      <c r="AG226" s="450" t="n">
        <f aca="false">IF(AND(L225&lt;L_rampe,Poussee&lt;Poids*SIN(M225)),0,(-W225+Poussee)/m-Poids*SIN(M225)/m)</f>
        <v>46.6563823051036</v>
      </c>
      <c r="AH226" s="449" t="n">
        <f aca="false">IF(AND(L225&lt;L_rampe,Poussee&lt;Poids*SIN(M225)), g*SIN(M225), (-W225+Poussee)/m)</f>
        <v>56.2221097678608</v>
      </c>
    </row>
    <row r="227" customFormat="false" ht="12" hidden="false" customHeight="false" outlineLevel="0" collapsed="false">
      <c r="A227" s="448" t="n">
        <f aca="false">IF(B226+0.01&lt;=T_ini+ROUNDUP(Temps_fin_propu,0), 0.01, IF(K226&gt;0, 0.1, 0.0001))</f>
        <v>0.01</v>
      </c>
      <c r="B227" s="449" t="n">
        <f aca="false">B226+pas</f>
        <v>2.23</v>
      </c>
      <c r="C227" s="432"/>
      <c r="D227" s="450" t="n">
        <f aca="false">IF(AND(L226&lt;L_rampe,Poussee&lt;Poids*SIN(M226)),0,(-W226+Poussee)/m*COS(M226)-U226/m*SIN(M226))</f>
        <v>12.4352959803087</v>
      </c>
      <c r="E227" s="451" t="n">
        <f aca="false">IF(AND(L226&lt;L_rampe,Poussee&lt;Poids*SIN(M226)),0,(-W226+Poussee)/m*SIN(M226)+U226/m*COS(M226)-Poids/m)</f>
        <v>44.8289729381174</v>
      </c>
      <c r="F227" s="449" t="n">
        <f aca="false">SQRT(acc_x^2+acc_z^2)</f>
        <v>46.5217519103091</v>
      </c>
      <c r="G227" s="450" t="n">
        <f aca="false">G226+acc_x*pas</f>
        <v>31.8760347052107</v>
      </c>
      <c r="H227" s="451" t="n">
        <f aca="false">H226+acc_z*pas</f>
        <v>139.960793683789</v>
      </c>
      <c r="I227" s="449" t="n">
        <f aca="false">SQRT(vit_x^2+vit_z^2)</f>
        <v>143.544785196551</v>
      </c>
      <c r="J227" s="450" t="n">
        <f aca="false">J226+0.5*(vit_x+G226)*pas*(K226&gt;=0)</f>
        <v>35.7812387969026</v>
      </c>
      <c r="K227" s="451" t="n">
        <f aca="false">K226+0.5*(vit_z+H226)*pas</f>
        <v>168.638438658005</v>
      </c>
      <c r="L227" s="449" t="n">
        <f aca="false">SQRT(pos_x^2+pos_z^2)</f>
        <v>172.392633377562</v>
      </c>
      <c r="M227" s="450" t="n">
        <f aca="false">IF(AND(L226&gt;L_rampe,G227&gt;0),ATAN2(G227,H227),$M$4)</f>
        <v>1.3468661863623</v>
      </c>
      <c r="N227" s="449" t="n">
        <f aca="false">DEGREES(Beta)</f>
        <v>77.1697480474406</v>
      </c>
      <c r="O227" s="438"/>
      <c r="P227" s="452" t="n">
        <f aca="false">MATCH(t-pas/2-T_ini,CdP_t)</f>
        <v>6</v>
      </c>
      <c r="Q227" s="449" t="n">
        <f aca="false">(INDEX(CdP,2,i_P+1)-INDEX(CdP,2,i_P+0))/(INDEX(CdP,1,i_P+1)-INDEX(CdP,1,i_P+0))*(t-pas/2-T_ini-INDEX(CdP,1,i_P+0))+INDEX(CdP,2,i_P+0)</f>
        <v>553.150000000001</v>
      </c>
      <c r="R227" s="450" t="n">
        <f aca="false">Poussee/(g*ISP)</f>
        <v>0.277600212789732</v>
      </c>
      <c r="S227" s="451" t="n">
        <f aca="false">S226-Débit*pas</f>
        <v>8.89271484043199</v>
      </c>
      <c r="T227" s="449" t="n">
        <f aca="false">m*g</f>
        <v>87.2375325846379</v>
      </c>
      <c r="U227" s="453" t="n">
        <f aca="false">IF(pos_xz&lt;L_rampe,Poids*COS(Beta),0)</f>
        <v>0</v>
      </c>
      <c r="V227" s="450" t="n">
        <f aca="false">Rho_moyen*(20000-Alt_rampe-pos_z)/(20000+Alt_rampe+pos_z)</f>
        <v>1.20451452320548</v>
      </c>
      <c r="W227" s="449" t="n">
        <f aca="false">1/2*Rho*Sref*Cx*vit_xz^2</f>
        <v>55.1852630767457</v>
      </c>
      <c r="X227" s="438"/>
      <c r="Y227" s="454" t="str">
        <f aca="false">IF(AND(pos_z&lt;=0,K226&gt;0),"Impact balistique","") &amp; IF(AND(H228&lt;0,vit_z&gt;=0),"Apogée","") &amp; IF(AND(Poussee=0,Q226&gt;0),"Fin de propulsion","") &amp; IF(AND(L228&gt;L_rampe,pos_xz&lt;=L_rampe),"Sortie de rampe","")</f>
        <v/>
      </c>
      <c r="Z227" s="455" t="str">
        <f aca="false">IF(ABS(t-T_para)&lt;pas/2,"Para","")</f>
        <v/>
      </c>
      <c r="AA227" s="456" t="str">
        <f aca="false">IF(ABS(t-T_satellite)&lt;pas/2,"Satellite","")</f>
        <v/>
      </c>
      <c r="AB227" s="444"/>
      <c r="AC227" s="452" t="e">
        <f aca="false">IF(ABS(t-ROUND(t,0))&lt;0.001,t,NA())</f>
        <v>#N/A</v>
      </c>
      <c r="AD227" s="457" t="e">
        <f aca="false">IF(ABS(t-ROUND(t,0))&lt;0.001,pos_x,NA())</f>
        <v>#N/A</v>
      </c>
      <c r="AE227" s="458" t="n">
        <f aca="false">IF(t&lt;T_para, pos_z, NA())</f>
        <v>168.638438658005</v>
      </c>
      <c r="AF227" s="444"/>
      <c r="AG227" s="450" t="n">
        <f aca="false">IF(AND(L226&lt;L_rampe,Poussee&lt;Poids*SIN(M226)),0,(-W226+Poussee)/m-Poids*SIN(M226)/m)</f>
        <v>46.4707877292789</v>
      </c>
      <c r="AH227" s="449" t="n">
        <f aca="false">IF(AND(L226&lt;L_rampe,Poussee&lt;Poids*SIN(M226)), g*SIN(M226), (-W226+Poussee)/m)</f>
        <v>56.0361842906011</v>
      </c>
    </row>
    <row r="228" customFormat="false" ht="12" hidden="false" customHeight="false" outlineLevel="0" collapsed="false">
      <c r="A228" s="448" t="n">
        <f aca="false">IF(B227+0.01&lt;=T_ini+ROUNDUP(Temps_fin_propu,0), 0.01, IF(K227&gt;0, 0.1, 0.0001))</f>
        <v>0.01</v>
      </c>
      <c r="B228" s="449" t="n">
        <f aca="false">B227+pas</f>
        <v>2.24</v>
      </c>
      <c r="C228" s="432"/>
      <c r="D228" s="450" t="n">
        <f aca="false">IF(AND(L227&lt;L_rampe,Poussee&lt;Poids*SIN(M227)),0,(-W227+Poussee)/m*COS(M227)-U227/m*SIN(M227))</f>
        <v>12.4022687058289</v>
      </c>
      <c r="E228" s="451" t="n">
        <f aca="false">IF(AND(L227&lt;L_rampe,Poussee&lt;Poids*SIN(M227)),0,(-W227+Poussee)/m*SIN(M227)+U227/m*COS(M227)-Poids/m)</f>
        <v>44.6456870890743</v>
      </c>
      <c r="F228" s="449" t="n">
        <f aca="false">SQRT(acc_x^2+acc_z^2)</f>
        <v>46.3363102189538</v>
      </c>
      <c r="G228" s="450" t="n">
        <f aca="false">G227+acc_x*pas</f>
        <v>32.000057392269</v>
      </c>
      <c r="H228" s="451" t="n">
        <f aca="false">H227+acc_z*pas</f>
        <v>140.407250554679</v>
      </c>
      <c r="I228" s="449" t="n">
        <f aca="false">SQRT(vit_x^2+vit_z^2)</f>
        <v>144.00763758021</v>
      </c>
      <c r="J228" s="450" t="n">
        <f aca="false">J227+0.5*(vit_x+G227)*pas*(K227&gt;=0)</f>
        <v>36.10061925739</v>
      </c>
      <c r="K228" s="451" t="n">
        <f aca="false">K227+0.5*(vit_z+H227)*pas</f>
        <v>170.040278879197</v>
      </c>
      <c r="L228" s="449" t="n">
        <f aca="false">SQRT(pos_x^2+pos_z^2)</f>
        <v>173.830236587546</v>
      </c>
      <c r="M228" s="450" t="n">
        <f aca="false">IF(AND(L227&gt;L_rampe,G228&gt;0),ATAN2(G228,H228),$M$4)</f>
        <v>1.34671491373341</v>
      </c>
      <c r="N228" s="449" t="n">
        <f aca="false">DEGREES(Beta)</f>
        <v>77.1610807642489</v>
      </c>
      <c r="O228" s="438"/>
      <c r="P228" s="452" t="n">
        <f aca="false">MATCH(t-pas/2-T_ini,CdP_t)</f>
        <v>6</v>
      </c>
      <c r="Q228" s="449" t="n">
        <f aca="false">(INDEX(CdP,2,i_P+1)-INDEX(CdP,2,i_P+0))/(INDEX(CdP,1,i_P+1)-INDEX(CdP,1,i_P+0))*(t-pas/2-T_ini-INDEX(CdP,1,i_P+0))+INDEX(CdP,2,i_P+0)</f>
        <v>551.690000000001</v>
      </c>
      <c r="R228" s="450" t="n">
        <f aca="false">Poussee/(g*ISP)</f>
        <v>0.276867506813644</v>
      </c>
      <c r="S228" s="451" t="n">
        <f aca="false">S227-Débit*pas</f>
        <v>8.88994616536386</v>
      </c>
      <c r="T228" s="449" t="n">
        <f aca="false">m*g</f>
        <v>87.2103718822195</v>
      </c>
      <c r="U228" s="453" t="n">
        <f aca="false">IF(pos_xz&lt;L_rampe,Poids*COS(Beta),0)</f>
        <v>0</v>
      </c>
      <c r="V228" s="450" t="n">
        <f aca="false">Rho_moyen*(20000-Alt_rampe-pos_z)/(20000+Alt_rampe+pos_z)</f>
        <v>1.20434566924538</v>
      </c>
      <c r="W228" s="449" t="n">
        <f aca="false">1/2*Rho*Sref*Cx*vit_xz^2</f>
        <v>55.5339345490268</v>
      </c>
      <c r="X228" s="438"/>
      <c r="Y228" s="454" t="str">
        <f aca="false">IF(AND(pos_z&lt;=0,K227&gt;0),"Impact balistique","") &amp; IF(AND(H229&lt;0,vit_z&gt;=0),"Apogée","") &amp; IF(AND(Poussee=0,Q227&gt;0),"Fin de propulsion","") &amp; IF(AND(L229&gt;L_rampe,pos_xz&lt;=L_rampe),"Sortie de rampe","")</f>
        <v/>
      </c>
      <c r="Z228" s="455" t="str">
        <f aca="false">IF(ABS(t-T_para)&lt;pas/2,"Para","")</f>
        <v/>
      </c>
      <c r="AA228" s="456" t="str">
        <f aca="false">IF(ABS(t-T_satellite)&lt;pas/2,"Satellite","")</f>
        <v/>
      </c>
      <c r="AB228" s="444"/>
      <c r="AC228" s="452" t="e">
        <f aca="false">IF(ABS(t-ROUND(t,0))&lt;0.001,t,NA())</f>
        <v>#N/A</v>
      </c>
      <c r="AD228" s="457" t="e">
        <f aca="false">IF(ABS(t-ROUND(t,0))&lt;0.001,pos_x,NA())</f>
        <v>#N/A</v>
      </c>
      <c r="AE228" s="458" t="n">
        <f aca="false">IF(t&lt;T_para, pos_z, NA())</f>
        <v>170.040278879197</v>
      </c>
      <c r="AF228" s="444"/>
      <c r="AG228" s="450" t="n">
        <f aca="false">IF(AND(L227&lt;L_rampe,Poussee&lt;Poids*SIN(M227)),0,(-W227+Poussee)/m-Poids*SIN(M227)/m)</f>
        <v>46.2850735966333</v>
      </c>
      <c r="AH228" s="449" t="n">
        <f aca="false">IF(AND(L227&lt;L_rampe,Poussee&lt;Poids*SIN(M227)), g*SIN(M227), (-W227+Poussee)/m)</f>
        <v>55.8501398869757</v>
      </c>
    </row>
    <row r="229" customFormat="false" ht="12" hidden="false" customHeight="false" outlineLevel="0" collapsed="false">
      <c r="A229" s="448" t="n">
        <f aca="false">IF(B228+0.01&lt;=T_ini+ROUNDUP(Temps_fin_propu,0), 0.01, IF(K228&gt;0, 0.1, 0.0001))</f>
        <v>0.01</v>
      </c>
      <c r="B229" s="449" t="n">
        <f aca="false">B228+pas</f>
        <v>2.25</v>
      </c>
      <c r="C229" s="432"/>
      <c r="D229" s="450" t="n">
        <f aca="false">IF(AND(L228&lt;L_rampe,Poussee&lt;Poids*SIN(M228)),0,(-W228+Poussee)/m*COS(M228)-U228/m*SIN(M228))</f>
        <v>12.3691391629025</v>
      </c>
      <c r="E229" s="451" t="n">
        <f aca="false">IF(AND(L228&lt;L_rampe,Poussee&lt;Poids*SIN(M228)),0,(-W228+Poussee)/m*SIN(M228)+U228/m*COS(M228)-Poids/m)</f>
        <v>44.4623033368973</v>
      </c>
      <c r="F229" s="449" t="n">
        <f aca="false">SQRT(acc_x^2+acc_z^2)</f>
        <v>46.1507532078678</v>
      </c>
      <c r="G229" s="450" t="n">
        <f aca="false">G228+acc_x*pas</f>
        <v>32.123748783898</v>
      </c>
      <c r="H229" s="451" t="n">
        <f aca="false">H228+acc_z*pas</f>
        <v>140.851873588048</v>
      </c>
      <c r="I229" s="449" t="n">
        <f aca="false">SQRT(vit_x^2+vit_z^2)</f>
        <v>144.468631644363</v>
      </c>
      <c r="J229" s="450" t="n">
        <f aca="false">J228+0.5*(vit_x+G228)*pas*(K228&gt;=0)</f>
        <v>36.4212382882709</v>
      </c>
      <c r="K229" s="451" t="n">
        <f aca="false">K228+0.5*(vit_z+H228)*pas</f>
        <v>171.446574499911</v>
      </c>
      <c r="L229" s="449" t="n">
        <f aca="false">SQRT(pos_x^2+pos_z^2)</f>
        <v>175.272457922528</v>
      </c>
      <c r="M229" s="450" t="n">
        <f aca="false">IF(AND(L228&gt;L_rampe,G229&gt;0),ATAN2(G229,H229),$M$4)</f>
        <v>1.34656402365611</v>
      </c>
      <c r="N229" s="449" t="n">
        <f aca="false">DEGREES(Beta)</f>
        <v>77.1524353996494</v>
      </c>
      <c r="O229" s="438"/>
      <c r="P229" s="452" t="n">
        <f aca="false">MATCH(t-pas/2-T_ini,CdP_t)</f>
        <v>6</v>
      </c>
      <c r="Q229" s="449" t="n">
        <f aca="false">(INDEX(CdP,2,i_P+1)-INDEX(CdP,2,i_P+0))/(INDEX(CdP,1,i_P+1)-INDEX(CdP,1,i_P+0))*(t-pas/2-T_ini-INDEX(CdP,1,i_P+0))+INDEX(CdP,2,i_P+0)</f>
        <v>550.230000000001</v>
      </c>
      <c r="R229" s="450" t="n">
        <f aca="false">Poussee/(g*ISP)</f>
        <v>0.276134800837556</v>
      </c>
      <c r="S229" s="451" t="n">
        <f aca="false">S228-Débit*pas</f>
        <v>8.88718481735548</v>
      </c>
      <c r="T229" s="449" t="n">
        <f aca="false">m*g</f>
        <v>87.1832830582573</v>
      </c>
      <c r="U229" s="453" t="n">
        <f aca="false">IF(pos_xz&lt;L_rampe,Poids*COS(Beta),0)</f>
        <v>0</v>
      </c>
      <c r="V229" s="450" t="n">
        <f aca="false">Rho_moyen*(20000-Alt_rampe-pos_z)/(20000+Alt_rampe+pos_z)</f>
        <v>1.20417630220652</v>
      </c>
      <c r="W229" s="449" t="n">
        <f aca="false">1/2*Rho*Sref*Cx*vit_xz^2</f>
        <v>55.8821918274424</v>
      </c>
      <c r="X229" s="438"/>
      <c r="Y229" s="454" t="str">
        <f aca="false">IF(AND(pos_z&lt;=0,K228&gt;0),"Impact balistique","") &amp; IF(AND(H230&lt;0,vit_z&gt;=0),"Apogée","") &amp; IF(AND(Poussee=0,Q228&gt;0),"Fin de propulsion","") &amp; IF(AND(L230&gt;L_rampe,pos_xz&lt;=L_rampe),"Sortie de rampe","")</f>
        <v/>
      </c>
      <c r="Z229" s="455" t="str">
        <f aca="false">IF(ABS(t-T_para)&lt;pas/2,"Para","")</f>
        <v/>
      </c>
      <c r="AA229" s="456" t="str">
        <f aca="false">IF(ABS(t-T_satellite)&lt;pas/2,"Satellite","")</f>
        <v/>
      </c>
      <c r="AB229" s="444"/>
      <c r="AC229" s="452" t="e">
        <f aca="false">IF(ABS(t-ROUND(t,0))&lt;0.001,t,NA())</f>
        <v>#N/A</v>
      </c>
      <c r="AD229" s="457" t="e">
        <f aca="false">IF(ABS(t-ROUND(t,0))&lt;0.001,pos_x,NA())</f>
        <v>#N/A</v>
      </c>
      <c r="AE229" s="458" t="n">
        <f aca="false">IF(t&lt;T_para, pos_z, NA())</f>
        <v>171.446574499911</v>
      </c>
      <c r="AF229" s="444"/>
      <c r="AG229" s="450" t="n">
        <f aca="false">IF(AND(L228&lt;L_rampe,Poussee&lt;Poids*SIN(M228)),0,(-W228+Poussee)/m-Poids*SIN(M228)/m)</f>
        <v>46.0992419535397</v>
      </c>
      <c r="AH229" s="449" t="n">
        <f aca="false">IF(AND(L228&lt;L_rampe,Poussee&lt;Poids*SIN(M228)), g*SIN(M228), (-W228+Poussee)/m)</f>
        <v>55.6639785958877</v>
      </c>
    </row>
    <row r="230" customFormat="false" ht="12" hidden="false" customHeight="false" outlineLevel="0" collapsed="false">
      <c r="A230" s="448" t="n">
        <f aca="false">IF(B229+0.01&lt;=T_ini+ROUNDUP(Temps_fin_propu,0), 0.01, IF(K229&gt;0, 0.1, 0.0001))</f>
        <v>0.01</v>
      </c>
      <c r="B230" s="449" t="n">
        <f aca="false">B229+pas</f>
        <v>2.26</v>
      </c>
      <c r="C230" s="432"/>
      <c r="D230" s="450" t="n">
        <f aca="false">IF(AND(L229&lt;L_rampe,Poussee&lt;Poids*SIN(M229)),0,(-W229+Poussee)/m*COS(M229)-U229/m*SIN(M229))</f>
        <v>12.335908192456</v>
      </c>
      <c r="E230" s="451" t="n">
        <f aca="false">IF(AND(L229&lt;L_rampe,Poussee&lt;Poids*SIN(M229)),0,(-W229+Poussee)/m*SIN(M229)+U229/m*COS(M229)-Poids/m)</f>
        <v>44.2788235992096</v>
      </c>
      <c r="F230" s="449" t="n">
        <f aca="false">SQRT(acc_x^2+acc_z^2)</f>
        <v>45.965082946326</v>
      </c>
      <c r="G230" s="450" t="n">
        <f aca="false">G229+acc_x*pas</f>
        <v>32.2471078658226</v>
      </c>
      <c r="H230" s="451" t="n">
        <f aca="false">H229+acc_z*pas</f>
        <v>141.29466182404</v>
      </c>
      <c r="I230" s="449" t="n">
        <f aca="false">SQRT(vit_x^2+vit_z^2)</f>
        <v>144.927766234355</v>
      </c>
      <c r="J230" s="450" t="n">
        <f aca="false">J229+0.5*(vit_x+G229)*pas*(K229&gt;=0)</f>
        <v>36.7430925715195</v>
      </c>
      <c r="K230" s="451" t="n">
        <f aca="false">K229+0.5*(vit_z+H229)*pas</f>
        <v>172.857307176971</v>
      </c>
      <c r="L230" s="449" t="n">
        <f aca="false">SQRT(pos_x^2+pos_z^2)</f>
        <v>176.719278790383</v>
      </c>
      <c r="M230" s="450" t="n">
        <f aca="false">IF(AND(L229&gt;L_rampe,G230&gt;0),ATAN2(G230,H230),$M$4)</f>
        <v>1.34641351202157</v>
      </c>
      <c r="N230" s="449" t="n">
        <f aca="false">DEGREES(Beta)</f>
        <v>77.1438117182229</v>
      </c>
      <c r="O230" s="438"/>
      <c r="P230" s="452" t="n">
        <f aca="false">MATCH(t-pas/2-T_ini,CdP_t)</f>
        <v>6</v>
      </c>
      <c r="Q230" s="449" t="n">
        <f aca="false">(INDEX(CdP,2,i_P+1)-INDEX(CdP,2,i_P+0))/(INDEX(CdP,1,i_P+1)-INDEX(CdP,1,i_P+0))*(t-pas/2-T_ini-INDEX(CdP,1,i_P+0))+INDEX(CdP,2,i_P+0)</f>
        <v>548.770000000001</v>
      </c>
      <c r="R230" s="450" t="n">
        <f aca="false">Poussee/(g*ISP)</f>
        <v>0.275402094861468</v>
      </c>
      <c r="S230" s="451" t="n">
        <f aca="false">S229-Débit*pas</f>
        <v>8.88443079640687</v>
      </c>
      <c r="T230" s="449" t="n">
        <f aca="false">m*g</f>
        <v>87.1562661127514</v>
      </c>
      <c r="U230" s="453" t="n">
        <f aca="false">IF(pos_xz&lt;L_rampe,Poids*COS(Beta),0)</f>
        <v>0</v>
      </c>
      <c r="V230" s="450" t="n">
        <f aca="false">Rho_moyen*(20000-Alt_rampe-pos_z)/(20000+Alt_rampe+pos_z)</f>
        <v>1.20400642451712</v>
      </c>
      <c r="W230" s="449" t="n">
        <f aca="false">1/2*Rho*Sref*Cx*vit_xz^2</f>
        <v>56.2300200363963</v>
      </c>
      <c r="X230" s="438"/>
      <c r="Y230" s="454" t="str">
        <f aca="false">IF(AND(pos_z&lt;=0,K229&gt;0),"Impact balistique","") &amp; IF(AND(H231&lt;0,vit_z&gt;=0),"Apogée","") &amp; IF(AND(Poussee=0,Q229&gt;0),"Fin de propulsion","") &amp; IF(AND(L231&gt;L_rampe,pos_xz&lt;=L_rampe),"Sortie de rampe","")</f>
        <v/>
      </c>
      <c r="Z230" s="455" t="str">
        <f aca="false">IF(ABS(t-T_para)&lt;pas/2,"Para","")</f>
        <v/>
      </c>
      <c r="AA230" s="456" t="str">
        <f aca="false">IF(ABS(t-T_satellite)&lt;pas/2,"Satellite","")</f>
        <v/>
      </c>
      <c r="AB230" s="444"/>
      <c r="AC230" s="452" t="e">
        <f aca="false">IF(ABS(t-ROUND(t,0))&lt;0.001,t,NA())</f>
        <v>#N/A</v>
      </c>
      <c r="AD230" s="457" t="e">
        <f aca="false">IF(ABS(t-ROUND(t,0))&lt;0.001,pos_x,NA())</f>
        <v>#N/A</v>
      </c>
      <c r="AE230" s="458" t="n">
        <f aca="false">IF(t&lt;T_para, pos_z, NA())</f>
        <v>172.857307176971</v>
      </c>
      <c r="AF230" s="444"/>
      <c r="AG230" s="450" t="n">
        <f aca="false">IF(AND(L229&lt;L_rampe,Poussee&lt;Poids*SIN(M229)),0,(-W229+Poussee)/m-Poids*SIN(M229)/m)</f>
        <v>45.9132948413849</v>
      </c>
      <c r="AH230" s="449" t="n">
        <f aca="false">IF(AND(L229&lt;L_rampe,Poussee&lt;Poids*SIN(M229)), g*SIN(M229), (-W229+Poussee)/m)</f>
        <v>55.4777024513373</v>
      </c>
    </row>
    <row r="231" customFormat="false" ht="12" hidden="false" customHeight="false" outlineLevel="0" collapsed="false">
      <c r="A231" s="448" t="n">
        <f aca="false">IF(B230+0.01&lt;=T_ini+ROUNDUP(Temps_fin_propu,0), 0.01, IF(K230&gt;0, 0.1, 0.0001))</f>
        <v>0.01</v>
      </c>
      <c r="B231" s="449" t="n">
        <f aca="false">B230+pas</f>
        <v>2.27</v>
      </c>
      <c r="C231" s="432"/>
      <c r="D231" s="450" t="n">
        <f aca="false">IF(AND(L230&lt;L_rampe,Poussee&lt;Poids*SIN(M230)),0,(-W230+Poussee)/m*COS(M230)-U230/m*SIN(M230))</f>
        <v>12.3025766299706</v>
      </c>
      <c r="E231" s="451" t="n">
        <f aca="false">IF(AND(L230&lt;L_rampe,Poussee&lt;Poids*SIN(M230)),0,(-W230+Poussee)/m*SIN(M230)+U230/m*COS(M230)-Poids/m)</f>
        <v>44.0952497894978</v>
      </c>
      <c r="F231" s="449" t="n">
        <f aca="false">SQRT(acc_x^2+acc_z^2)</f>
        <v>45.7793014989799</v>
      </c>
      <c r="G231" s="450" t="n">
        <f aca="false">G230+acc_x*pas</f>
        <v>32.3701336321223</v>
      </c>
      <c r="H231" s="451" t="n">
        <f aca="false">H230+acc_z*pas</f>
        <v>141.735614321935</v>
      </c>
      <c r="I231" s="449" t="n">
        <f aca="false">SQRT(vit_x^2+vit_z^2)</f>
        <v>145.385040215897</v>
      </c>
      <c r="J231" s="450" t="n">
        <f aca="false">J230+0.5*(vit_x+G230)*pas*(K230&gt;=0)</f>
        <v>37.0661787790092</v>
      </c>
      <c r="K231" s="451" t="n">
        <f aca="false">K230+0.5*(vit_z+H230)*pas</f>
        <v>174.272458557701</v>
      </c>
      <c r="L231" s="449" t="n">
        <f aca="false">SQRT(pos_x^2+pos_z^2)</f>
        <v>178.170680587528</v>
      </c>
      <c r="M231" s="450" t="n">
        <f aca="false">IF(AND(L230&gt;L_rampe,G231&gt;0),ATAN2(G231,H231),$M$4)</f>
        <v>1.34626337477051</v>
      </c>
      <c r="N231" s="449" t="n">
        <f aca="false">DEGREES(Beta)</f>
        <v>77.135209487389</v>
      </c>
      <c r="O231" s="438"/>
      <c r="P231" s="452" t="n">
        <f aca="false">MATCH(t-pas/2-T_ini,CdP_t)</f>
        <v>6</v>
      </c>
      <c r="Q231" s="449" t="n">
        <f aca="false">(INDEX(CdP,2,i_P+1)-INDEX(CdP,2,i_P+0))/(INDEX(CdP,1,i_P+1)-INDEX(CdP,1,i_P+0))*(t-pas/2-T_ini-INDEX(CdP,1,i_P+0))+INDEX(CdP,2,i_P+0)</f>
        <v>547.310000000001</v>
      </c>
      <c r="R231" s="450" t="n">
        <f aca="false">Poussee/(g*ISP)</f>
        <v>0.27466938888538</v>
      </c>
      <c r="S231" s="451" t="n">
        <f aca="false">S230-Débit*pas</f>
        <v>8.88168410251801</v>
      </c>
      <c r="T231" s="449" t="n">
        <f aca="false">m*g</f>
        <v>87.1293210457017</v>
      </c>
      <c r="U231" s="453" t="n">
        <f aca="false">IF(pos_xz&lt;L_rampe,Poids*COS(Beta),0)</f>
        <v>0</v>
      </c>
      <c r="V231" s="450" t="n">
        <f aca="false">Rho_moyen*(20000-Alt_rampe-pos_z)/(20000+Alt_rampe+pos_z)</f>
        <v>1.20383603860593</v>
      </c>
      <c r="W231" s="449" t="n">
        <f aca="false">1/2*Rho*Sref*Cx*vit_xz^2</f>
        <v>56.5774043722271</v>
      </c>
      <c r="X231" s="438"/>
      <c r="Y231" s="454" t="str">
        <f aca="false">IF(AND(pos_z&lt;=0,K230&gt;0),"Impact balistique","") &amp; IF(AND(H232&lt;0,vit_z&gt;=0),"Apogée","") &amp; IF(AND(Poussee=0,Q230&gt;0),"Fin de propulsion","") &amp; IF(AND(L232&gt;L_rampe,pos_xz&lt;=L_rampe),"Sortie de rampe","")</f>
        <v/>
      </c>
      <c r="Z231" s="455" t="str">
        <f aca="false">IF(ABS(t-T_para)&lt;pas/2,"Para","")</f>
        <v/>
      </c>
      <c r="AA231" s="456" t="str">
        <f aca="false">IF(ABS(t-T_satellite)&lt;pas/2,"Satellite","")</f>
        <v/>
      </c>
      <c r="AB231" s="444"/>
      <c r="AC231" s="452" t="e">
        <f aca="false">IF(ABS(t-ROUND(t,0))&lt;0.001,t,NA())</f>
        <v>#N/A</v>
      </c>
      <c r="AD231" s="457" t="e">
        <f aca="false">IF(ABS(t-ROUND(t,0))&lt;0.001,pos_x,NA())</f>
        <v>#N/A</v>
      </c>
      <c r="AE231" s="458" t="n">
        <f aca="false">IF(t&lt;T_para, pos_z, NA())</f>
        <v>174.272458557701</v>
      </c>
      <c r="AF231" s="444"/>
      <c r="AG231" s="450" t="n">
        <f aca="false">IF(AND(L230&lt;L_rampe,Poussee&lt;Poids*SIN(M230)),0,(-W230+Poussee)/m-Poids*SIN(M230)/m)</f>
        <v>45.7272342965079</v>
      </c>
      <c r="AH231" s="449" t="n">
        <f aca="false">IF(AND(L230&lt;L_rampe,Poussee&lt;Poids*SIN(M230)), g*SIN(M230), (-W230+Poussee)/m)</f>
        <v>55.2913134823586</v>
      </c>
    </row>
    <row r="232" customFormat="false" ht="12" hidden="false" customHeight="false" outlineLevel="0" collapsed="false">
      <c r="A232" s="448" t="n">
        <f aca="false">IF(B231+0.01&lt;=T_ini+ROUNDUP(Temps_fin_propu,0), 0.01, IF(K231&gt;0, 0.1, 0.0001))</f>
        <v>0.01</v>
      </c>
      <c r="B232" s="449" t="n">
        <f aca="false">B231+pas</f>
        <v>2.28</v>
      </c>
      <c r="C232" s="432"/>
      <c r="D232" s="450" t="n">
        <f aca="false">IF(AND(L231&lt;L_rampe,Poussee&lt;Poids*SIN(M231)),0,(-W231+Poussee)/m*COS(M231)-U231/m*SIN(M231))</f>
        <v>12.2691453055468</v>
      </c>
      <c r="E232" s="451" t="n">
        <f aca="false">IF(AND(L231&lt;L_rampe,Poussee&lt;Poids*SIN(M231)),0,(-W231+Poussee)/m*SIN(M231)+U231/m*COS(M231)-Poids/m)</f>
        <v>43.9115838170378</v>
      </c>
      <c r="F232" s="449" t="n">
        <f aca="false">SQRT(acc_x^2+acc_z^2)</f>
        <v>45.5934109258054</v>
      </c>
      <c r="G232" s="450" t="n">
        <f aca="false">G231+acc_x*pas</f>
        <v>32.4928250851777</v>
      </c>
      <c r="H232" s="451" t="n">
        <f aca="false">H231+acc_z*pas</f>
        <v>142.174730160106</v>
      </c>
      <c r="I232" s="449" t="n">
        <f aca="false">SQRT(vit_x^2+vit_z^2)</f>
        <v>145.840452475007</v>
      </c>
      <c r="J232" s="450" t="n">
        <f aca="false">J231+0.5*(vit_x+G231)*pas*(K231&gt;=0)</f>
        <v>37.3904935725957</v>
      </c>
      <c r="K232" s="451" t="n">
        <f aca="false">K231+0.5*(vit_z+H231)*pas</f>
        <v>175.692010280111</v>
      </c>
      <c r="L232" s="449" t="n">
        <f aca="false">SQRT(pos_x^2+pos_z^2)</f>
        <v>179.626644699134</v>
      </c>
      <c r="M232" s="450" t="n">
        <f aca="false">IF(AND(L231&gt;L_rampe,G232&gt;0),ATAN2(G232,H232),$M$4)</f>
        <v>1.3461136078923</v>
      </c>
      <c r="N232" s="449" t="n">
        <f aca="false">DEGREES(Beta)</f>
        <v>77.1266284773569</v>
      </c>
      <c r="O232" s="438"/>
      <c r="P232" s="452" t="n">
        <f aca="false">MATCH(t-pas/2-T_ini,CdP_t)</f>
        <v>6</v>
      </c>
      <c r="Q232" s="449" t="n">
        <f aca="false">(INDEX(CdP,2,i_P+1)-INDEX(CdP,2,i_P+0))/(INDEX(CdP,1,i_P+1)-INDEX(CdP,1,i_P+0))*(t-pas/2-T_ini-INDEX(CdP,1,i_P+0))+INDEX(CdP,2,i_P+0)</f>
        <v>545.850000000001</v>
      </c>
      <c r="R232" s="450" t="n">
        <f aca="false">Poussee/(g*ISP)</f>
        <v>0.273936682909293</v>
      </c>
      <c r="S232" s="451" t="n">
        <f aca="false">S231-Débit*pas</f>
        <v>8.87894473568892</v>
      </c>
      <c r="T232" s="449" t="n">
        <f aca="false">m*g</f>
        <v>87.1024478571083</v>
      </c>
      <c r="U232" s="453" t="n">
        <f aca="false">IF(pos_xz&lt;L_rampe,Poids*COS(Beta),0)</f>
        <v>0</v>
      </c>
      <c r="V232" s="450" t="n">
        <f aca="false">Rho_moyen*(20000-Alt_rampe-pos_z)/(20000+Alt_rampe+pos_z)</f>
        <v>1.20366514690218</v>
      </c>
      <c r="W232" s="449" t="n">
        <f aca="false">1/2*Rho*Sref*Cx*vit_xz^2</f>
        <v>56.9243301035447</v>
      </c>
      <c r="X232" s="438"/>
      <c r="Y232" s="454" t="str">
        <f aca="false">IF(AND(pos_z&lt;=0,K231&gt;0),"Impact balistique","") &amp; IF(AND(H233&lt;0,vit_z&gt;=0),"Apogée","") &amp; IF(AND(Poussee=0,Q231&gt;0),"Fin de propulsion","") &amp; IF(AND(L233&gt;L_rampe,pos_xz&lt;=L_rampe),"Sortie de rampe","")</f>
        <v/>
      </c>
      <c r="Z232" s="455" t="str">
        <f aca="false">IF(ABS(t-T_para)&lt;pas/2,"Para","")</f>
        <v/>
      </c>
      <c r="AA232" s="456" t="str">
        <f aca="false">IF(ABS(t-T_satellite)&lt;pas/2,"Satellite","")</f>
        <v/>
      </c>
      <c r="AB232" s="444"/>
      <c r="AC232" s="452" t="e">
        <f aca="false">IF(ABS(t-ROUND(t,0))&lt;0.001,t,NA())</f>
        <v>#N/A</v>
      </c>
      <c r="AD232" s="457" t="e">
        <f aca="false">IF(ABS(t-ROUND(t,0))&lt;0.001,pos_x,NA())</f>
        <v>#N/A</v>
      </c>
      <c r="AE232" s="458" t="n">
        <f aca="false">IF(t&lt;T_para, pos_z, NA())</f>
        <v>175.692010280111</v>
      </c>
      <c r="AF232" s="444"/>
      <c r="AG232" s="450" t="n">
        <f aca="false">IF(AND(L231&lt;L_rampe,Poussee&lt;Poids*SIN(M231)),0,(-W231+Poussee)/m-Poids*SIN(M231)/m)</f>
        <v>45.5410623501381</v>
      </c>
      <c r="AH232" s="449" t="n">
        <f aca="false">IF(AND(L231&lt;L_rampe,Poussee&lt;Poids*SIN(M231)), g*SIN(M231), (-W231+Poussee)/m)</f>
        <v>55.1048137129565</v>
      </c>
    </row>
    <row r="233" customFormat="false" ht="12" hidden="false" customHeight="false" outlineLevel="0" collapsed="false">
      <c r="A233" s="448" t="n">
        <f aca="false">IF(B232+0.01&lt;=T_ini+ROUNDUP(Temps_fin_propu,0), 0.01, IF(K232&gt;0, 0.1, 0.0001))</f>
        <v>0.01</v>
      </c>
      <c r="B233" s="449" t="n">
        <f aca="false">B232+pas</f>
        <v>2.29</v>
      </c>
      <c r="C233" s="432"/>
      <c r="D233" s="450" t="n">
        <f aca="false">IF(AND(L232&lt;L_rampe,Poussee&lt;Poids*SIN(M232)),0,(-W232+Poussee)/m*COS(M232)-U232/m*SIN(M232))</f>
        <v>12.2356150439674</v>
      </c>
      <c r="E233" s="451" t="n">
        <f aca="false">IF(AND(L232&lt;L_rampe,Poussee&lt;Poids*SIN(M232)),0,(-W232+Poussee)/m*SIN(M232)+U232/m*COS(M232)-Poids/m)</f>
        <v>43.7278275868217</v>
      </c>
      <c r="F233" s="449" t="n">
        <f aca="false">SQRT(acc_x^2+acc_z^2)</f>
        <v>45.4074132820509</v>
      </c>
      <c r="G233" s="450" t="n">
        <f aca="false">G232+acc_x*pas</f>
        <v>32.6151812356174</v>
      </c>
      <c r="H233" s="451" t="n">
        <f aca="false">H232+acc_z*pas</f>
        <v>142.612008435974</v>
      </c>
      <c r="I233" s="449" t="n">
        <f aca="false">SQRT(vit_x^2+vit_z^2)</f>
        <v>146.294001917968</v>
      </c>
      <c r="J233" s="450" t="n">
        <f aca="false">J232+0.5*(vit_x+G232)*pas*(K232&gt;=0)</f>
        <v>37.7160336041997</v>
      </c>
      <c r="K233" s="451" t="n">
        <f aca="false">K232+0.5*(vit_z+H232)*pas</f>
        <v>177.115943973092</v>
      </c>
      <c r="L233" s="449" t="n">
        <f aca="false">SQRT(pos_x^2+pos_z^2)</f>
        <v>181.087152499321</v>
      </c>
      <c r="M233" s="450" t="n">
        <f aca="false">IF(AND(L232&gt;L_rampe,G233&gt;0),ATAN2(G233,H233),$M$4)</f>
        <v>1.34596420742418</v>
      </c>
      <c r="N233" s="449" t="n">
        <f aca="false">DEGREES(Beta)</f>
        <v>77.1180684610762</v>
      </c>
      <c r="O233" s="438"/>
      <c r="P233" s="452" t="n">
        <f aca="false">MATCH(t-pas/2-T_ini,CdP_t)</f>
        <v>6</v>
      </c>
      <c r="Q233" s="449" t="n">
        <f aca="false">(INDEX(CdP,2,i_P+1)-INDEX(CdP,2,i_P+0))/(INDEX(CdP,1,i_P+1)-INDEX(CdP,1,i_P+0))*(t-pas/2-T_ini-INDEX(CdP,1,i_P+0))+INDEX(CdP,2,i_P+0)</f>
        <v>544.390000000001</v>
      </c>
      <c r="R233" s="450" t="n">
        <f aca="false">Poussee/(g*ISP)</f>
        <v>0.273203976933205</v>
      </c>
      <c r="S233" s="451" t="n">
        <f aca="false">S232-Débit*pas</f>
        <v>8.87621269591959</v>
      </c>
      <c r="T233" s="449" t="n">
        <f aca="false">m*g</f>
        <v>87.0756465469712</v>
      </c>
      <c r="U233" s="453" t="n">
        <f aca="false">IF(pos_xz&lt;L_rampe,Poids*COS(Beta),0)</f>
        <v>0</v>
      </c>
      <c r="V233" s="450" t="n">
        <f aca="false">Rho_moyen*(20000-Alt_rampe-pos_z)/(20000+Alt_rampe+pos_z)</f>
        <v>1.20349375183554</v>
      </c>
      <c r="W233" s="449" t="n">
        <f aca="false">1/2*Rho*Sref*Cx*vit_xz^2</f>
        <v>57.2707825715595</v>
      </c>
      <c r="X233" s="438"/>
      <c r="Y233" s="454" t="str">
        <f aca="false">IF(AND(pos_z&lt;=0,K232&gt;0),"Impact balistique","") &amp; IF(AND(H234&lt;0,vit_z&gt;=0),"Apogée","") &amp; IF(AND(Poussee=0,Q232&gt;0),"Fin de propulsion","") &amp; IF(AND(L234&gt;L_rampe,pos_xz&lt;=L_rampe),"Sortie de rampe","")</f>
        <v/>
      </c>
      <c r="Z233" s="455" t="str">
        <f aca="false">IF(ABS(t-T_para)&lt;pas/2,"Para","")</f>
        <v/>
      </c>
      <c r="AA233" s="456" t="str">
        <f aca="false">IF(ABS(t-T_satellite)&lt;pas/2,"Satellite","")</f>
        <v/>
      </c>
      <c r="AB233" s="444"/>
      <c r="AC233" s="452" t="e">
        <f aca="false">IF(ABS(t-ROUND(t,0))&lt;0.001,t,NA())</f>
        <v>#N/A</v>
      </c>
      <c r="AD233" s="457" t="e">
        <f aca="false">IF(ABS(t-ROUND(t,0))&lt;0.001,pos_x,NA())</f>
        <v>#N/A</v>
      </c>
      <c r="AE233" s="458" t="n">
        <f aca="false">IF(t&lt;T_para, pos_z, NA())</f>
        <v>177.115943973092</v>
      </c>
      <c r="AF233" s="444"/>
      <c r="AG233" s="450" t="n">
        <f aca="false">IF(AND(L232&lt;L_rampe,Poussee&lt;Poids*SIN(M232)),0,(-W232+Poussee)/m-Poids*SIN(M232)/m)</f>
        <v>45.3547810283347</v>
      </c>
      <c r="AH233" s="449" t="n">
        <f aca="false">IF(AND(L232&lt;L_rampe,Poussee&lt;Poids*SIN(M232)), g*SIN(M232), (-W232+Poussee)/m)</f>
        <v>54.9182051620445</v>
      </c>
    </row>
    <row r="234" customFormat="false" ht="12" hidden="false" customHeight="false" outlineLevel="0" collapsed="false">
      <c r="A234" s="448" t="n">
        <f aca="false">IF(B233+0.01&lt;=T_ini+ROUNDUP(Temps_fin_propu,0), 0.01, IF(K233&gt;0, 0.1, 0.0001))</f>
        <v>0.01</v>
      </c>
      <c r="B234" s="449" t="n">
        <f aca="false">B233+pas</f>
        <v>2.3</v>
      </c>
      <c r="C234" s="432"/>
      <c r="D234" s="450" t="n">
        <f aca="false">IF(AND(L233&lt;L_rampe,Poussee&lt;Poids*SIN(M233)),0,(-W233+Poussee)/m*COS(M233)-U233/m*SIN(M233))</f>
        <v>12.2019866647591</v>
      </c>
      <c r="E234" s="451" t="n">
        <f aca="false">IF(AND(L233&lt;L_rampe,Poussee&lt;Poids*SIN(M233)),0,(-W233+Poussee)/m*SIN(M233)+U233/m*COS(M233)-Poids/m)</f>
        <v>43.5439829994855</v>
      </c>
      <c r="F234" s="449" t="n">
        <f aca="false">SQRT(acc_x^2+acc_z^2)</f>
        <v>45.2213106181858</v>
      </c>
      <c r="G234" s="450" t="n">
        <f aca="false">G233+acc_x*pas</f>
        <v>32.737201102265</v>
      </c>
      <c r="H234" s="451" t="n">
        <f aca="false">H233+acc_z*pas</f>
        <v>143.047448265969</v>
      </c>
      <c r="I234" s="449" t="n">
        <f aca="false">SQRT(vit_x^2+vit_z^2)</f>
        <v>146.745687471268</v>
      </c>
      <c r="J234" s="450" t="n">
        <f aca="false">J233+0.5*(vit_x+G233)*pas*(K233&gt;=0)</f>
        <v>38.0427955158891</v>
      </c>
      <c r="K234" s="451" t="n">
        <f aca="false">K233+0.5*(vit_z+H233)*pas</f>
        <v>178.544241256601</v>
      </c>
      <c r="L234" s="449" t="n">
        <f aca="false">SQRT(pos_x^2+pos_z^2)</f>
        <v>182.552185351365</v>
      </c>
      <c r="M234" s="450" t="n">
        <f aca="false">IF(AND(L233&gt;L_rampe,G234&gt;0),ATAN2(G234,H234),$M$4)</f>
        <v>1.34581516945037</v>
      </c>
      <c r="N234" s="449" t="n">
        <f aca="false">DEGREES(Beta)</f>
        <v>77.1095292141897</v>
      </c>
      <c r="O234" s="438"/>
      <c r="P234" s="452" t="n">
        <f aca="false">MATCH(t-pas/2-T_ini,CdP_t)</f>
        <v>6</v>
      </c>
      <c r="Q234" s="449" t="n">
        <f aca="false">(INDEX(CdP,2,i_P+1)-INDEX(CdP,2,i_P+0))/(INDEX(CdP,1,i_P+1)-INDEX(CdP,1,i_P+0))*(t-pas/2-T_ini-INDEX(CdP,1,i_P+0))+INDEX(CdP,2,i_P+0)</f>
        <v>542.930000000001</v>
      </c>
      <c r="R234" s="450" t="n">
        <f aca="false">Poussee/(g*ISP)</f>
        <v>0.272471270957117</v>
      </c>
      <c r="S234" s="451" t="n">
        <f aca="false">S233-Débit*pas</f>
        <v>8.87348798321002</v>
      </c>
      <c r="T234" s="449" t="n">
        <f aca="false">m*g</f>
        <v>87.0489171152903</v>
      </c>
      <c r="U234" s="453" t="n">
        <f aca="false">IF(pos_xz&lt;L_rampe,Poids*COS(Beta),0)</f>
        <v>0</v>
      </c>
      <c r="V234" s="450" t="n">
        <f aca="false">Rho_moyen*(20000-Alt_rampe-pos_z)/(20000+Alt_rampe+pos_z)</f>
        <v>1.20332185583615</v>
      </c>
      <c r="W234" s="449" t="n">
        <f aca="false">1/2*Rho*Sref*Cx*vit_xz^2</f>
        <v>57.6167471904077</v>
      </c>
      <c r="X234" s="438"/>
      <c r="Y234" s="454" t="str">
        <f aca="false">IF(AND(pos_z&lt;=0,K233&gt;0),"Impact balistique","") &amp; IF(AND(H235&lt;0,vit_z&gt;=0),"Apogée","") &amp; IF(AND(Poussee=0,Q233&gt;0),"Fin de propulsion","") &amp; IF(AND(L235&gt;L_rampe,pos_xz&lt;=L_rampe),"Sortie de rampe","")</f>
        <v/>
      </c>
      <c r="Z234" s="455" t="str">
        <f aca="false">IF(ABS(t-T_para)&lt;pas/2,"Para","")</f>
        <v/>
      </c>
      <c r="AA234" s="456" t="str">
        <f aca="false">IF(ABS(t-T_satellite)&lt;pas/2,"Satellite","")</f>
        <v/>
      </c>
      <c r="AB234" s="444"/>
      <c r="AC234" s="452" t="e">
        <f aca="false">IF(ABS(t-ROUND(t,0))&lt;0.001,t,NA())</f>
        <v>#N/A</v>
      </c>
      <c r="AD234" s="457" t="e">
        <f aca="false">IF(ABS(t-ROUND(t,0))&lt;0.001,pos_x,NA())</f>
        <v>#N/A</v>
      </c>
      <c r="AE234" s="458" t="n">
        <f aca="false">IF(t&lt;T_para, pos_z, NA())</f>
        <v>178.544241256601</v>
      </c>
      <c r="AF234" s="444"/>
      <c r="AG234" s="450" t="n">
        <f aca="false">IF(AND(L233&lt;L_rampe,Poussee&lt;Poids*SIN(M233)),0,(-W233+Poussee)/m-Poids*SIN(M233)/m)</f>
        <v>45.1683923519263</v>
      </c>
      <c r="AH234" s="449" t="n">
        <f aca="false">IF(AND(L233&lt;L_rampe,Poussee&lt;Poids*SIN(M233)), g*SIN(M233), (-W233+Poussee)/m)</f>
        <v>54.7314898433831</v>
      </c>
    </row>
    <row r="235" customFormat="false" ht="12" hidden="false" customHeight="false" outlineLevel="0" collapsed="false">
      <c r="A235" s="448" t="n">
        <f aca="false">IF(B234+0.01&lt;=T_ini+ROUNDUP(Temps_fin_propu,0), 0.01, IF(K234&gt;0, 0.1, 0.0001))</f>
        <v>0.01</v>
      </c>
      <c r="B235" s="449" t="n">
        <f aca="false">B234+pas</f>
        <v>2.30999999999999</v>
      </c>
      <c r="C235" s="432"/>
      <c r="D235" s="450" t="n">
        <f aca="false">IF(AND(L234&lt;L_rampe,Poussee&lt;Poids*SIN(M234)),0,(-W234+Poussee)/m*COS(M234)-U234/m*SIN(M234))</f>
        <v>12.1682609822522</v>
      </c>
      <c r="E235" s="451" t="n">
        <f aca="false">IF(AND(L234&lt;L_rampe,Poussee&lt;Poids*SIN(M234)),0,(-W234+Poussee)/m*SIN(M234)+U234/m*COS(M234)-Poids/m)</f>
        <v>43.3600519512373</v>
      </c>
      <c r="F235" s="449" t="n">
        <f aca="false">SQRT(acc_x^2+acc_z^2)</f>
        <v>45.035104979851</v>
      </c>
      <c r="G235" s="450" t="n">
        <f aca="false">G234+acc_x*pas</f>
        <v>32.8588837120875</v>
      </c>
      <c r="H235" s="451" t="n">
        <f aca="false">H234+acc_z*pas</f>
        <v>143.481048785481</v>
      </c>
      <c r="I235" s="449" t="n">
        <f aca="false">SQRT(vit_x^2+vit_z^2)</f>
        <v>147.195508081552</v>
      </c>
      <c r="J235" s="450" t="n">
        <f aca="false">J234+0.5*(vit_x+G234)*pas*(K234&gt;=0)</f>
        <v>38.3707759399609</v>
      </c>
      <c r="K235" s="451" t="n">
        <f aca="false">K234+0.5*(vit_z+H234)*pas</f>
        <v>179.976883741859</v>
      </c>
      <c r="L235" s="449" t="n">
        <f aca="false">SQRT(pos_x^2+pos_z^2)</f>
        <v>184.021724607898</v>
      </c>
      <c r="M235" s="450" t="n">
        <f aca="false">IF(AND(L234&gt;L_rampe,G235&gt;0),ATAN2(G235,H235),$M$4)</f>
        <v>1.34566649010128</v>
      </c>
      <c r="N235" s="449" t="n">
        <f aca="false">DEGREES(Beta)</f>
        <v>77.1010105149865</v>
      </c>
      <c r="O235" s="438"/>
      <c r="P235" s="452" t="n">
        <f aca="false">MATCH(t-pas/2-T_ini,CdP_t)</f>
        <v>6</v>
      </c>
      <c r="Q235" s="449" t="n">
        <f aca="false">(INDEX(CdP,2,i_P+1)-INDEX(CdP,2,i_P+0))/(INDEX(CdP,1,i_P+1)-INDEX(CdP,1,i_P+0))*(t-pas/2-T_ini-INDEX(CdP,1,i_P+0))+INDEX(CdP,2,i_P+0)</f>
        <v>541.470000000001</v>
      </c>
      <c r="R235" s="450" t="n">
        <f aca="false">Poussee/(g*ISP)</f>
        <v>0.271738564981029</v>
      </c>
      <c r="S235" s="451" t="n">
        <f aca="false">S234-Débit*pas</f>
        <v>8.87077059756021</v>
      </c>
      <c r="T235" s="449" t="n">
        <f aca="false">m*g</f>
        <v>87.0222595620656</v>
      </c>
      <c r="U235" s="453" t="n">
        <f aca="false">IF(pos_xz&lt;L_rampe,Poids*COS(Beta),0)</f>
        <v>0</v>
      </c>
      <c r="V235" s="450" t="n">
        <f aca="false">Rho_moyen*(20000-Alt_rampe-pos_z)/(20000+Alt_rampe+pos_z)</f>
        <v>1.20314946133448</v>
      </c>
      <c r="W235" s="449" t="n">
        <f aca="false">1/2*Rho*Sref*Cx*vit_xz^2</f>
        <v>57.9622094474701</v>
      </c>
      <c r="X235" s="438"/>
      <c r="Y235" s="454" t="str">
        <f aca="false">IF(AND(pos_z&lt;=0,K234&gt;0),"Impact balistique","") &amp; IF(AND(H236&lt;0,vit_z&gt;=0),"Apogée","") &amp; IF(AND(Poussee=0,Q234&gt;0),"Fin de propulsion","") &amp; IF(AND(L236&gt;L_rampe,pos_xz&lt;=L_rampe),"Sortie de rampe","")</f>
        <v/>
      </c>
      <c r="Z235" s="455" t="str">
        <f aca="false">IF(ABS(t-T_para)&lt;pas/2,"Para","")</f>
        <v/>
      </c>
      <c r="AA235" s="456" t="str">
        <f aca="false">IF(ABS(t-T_satellite)&lt;pas/2,"Satellite","")</f>
        <v/>
      </c>
      <c r="AB235" s="444"/>
      <c r="AC235" s="452" t="e">
        <f aca="false">IF(ABS(t-ROUND(t,0))&lt;0.001,t,NA())</f>
        <v>#N/A</v>
      </c>
      <c r="AD235" s="457" t="e">
        <f aca="false">IF(ABS(t-ROUND(t,0))&lt;0.001,pos_x,NA())</f>
        <v>#N/A</v>
      </c>
      <c r="AE235" s="458" t="n">
        <f aca="false">IF(t&lt;T_para, pos_z, NA())</f>
        <v>179.976883741859</v>
      </c>
      <c r="AF235" s="444"/>
      <c r="AG235" s="450" t="n">
        <f aca="false">IF(AND(L234&lt;L_rampe,Poussee&lt;Poids*SIN(M234)),0,(-W234+Poussee)/m-Poids*SIN(M234)/m)</f>
        <v>44.9818983364508</v>
      </c>
      <c r="AH235" s="449" t="n">
        <f aca="false">IF(AND(L234&lt;L_rampe,Poussee&lt;Poids*SIN(M234)), g*SIN(M234), (-W234+Poussee)/m)</f>
        <v>54.5446697655185</v>
      </c>
    </row>
    <row r="236" customFormat="false" ht="12" hidden="false" customHeight="false" outlineLevel="0" collapsed="false">
      <c r="A236" s="448" t="n">
        <f aca="false">IF(B235+0.01&lt;=T_ini+ROUNDUP(Temps_fin_propu,0), 0.01, IF(K235&gt;0, 0.1, 0.0001))</f>
        <v>0.01</v>
      </c>
      <c r="B236" s="449" t="n">
        <f aca="false">B235+pas</f>
        <v>2.31999999999999</v>
      </c>
      <c r="C236" s="432"/>
      <c r="D236" s="450" t="n">
        <f aca="false">IF(AND(L235&lt;L_rampe,Poussee&lt;Poids*SIN(M235)),0,(-W235+Poussee)/m*COS(M235)-U235/m*SIN(M235))</f>
        <v>12.1344388056391</v>
      </c>
      <c r="E236" s="451" t="n">
        <f aca="false">IF(AND(L235&lt;L_rampe,Poussee&lt;Poids*SIN(M235)),0,(-W235+Poussee)/m*SIN(M235)+U235/m*COS(M235)-Poids/m)</f>
        <v>43.1760363337865</v>
      </c>
      <c r="F236" s="449" t="n">
        <f aca="false">SQRT(acc_x^2+acc_z^2)</f>
        <v>44.8487984078085</v>
      </c>
      <c r="G236" s="450" t="n">
        <f aca="false">G235+acc_x*pas</f>
        <v>32.9802281001439</v>
      </c>
      <c r="H236" s="451" t="n">
        <f aca="false">H235+acc_z*pas</f>
        <v>143.912809148819</v>
      </c>
      <c r="I236" s="449" t="n">
        <f aca="false">SQRT(vit_x^2+vit_z^2)</f>
        <v>147.643462715563</v>
      </c>
      <c r="J236" s="450" t="n">
        <f aca="false">J235+0.5*(vit_x+G235)*pas*(K235&gt;=0)</f>
        <v>38.699971499022</v>
      </c>
      <c r="K236" s="451" t="n">
        <f aca="false">K235+0.5*(vit_z+H235)*pas</f>
        <v>181.41385303153</v>
      </c>
      <c r="L236" s="449" t="n">
        <f aca="false">SQRT(pos_x^2+pos_z^2)</f>
        <v>185.49575161111</v>
      </c>
      <c r="M236" s="450" t="n">
        <f aca="false">IF(AND(L235&gt;L_rampe,G236&gt;0),ATAN2(G236,H236),$M$4)</f>
        <v>1.34551816555273</v>
      </c>
      <c r="N236" s="449" t="n">
        <f aca="false">DEGREES(Beta)</f>
        <v>77.0925121443564</v>
      </c>
      <c r="O236" s="438"/>
      <c r="P236" s="452" t="n">
        <f aca="false">MATCH(t-pas/2-T_ini,CdP_t)</f>
        <v>6</v>
      </c>
      <c r="Q236" s="449" t="n">
        <f aca="false">(INDEX(CdP,2,i_P+1)-INDEX(CdP,2,i_P+0))/(INDEX(CdP,1,i_P+1)-INDEX(CdP,1,i_P+0))*(t-pas/2-T_ini-INDEX(CdP,1,i_P+0))+INDEX(CdP,2,i_P+0)</f>
        <v>540.010000000001</v>
      </c>
      <c r="R236" s="450" t="n">
        <f aca="false">Poussee/(g*ISP)</f>
        <v>0.271005859004941</v>
      </c>
      <c r="S236" s="451" t="n">
        <f aca="false">S235-Débit*pas</f>
        <v>8.86806053897016</v>
      </c>
      <c r="T236" s="449" t="n">
        <f aca="false">m*g</f>
        <v>86.9956738872972</v>
      </c>
      <c r="U236" s="453" t="n">
        <f aca="false">IF(pos_xz&lt;L_rampe,Poids*COS(Beta),0)</f>
        <v>0</v>
      </c>
      <c r="V236" s="450" t="n">
        <f aca="false">Rho_moyen*(20000-Alt_rampe-pos_z)/(20000+Alt_rampe+pos_z)</f>
        <v>1.20297657076139</v>
      </c>
      <c r="W236" s="449" t="n">
        <f aca="false">1/2*Rho*Sref*Cx*vit_xz^2</f>
        <v>58.3071549036857</v>
      </c>
      <c r="X236" s="438"/>
      <c r="Y236" s="454" t="str">
        <f aca="false">IF(AND(pos_z&lt;=0,K235&gt;0),"Impact balistique","") &amp; IF(AND(H237&lt;0,vit_z&gt;=0),"Apogée","") &amp; IF(AND(Poussee=0,Q235&gt;0),"Fin de propulsion","") &amp; IF(AND(L237&gt;L_rampe,pos_xz&lt;=L_rampe),"Sortie de rampe","")</f>
        <v/>
      </c>
      <c r="Z236" s="455" t="str">
        <f aca="false">IF(ABS(t-T_para)&lt;pas/2,"Para","")</f>
        <v/>
      </c>
      <c r="AA236" s="456" t="str">
        <f aca="false">IF(ABS(t-T_satellite)&lt;pas/2,"Satellite","")</f>
        <v/>
      </c>
      <c r="AB236" s="444"/>
      <c r="AC236" s="452" t="e">
        <f aca="false">IF(ABS(t-ROUND(t,0))&lt;0.001,t,NA())</f>
        <v>#N/A</v>
      </c>
      <c r="AD236" s="457" t="e">
        <f aca="false">IF(ABS(t-ROUND(t,0))&lt;0.001,pos_x,NA())</f>
        <v>#N/A</v>
      </c>
      <c r="AE236" s="458" t="n">
        <f aca="false">IF(t&lt;T_para, pos_z, NA())</f>
        <v>181.41385303153</v>
      </c>
      <c r="AF236" s="444"/>
      <c r="AG236" s="450" t="n">
        <f aca="false">IF(AND(L235&lt;L_rampe,Poussee&lt;Poids*SIN(M235)),0,(-W235+Poussee)/m-Poids*SIN(M235)/m)</f>
        <v>44.7953009920964</v>
      </c>
      <c r="AH236" s="449" t="n">
        <f aca="false">IF(AND(L235&lt;L_rampe,Poussee&lt;Poids*SIN(M235)), g*SIN(M235), (-W235+Poussee)/m)</f>
        <v>54.3577469317221</v>
      </c>
    </row>
    <row r="237" customFormat="false" ht="12" hidden="false" customHeight="false" outlineLevel="0" collapsed="false">
      <c r="A237" s="448" t="n">
        <f aca="false">IF(B236+0.01&lt;=T_ini+ROUNDUP(Temps_fin_propu,0), 0.01, IF(K236&gt;0, 0.1, 0.0001))</f>
        <v>0.01</v>
      </c>
      <c r="B237" s="449" t="n">
        <f aca="false">B236+pas</f>
        <v>2.32999999999999</v>
      </c>
      <c r="C237" s="432"/>
      <c r="D237" s="450" t="n">
        <f aca="false">IF(AND(L236&lt;L_rampe,Poussee&lt;Poids*SIN(M236)),0,(-W236+Poussee)/m*COS(M236)-U236/m*SIN(M236))</f>
        <v>12.1005209390308</v>
      </c>
      <c r="E237" s="451" t="n">
        <f aca="false">IF(AND(L236&lt;L_rampe,Poussee&lt;Poids*SIN(M236)),0,(-W236+Poussee)/m*SIN(M236)+U236/m*COS(M236)-Poids/m)</f>
        <v>42.9919380342742</v>
      </c>
      <c r="F237" s="449" t="n">
        <f aca="false">SQRT(acc_x^2+acc_z^2)</f>
        <v>44.6623929378935</v>
      </c>
      <c r="G237" s="450" t="n">
        <f aca="false">G236+acc_x*pas</f>
        <v>33.1012333095342</v>
      </c>
      <c r="H237" s="451" t="n">
        <f aca="false">H236+acc_z*pas</f>
        <v>144.342728529162</v>
      </c>
      <c r="I237" s="449" t="n">
        <f aca="false">SQRT(vit_x^2+vit_z^2)</f>
        <v>148.089550360096</v>
      </c>
      <c r="J237" s="450" t="n">
        <f aca="false">J236+0.5*(vit_x+G236)*pas*(K236&gt;=0)</f>
        <v>39.0303788060704</v>
      </c>
      <c r="K237" s="451" t="n">
        <f aca="false">K236+0.5*(vit_z+H236)*pas</f>
        <v>182.85513071992</v>
      </c>
      <c r="L237" s="449" t="n">
        <f aca="false">SQRT(pos_x^2+pos_z^2)</f>
        <v>186.974247692949</v>
      </c>
      <c r="M237" s="450" t="n">
        <f aca="false">IF(AND(L236&gt;L_rampe,G237&gt;0),ATAN2(G237,H237),$M$4)</f>
        <v>1.34537019202514</v>
      </c>
      <c r="N237" s="449" t="n">
        <f aca="false">DEGREES(Beta)</f>
        <v>77.0840338857454</v>
      </c>
      <c r="O237" s="438"/>
      <c r="P237" s="452" t="n">
        <f aca="false">MATCH(t-pas/2-T_ini,CdP_t)</f>
        <v>6</v>
      </c>
      <c r="Q237" s="449" t="n">
        <f aca="false">(INDEX(CdP,2,i_P+1)-INDEX(CdP,2,i_P+0))/(INDEX(CdP,1,i_P+1)-INDEX(CdP,1,i_P+0))*(t-pas/2-T_ini-INDEX(CdP,1,i_P+0))+INDEX(CdP,2,i_P+0)</f>
        <v>538.550000000001</v>
      </c>
      <c r="R237" s="450" t="n">
        <f aca="false">Poussee/(g*ISP)</f>
        <v>0.270273153028853</v>
      </c>
      <c r="S237" s="451" t="n">
        <f aca="false">S236-Débit*pas</f>
        <v>8.86535780743987</v>
      </c>
      <c r="T237" s="449" t="n">
        <f aca="false">m*g</f>
        <v>86.9691600909851</v>
      </c>
      <c r="U237" s="453" t="n">
        <f aca="false">IF(pos_xz&lt;L_rampe,Poids*COS(Beta),0)</f>
        <v>0</v>
      </c>
      <c r="V237" s="450" t="n">
        <f aca="false">Rho_moyen*(20000-Alt_rampe-pos_z)/(20000+Alt_rampe+pos_z)</f>
        <v>1.20280318654808</v>
      </c>
      <c r="W237" s="449" t="n">
        <f aca="false">1/2*Rho*Sref*Cx*vit_xz^2</f>
        <v>58.6515691938601</v>
      </c>
      <c r="X237" s="438"/>
      <c r="Y237" s="454" t="str">
        <f aca="false">IF(AND(pos_z&lt;=0,K236&gt;0),"Impact balistique","") &amp; IF(AND(H238&lt;0,vit_z&gt;=0),"Apogée","") &amp; IF(AND(Poussee=0,Q236&gt;0),"Fin de propulsion","") &amp; IF(AND(L238&gt;L_rampe,pos_xz&lt;=L_rampe),"Sortie de rampe","")</f>
        <v/>
      </c>
      <c r="Z237" s="455" t="str">
        <f aca="false">IF(ABS(t-T_para)&lt;pas/2,"Para","")</f>
        <v/>
      </c>
      <c r="AA237" s="456" t="str">
        <f aca="false">IF(ABS(t-T_satellite)&lt;pas/2,"Satellite","")</f>
        <v/>
      </c>
      <c r="AB237" s="444"/>
      <c r="AC237" s="452" t="e">
        <f aca="false">IF(ABS(t-ROUND(t,0))&lt;0.001,t,NA())</f>
        <v>#N/A</v>
      </c>
      <c r="AD237" s="457" t="e">
        <f aca="false">IF(ABS(t-ROUND(t,0))&lt;0.001,pos_x,NA())</f>
        <v>#N/A</v>
      </c>
      <c r="AE237" s="458" t="n">
        <f aca="false">IF(t&lt;T_para, pos_z, NA())</f>
        <v>182.85513071992</v>
      </c>
      <c r="AF237" s="444"/>
      <c r="AG237" s="450" t="n">
        <f aca="false">IF(AND(L236&lt;L_rampe,Poussee&lt;Poids*SIN(M236)),0,(-W236+Poussee)/m-Poids*SIN(M236)/m)</f>
        <v>44.6086023236429</v>
      </c>
      <c r="AH237" s="449" t="n">
        <f aca="false">IF(AND(L236&lt;L_rampe,Poussee&lt;Poids*SIN(M236)), g*SIN(M236), (-W236+Poussee)/m)</f>
        <v>54.1707233399302</v>
      </c>
    </row>
    <row r="238" customFormat="false" ht="12" hidden="false" customHeight="false" outlineLevel="0" collapsed="false">
      <c r="A238" s="448" t="n">
        <f aca="false">IF(B237+0.01&lt;=T_ini+ROUNDUP(Temps_fin_propu,0), 0.01, IF(K237&gt;0, 0.1, 0.0001))</f>
        <v>0.01</v>
      </c>
      <c r="B238" s="449" t="n">
        <f aca="false">B237+pas</f>
        <v>2.33999999999999</v>
      </c>
      <c r="C238" s="432"/>
      <c r="D238" s="450" t="n">
        <f aca="false">IF(AND(L237&lt;L_rampe,Poussee&lt;Poids*SIN(M237)),0,(-W237+Poussee)/m*COS(M237)-U237/m*SIN(M237))</f>
        <v>12.0665081815128</v>
      </c>
      <c r="E238" s="451" t="n">
        <f aca="false">IF(AND(L237&lt;L_rampe,Poussee&lt;Poids*SIN(M237)),0,(-W237+Poussee)/m*SIN(M237)+U237/m*COS(M237)-Poids/m)</f>
        <v>42.8077589352039</v>
      </c>
      <c r="F238" s="449" t="n">
        <f aca="false">SQRT(acc_x^2+acc_z^2)</f>
        <v>44.4758906009654</v>
      </c>
      <c r="G238" s="450" t="n">
        <f aca="false">G237+acc_x*pas</f>
        <v>33.2218983913493</v>
      </c>
      <c r="H238" s="451" t="n">
        <f aca="false">H237+acc_z*pas</f>
        <v>144.770806118514</v>
      </c>
      <c r="I238" s="449" t="n">
        <f aca="false">SQRT(vit_x^2+vit_z^2)</f>
        <v>148.533770021936</v>
      </c>
      <c r="J238" s="450" t="n">
        <f aca="false">J237+0.5*(vit_x+G237)*pas*(K237&gt;=0)</f>
        <v>39.3619944645748</v>
      </c>
      <c r="K238" s="451" t="n">
        <f aca="false">K237+0.5*(vit_z+H237)*pas</f>
        <v>184.300698393158</v>
      </c>
      <c r="L238" s="449" t="n">
        <f aca="false">SQRT(pos_x^2+pos_z^2)</f>
        <v>188.457194175322</v>
      </c>
      <c r="M238" s="450" t="n">
        <f aca="false">IF(AND(L237&gt;L_rampe,G238&gt;0),ATAN2(G238,H238),$M$4)</f>
        <v>1.34522256578276</v>
      </c>
      <c r="N238" s="449" t="n">
        <f aca="false">DEGREES(Beta)</f>
        <v>77.0755755251118</v>
      </c>
      <c r="O238" s="438"/>
      <c r="P238" s="452" t="n">
        <f aca="false">MATCH(t-pas/2-T_ini,CdP_t)</f>
        <v>6</v>
      </c>
      <c r="Q238" s="449" t="n">
        <f aca="false">(INDEX(CdP,2,i_P+1)-INDEX(CdP,2,i_P+0))/(INDEX(CdP,1,i_P+1)-INDEX(CdP,1,i_P+0))*(t-pas/2-T_ini-INDEX(CdP,1,i_P+0))+INDEX(CdP,2,i_P+0)</f>
        <v>537.090000000001</v>
      </c>
      <c r="R238" s="450" t="n">
        <f aca="false">Poussee/(g*ISP)</f>
        <v>0.269540447052765</v>
      </c>
      <c r="S238" s="451" t="n">
        <f aca="false">S237-Débit*pas</f>
        <v>8.86266240296934</v>
      </c>
      <c r="T238" s="449" t="n">
        <f aca="false">m*g</f>
        <v>86.9427181731293</v>
      </c>
      <c r="U238" s="453" t="n">
        <f aca="false">IF(pos_xz&lt;L_rampe,Poids*COS(Beta),0)</f>
        <v>0</v>
      </c>
      <c r="V238" s="450" t="n">
        <f aca="false">Rho_moyen*(20000-Alt_rampe-pos_z)/(20000+Alt_rampe+pos_z)</f>
        <v>1.20262931112599</v>
      </c>
      <c r="W238" s="449" t="n">
        <f aca="false">1/2*Rho*Sref*Cx*vit_xz^2</f>
        <v>58.9954380269678</v>
      </c>
      <c r="X238" s="438"/>
      <c r="Y238" s="454" t="str">
        <f aca="false">IF(AND(pos_z&lt;=0,K237&gt;0),"Impact balistique","") &amp; IF(AND(H239&lt;0,vit_z&gt;=0),"Apogée","") &amp; IF(AND(Poussee=0,Q237&gt;0),"Fin de propulsion","") &amp; IF(AND(L239&gt;L_rampe,pos_xz&lt;=L_rampe),"Sortie de rampe","")</f>
        <v/>
      </c>
      <c r="Z238" s="455" t="str">
        <f aca="false">IF(ABS(t-T_para)&lt;pas/2,"Para","")</f>
        <v/>
      </c>
      <c r="AA238" s="456" t="str">
        <f aca="false">IF(ABS(t-T_satellite)&lt;pas/2,"Satellite","")</f>
        <v/>
      </c>
      <c r="AB238" s="444"/>
      <c r="AC238" s="452" t="e">
        <f aca="false">IF(ABS(t-ROUND(t,0))&lt;0.001,t,NA())</f>
        <v>#N/A</v>
      </c>
      <c r="AD238" s="457" t="e">
        <f aca="false">IF(ABS(t-ROUND(t,0))&lt;0.001,pos_x,NA())</f>
        <v>#N/A</v>
      </c>
      <c r="AE238" s="458" t="n">
        <f aca="false">IF(t&lt;T_para, pos_z, NA())</f>
        <v>184.300698393158</v>
      </c>
      <c r="AF238" s="444"/>
      <c r="AG238" s="450" t="n">
        <f aca="false">IF(AND(L237&lt;L_rampe,Poussee&lt;Poids*SIN(M237)),0,(-W237+Poussee)/m-Poids*SIN(M237)/m)</f>
        <v>44.4218043304032</v>
      </c>
      <c r="AH238" s="449" t="n">
        <f aca="false">IF(AND(L237&lt;L_rampe,Poussee&lt;Poids*SIN(M237)), g*SIN(M237), (-W237+Poussee)/m)</f>
        <v>53.983600982685</v>
      </c>
    </row>
    <row r="239" customFormat="false" ht="12" hidden="false" customHeight="false" outlineLevel="0" collapsed="false">
      <c r="A239" s="448" t="n">
        <f aca="false">IF(B238+0.01&lt;=T_ini+ROUNDUP(Temps_fin_propu,0), 0.01, IF(K238&gt;0, 0.1, 0.0001))</f>
        <v>0.01</v>
      </c>
      <c r="B239" s="449" t="n">
        <f aca="false">B238+pas</f>
        <v>2.34999999999999</v>
      </c>
      <c r="C239" s="432"/>
      <c r="D239" s="450" t="n">
        <f aca="false">IF(AND(L238&lt;L_rampe,Poussee&lt;Poids*SIN(M238)),0,(-W238+Poussee)/m*COS(M238)-U238/m*SIN(M238))</f>
        <v>12.0324013271987</v>
      </c>
      <c r="E239" s="451" t="n">
        <f aca="false">IF(AND(L238&lt;L_rampe,Poussee&lt;Poids*SIN(M238)),0,(-W238+Poussee)/m*SIN(M238)+U238/m*COS(M238)-Poids/m)</f>
        <v>42.6235009143731</v>
      </c>
      <c r="F239" s="449" t="n">
        <f aca="false">SQRT(acc_x^2+acc_z^2)</f>
        <v>44.2892934228617</v>
      </c>
      <c r="G239" s="450" t="n">
        <f aca="false">G238+acc_x*pas</f>
        <v>33.3422224046213</v>
      </c>
      <c r="H239" s="451" t="n">
        <f aca="false">H238+acc_z*pas</f>
        <v>145.197041127658</v>
      </c>
      <c r="I239" s="449" t="n">
        <f aca="false">SQRT(vit_x^2+vit_z^2)</f>
        <v>148.976120727806</v>
      </c>
      <c r="J239" s="450" t="n">
        <f aca="false">J238+0.5*(vit_x+G238)*pas*(K238&gt;=0)</f>
        <v>39.6948150685547</v>
      </c>
      <c r="K239" s="451" t="n">
        <f aca="false">K238+0.5*(vit_z+H238)*pas</f>
        <v>185.750537629389</v>
      </c>
      <c r="L239" s="449" t="n">
        <f aca="false">SQRT(pos_x^2+pos_z^2)</f>
        <v>189.944572370294</v>
      </c>
      <c r="M239" s="450" t="n">
        <f aca="false">IF(AND(L238&gt;L_rampe,G239&gt;0),ATAN2(G239,H239),$M$4)</f>
        <v>1.34507528313297</v>
      </c>
      <c r="N239" s="449" t="n">
        <f aca="false">DEGREES(Beta)</f>
        <v>77.0671368508832</v>
      </c>
      <c r="O239" s="438"/>
      <c r="P239" s="452" t="n">
        <f aca="false">MATCH(t-pas/2-T_ini,CdP_t)</f>
        <v>6</v>
      </c>
      <c r="Q239" s="449" t="n">
        <f aca="false">(INDEX(CdP,2,i_P+1)-INDEX(CdP,2,i_P+0))/(INDEX(CdP,1,i_P+1)-INDEX(CdP,1,i_P+0))*(t-pas/2-T_ini-INDEX(CdP,1,i_P+0))+INDEX(CdP,2,i_P+0)</f>
        <v>535.630000000001</v>
      </c>
      <c r="R239" s="450" t="n">
        <f aca="false">Poussee/(g*ISP)</f>
        <v>0.268807741076678</v>
      </c>
      <c r="S239" s="451" t="n">
        <f aca="false">S238-Débit*pas</f>
        <v>8.85997432555858</v>
      </c>
      <c r="T239" s="449" t="n">
        <f aca="false">m*g</f>
        <v>86.9163481337296</v>
      </c>
      <c r="U239" s="453" t="n">
        <f aca="false">IF(pos_xz&lt;L_rampe,Poids*COS(Beta),0)</f>
        <v>0</v>
      </c>
      <c r="V239" s="450" t="n">
        <f aca="false">Rho_moyen*(20000-Alt_rampe-pos_z)/(20000+Alt_rampe+pos_z)</f>
        <v>1.20245494692686</v>
      </c>
      <c r="W239" s="449" t="n">
        <f aca="false">1/2*Rho*Sref*Cx*vit_xz^2</f>
        <v>59.3387471864501</v>
      </c>
      <c r="X239" s="438"/>
      <c r="Y239" s="454" t="str">
        <f aca="false">IF(AND(pos_z&lt;=0,K238&gt;0),"Impact balistique","") &amp; IF(AND(H240&lt;0,vit_z&gt;=0),"Apogée","") &amp; IF(AND(Poussee=0,Q238&gt;0),"Fin de propulsion","") &amp; IF(AND(L240&gt;L_rampe,pos_xz&lt;=L_rampe),"Sortie de rampe","")</f>
        <v/>
      </c>
      <c r="Z239" s="455" t="str">
        <f aca="false">IF(ABS(t-T_para)&lt;pas/2,"Para","")</f>
        <v/>
      </c>
      <c r="AA239" s="456" t="str">
        <f aca="false">IF(ABS(t-T_satellite)&lt;pas/2,"Satellite","")</f>
        <v/>
      </c>
      <c r="AB239" s="444"/>
      <c r="AC239" s="452" t="e">
        <f aca="false">IF(ABS(t-ROUND(t,0))&lt;0.001,t,NA())</f>
        <v>#N/A</v>
      </c>
      <c r="AD239" s="457" t="e">
        <f aca="false">IF(ABS(t-ROUND(t,0))&lt;0.001,pos_x,NA())</f>
        <v>#N/A</v>
      </c>
      <c r="AE239" s="458" t="n">
        <f aca="false">IF(t&lt;T_para, pos_z, NA())</f>
        <v>185.750537629389</v>
      </c>
      <c r="AF239" s="444"/>
      <c r="AG239" s="450" t="n">
        <f aca="false">IF(AND(L238&lt;L_rampe,Poussee&lt;Poids*SIN(M238)),0,(-W238+Poussee)/m-Poids*SIN(M238)/m)</f>
        <v>44.234909006166</v>
      </c>
      <c r="AH239" s="449" t="n">
        <f aca="false">IF(AND(L238&lt;L_rampe,Poussee&lt;Poids*SIN(M238)), g*SIN(M238), (-W238+Poussee)/m)</f>
        <v>53.7963818470754</v>
      </c>
    </row>
    <row r="240" customFormat="false" ht="12" hidden="false" customHeight="false" outlineLevel="0" collapsed="false">
      <c r="A240" s="448" t="n">
        <f aca="false">IF(B239+0.01&lt;=T_ini+ROUNDUP(Temps_fin_propu,0), 0.01, IF(K239&gt;0, 0.1, 0.0001))</f>
        <v>0.01</v>
      </c>
      <c r="B240" s="449" t="n">
        <f aca="false">B239+pas</f>
        <v>2.35999999999999</v>
      </c>
      <c r="C240" s="432"/>
      <c r="D240" s="450" t="n">
        <f aca="false">IF(AND(L239&lt;L_rampe,Poussee&lt;Poids*SIN(M239)),0,(-W239+Poussee)/m*COS(M239)-U239/m*SIN(M239))</f>
        <v>11.9982011652828</v>
      </c>
      <c r="E240" s="451" t="n">
        <f aca="false">IF(AND(L239&lt;L_rampe,Poussee&lt;Poids*SIN(M239)),0,(-W239+Poussee)/m*SIN(M239)+U239/m*COS(M239)-Poids/m)</f>
        <v>42.4391658448061</v>
      </c>
      <c r="F240" s="449" t="n">
        <f aca="false">SQRT(acc_x^2+acc_z^2)</f>
        <v>44.1026034243507</v>
      </c>
      <c r="G240" s="450" t="n">
        <f aca="false">G239+acc_x*pas</f>
        <v>33.4622044162742</v>
      </c>
      <c r="H240" s="451" t="n">
        <f aca="false">H239+acc_z*pas</f>
        <v>145.621432786106</v>
      </c>
      <c r="I240" s="449" t="n">
        <f aca="false">SQRT(vit_x^2+vit_z^2)</f>
        <v>149.416601524311</v>
      </c>
      <c r="J240" s="450" t="n">
        <f aca="false">J239+0.5*(vit_x+G239)*pas*(K239&gt;=0)</f>
        <v>40.0288372026592</v>
      </c>
      <c r="K240" s="451" t="n">
        <f aca="false">K239+0.5*(vit_z+H239)*pas</f>
        <v>187.204629998958</v>
      </c>
      <c r="L240" s="449" t="n">
        <f aca="false">SQRT(pos_x^2+pos_z^2)</f>
        <v>191.436363580287</v>
      </c>
      <c r="M240" s="450" t="n">
        <f aca="false">IF(AND(L239&gt;L_rampe,G240&gt;0),ATAN2(G240,H240),$M$4)</f>
        <v>1.3449283404255</v>
      </c>
      <c r="N240" s="449" t="n">
        <f aca="false">DEGREES(Beta)</f>
        <v>77.0587176539151</v>
      </c>
      <c r="O240" s="438"/>
      <c r="P240" s="452" t="n">
        <f aca="false">MATCH(t-pas/2-T_ini,CdP_t)</f>
        <v>6</v>
      </c>
      <c r="Q240" s="449" t="n">
        <f aca="false">(INDEX(CdP,2,i_P+1)-INDEX(CdP,2,i_P+0))/(INDEX(CdP,1,i_P+1)-INDEX(CdP,1,i_P+0))*(t-pas/2-T_ini-INDEX(CdP,1,i_P+0))+INDEX(CdP,2,i_P+0)</f>
        <v>534.170000000001</v>
      </c>
      <c r="R240" s="450" t="n">
        <f aca="false">Poussee/(g*ISP)</f>
        <v>0.26807503510059</v>
      </c>
      <c r="S240" s="451" t="n">
        <f aca="false">S239-Débit*pas</f>
        <v>8.85729357520757</v>
      </c>
      <c r="T240" s="449" t="n">
        <f aca="false">m*g</f>
        <v>86.8900499727863</v>
      </c>
      <c r="U240" s="453" t="n">
        <f aca="false">IF(pos_xz&lt;L_rampe,Poids*COS(Beta),0)</f>
        <v>0</v>
      </c>
      <c r="V240" s="450" t="n">
        <f aca="false">Rho_moyen*(20000-Alt_rampe-pos_z)/(20000+Alt_rampe+pos_z)</f>
        <v>1.20228009638264</v>
      </c>
      <c r="W240" s="449" t="n">
        <f aca="false">1/2*Rho*Sref*Cx*vit_xz^2</f>
        <v>59.6814825305063</v>
      </c>
      <c r="X240" s="438"/>
      <c r="Y240" s="454" t="str">
        <f aca="false">IF(AND(pos_z&lt;=0,K239&gt;0),"Impact balistique","") &amp; IF(AND(H241&lt;0,vit_z&gt;=0),"Apogée","") &amp; IF(AND(Poussee=0,Q239&gt;0),"Fin de propulsion","") &amp; IF(AND(L241&gt;L_rampe,pos_xz&lt;=L_rampe),"Sortie de rampe","")</f>
        <v/>
      </c>
      <c r="Z240" s="455" t="str">
        <f aca="false">IF(ABS(t-T_para)&lt;pas/2,"Para","")</f>
        <v/>
      </c>
      <c r="AA240" s="456" t="str">
        <f aca="false">IF(ABS(t-T_satellite)&lt;pas/2,"Satellite","")</f>
        <v/>
      </c>
      <c r="AB240" s="444"/>
      <c r="AC240" s="452" t="e">
        <f aca="false">IF(ABS(t-ROUND(t,0))&lt;0.001,t,NA())</f>
        <v>#N/A</v>
      </c>
      <c r="AD240" s="457" t="e">
        <f aca="false">IF(ABS(t-ROUND(t,0))&lt;0.001,pos_x,NA())</f>
        <v>#N/A</v>
      </c>
      <c r="AE240" s="458" t="n">
        <f aca="false">IF(t&lt;T_para, pos_z, NA())</f>
        <v>187.204629998958</v>
      </c>
      <c r="AF240" s="444"/>
      <c r="AG240" s="450" t="n">
        <f aca="false">IF(AND(L239&lt;L_rampe,Poussee&lt;Poids*SIN(M239)),0,(-W239+Poussee)/m-Poids*SIN(M239)/m)</f>
        <v>44.0479183391384</v>
      </c>
      <c r="AH240" s="449" t="n">
        <f aca="false">IF(AND(L239&lt;L_rampe,Poussee&lt;Poids*SIN(M239)), g*SIN(M239), (-W239+Poussee)/m)</f>
        <v>53.6090679146788</v>
      </c>
    </row>
    <row r="241" customFormat="false" ht="12" hidden="false" customHeight="false" outlineLevel="0" collapsed="false">
      <c r="A241" s="448" t="n">
        <f aca="false">IF(B240+0.01&lt;=T_ini+ROUNDUP(Temps_fin_propu,0), 0.01, IF(K240&gt;0, 0.1, 0.0001))</f>
        <v>0.01</v>
      </c>
      <c r="B241" s="449" t="n">
        <f aca="false">B240+pas</f>
        <v>2.36999999999999</v>
      </c>
      <c r="C241" s="432"/>
      <c r="D241" s="450" t="n">
        <f aca="false">IF(AND(L240&lt;L_rampe,Poussee&lt;Poids*SIN(M240)),0,(-W240+Poussee)/m*COS(M240)-U240/m*SIN(M240))</f>
        <v>11.9639084800915</v>
      </c>
      <c r="E241" s="451" t="n">
        <f aca="false">IF(AND(L240&lt;L_rampe,Poussee&lt;Poids*SIN(M240)),0,(-W240+Poussee)/m*SIN(M240)+U240/m*COS(M240)-Poids/m)</f>
        <v>42.254755594687</v>
      </c>
      <c r="F241" s="449" t="n">
        <f aca="false">SQRT(acc_x^2+acc_z^2)</f>
        <v>43.9158226210865</v>
      </c>
      <c r="G241" s="450" t="n">
        <f aca="false">G240+acc_x*pas</f>
        <v>33.5818435010751</v>
      </c>
      <c r="H241" s="451" t="n">
        <f aca="false">H240+acc_z*pas</f>
        <v>146.043980342052</v>
      </c>
      <c r="I241" s="449" t="n">
        <f aca="false">SQRT(vit_x^2+vit_z^2)</f>
        <v>149.855211477881</v>
      </c>
      <c r="J241" s="450" t="n">
        <f aca="false">J240+0.5*(vit_x+G240)*pas*(K240&gt;=0)</f>
        <v>40.3640574422459</v>
      </c>
      <c r="K241" s="451" t="n">
        <f aca="false">K240+0.5*(vit_z+H240)*pas</f>
        <v>188.662957064599</v>
      </c>
      <c r="L241" s="449" t="n">
        <f aca="false">SQRT(pos_x^2+pos_z^2)</f>
        <v>192.932549098278</v>
      </c>
      <c r="M241" s="450" t="n">
        <f aca="false">IF(AND(L240&gt;L_rampe,G241&gt;0),ATAN2(G241,H241),$M$4)</f>
        <v>1.34478173405174</v>
      </c>
      <c r="N241" s="449" t="n">
        <f aca="false">DEGREES(Beta)</f>
        <v>77.0503177274491</v>
      </c>
      <c r="O241" s="438"/>
      <c r="P241" s="452" t="n">
        <f aca="false">MATCH(t-pas/2-T_ini,CdP_t)</f>
        <v>6</v>
      </c>
      <c r="Q241" s="449" t="n">
        <f aca="false">(INDEX(CdP,2,i_P+1)-INDEX(CdP,2,i_P+0))/(INDEX(CdP,1,i_P+1)-INDEX(CdP,1,i_P+0))*(t-pas/2-T_ini-INDEX(CdP,1,i_P+0))+INDEX(CdP,2,i_P+0)</f>
        <v>532.710000000001</v>
      </c>
      <c r="R241" s="450" t="n">
        <f aca="false">Poussee/(g*ISP)</f>
        <v>0.267342329124502</v>
      </c>
      <c r="S241" s="451" t="n">
        <f aca="false">S240-Débit*pas</f>
        <v>8.85462015191632</v>
      </c>
      <c r="T241" s="449" t="n">
        <f aca="false">m*g</f>
        <v>86.8638236902991</v>
      </c>
      <c r="U241" s="453" t="n">
        <f aca="false">IF(pos_xz&lt;L_rampe,Poids*COS(Beta),0)</f>
        <v>0</v>
      </c>
      <c r="V241" s="450" t="n">
        <f aca="false">Rho_moyen*(20000-Alt_rampe-pos_z)/(20000+Alt_rampe+pos_z)</f>
        <v>1.20210476192548</v>
      </c>
      <c r="W241" s="449" t="n">
        <f aca="false">1/2*Rho*Sref*Cx*vit_xz^2</f>
        <v>60.0236299923805</v>
      </c>
      <c r="X241" s="438"/>
      <c r="Y241" s="454" t="str">
        <f aca="false">IF(AND(pos_z&lt;=0,K240&gt;0),"Impact balistique","") &amp; IF(AND(H242&lt;0,vit_z&gt;=0),"Apogée","") &amp; IF(AND(Poussee=0,Q240&gt;0),"Fin de propulsion","") &amp; IF(AND(L242&gt;L_rampe,pos_xz&lt;=L_rampe),"Sortie de rampe","")</f>
        <v/>
      </c>
      <c r="Z241" s="455" t="str">
        <f aca="false">IF(ABS(t-T_para)&lt;pas/2,"Para","")</f>
        <v/>
      </c>
      <c r="AA241" s="456" t="str">
        <f aca="false">IF(ABS(t-T_satellite)&lt;pas/2,"Satellite","")</f>
        <v/>
      </c>
      <c r="AB241" s="444"/>
      <c r="AC241" s="452" t="e">
        <f aca="false">IF(ABS(t-ROUND(t,0))&lt;0.001,t,NA())</f>
        <v>#N/A</v>
      </c>
      <c r="AD241" s="457" t="e">
        <f aca="false">IF(ABS(t-ROUND(t,0))&lt;0.001,pos_x,NA())</f>
        <v>#N/A</v>
      </c>
      <c r="AE241" s="458" t="n">
        <f aca="false">IF(t&lt;T_para, pos_z, NA())</f>
        <v>188.662957064599</v>
      </c>
      <c r="AF241" s="444"/>
      <c r="AG241" s="450" t="n">
        <f aca="false">IF(AND(L240&lt;L_rampe,Poussee&lt;Poids*SIN(M240)),0,(-W240+Poussee)/m-Poids*SIN(M240)/m)</f>
        <v>43.8608343118896</v>
      </c>
      <c r="AH241" s="449" t="n">
        <f aca="false">IF(AND(L240&lt;L_rampe,Poussee&lt;Poids*SIN(M240)), g*SIN(M240), (-W240+Poussee)/m)</f>
        <v>53.4216611615035</v>
      </c>
    </row>
    <row r="242" customFormat="false" ht="12" hidden="false" customHeight="false" outlineLevel="0" collapsed="false">
      <c r="A242" s="448" t="n">
        <f aca="false">IF(B241+0.01&lt;=T_ini+ROUNDUP(Temps_fin_propu,0), 0.01, IF(K241&gt;0, 0.1, 0.0001))</f>
        <v>0.01</v>
      </c>
      <c r="B242" s="449" t="n">
        <f aca="false">B241+pas</f>
        <v>2.37999999999999</v>
      </c>
      <c r="C242" s="432"/>
      <c r="D242" s="450" t="n">
        <f aca="false">IF(AND(L241&lt;L_rampe,Poussee&lt;Poids*SIN(M241)),0,(-W241+Poussee)/m*COS(M241)-U241/m*SIN(M241))</f>
        <v>11.9295240511335</v>
      </c>
      <c r="E242" s="451" t="n">
        <f aca="false">IF(AND(L241&lt;L_rampe,Poussee&lt;Poids*SIN(M241)),0,(-W241+Poussee)/m*SIN(M241)+U241/m*COS(M241)-Poids/m)</f>
        <v>42.0702720272939</v>
      </c>
      <c r="F242" s="449" t="n">
        <f aca="false">SQRT(acc_x^2+acc_z^2)</f>
        <v>43.7289530235641</v>
      </c>
      <c r="G242" s="450" t="n">
        <f aca="false">G241+acc_x*pas</f>
        <v>33.7011387415864</v>
      </c>
      <c r="H242" s="451" t="n">
        <f aca="false">H241+acc_z*pas</f>
        <v>146.464683062325</v>
      </c>
      <c r="I242" s="449" t="n">
        <f aca="false">SQRT(vit_x^2+vit_z^2)</f>
        <v>150.291949674715</v>
      </c>
      <c r="J242" s="450" t="n">
        <f aca="false">J241+0.5*(vit_x+G241)*pas*(K241&gt;=0)</f>
        <v>40.7004723534592</v>
      </c>
      <c r="K242" s="451" t="n">
        <f aca="false">K241+0.5*(vit_z+H241)*pas</f>
        <v>190.125500381621</v>
      </c>
      <c r="L242" s="449" t="n">
        <f aca="false">SQRT(pos_x^2+pos_z^2)</f>
        <v>194.433110208</v>
      </c>
      <c r="M242" s="450" t="n">
        <f aca="false">IF(AND(L241&gt;L_rampe,G242&gt;0),ATAN2(G242,H242),$M$4)</f>
        <v>1.34463546044403</v>
      </c>
      <c r="N242" s="449" t="n">
        <f aca="false">DEGREES(Beta)</f>
        <v>77.0419368670733</v>
      </c>
      <c r="O242" s="438"/>
      <c r="P242" s="452" t="n">
        <f aca="false">MATCH(t-pas/2-T_ini,CdP_t)</f>
        <v>6</v>
      </c>
      <c r="Q242" s="449" t="n">
        <f aca="false">(INDEX(CdP,2,i_P+1)-INDEX(CdP,2,i_P+0))/(INDEX(CdP,1,i_P+1)-INDEX(CdP,1,i_P+0))*(t-pas/2-T_ini-INDEX(CdP,1,i_P+0))+INDEX(CdP,2,i_P+0)</f>
        <v>531.250000000001</v>
      </c>
      <c r="R242" s="450" t="n">
        <f aca="false">Poussee/(g*ISP)</f>
        <v>0.266609623148414</v>
      </c>
      <c r="S242" s="451" t="n">
        <f aca="false">S241-Débit*pas</f>
        <v>8.85195405568484</v>
      </c>
      <c r="T242" s="449" t="n">
        <f aca="false">m*g</f>
        <v>86.8376692862683</v>
      </c>
      <c r="U242" s="453" t="n">
        <f aca="false">IF(pos_xz&lt;L_rampe,Poids*COS(Beta),0)</f>
        <v>0</v>
      </c>
      <c r="V242" s="450" t="n">
        <f aca="false">Rho_moyen*(20000-Alt_rampe-pos_z)/(20000+Alt_rampe+pos_z)</f>
        <v>1.20192894598767</v>
      </c>
      <c r="W242" s="449" t="n">
        <f aca="false">1/2*Rho*Sref*Cx*vit_xz^2</f>
        <v>60.3651755806423</v>
      </c>
      <c r="X242" s="438"/>
      <c r="Y242" s="454" t="str">
        <f aca="false">IF(AND(pos_z&lt;=0,K241&gt;0),"Impact balistique","") &amp; IF(AND(H243&lt;0,vit_z&gt;=0),"Apogée","") &amp; IF(AND(Poussee=0,Q241&gt;0),"Fin de propulsion","") &amp; IF(AND(L243&gt;L_rampe,pos_xz&lt;=L_rampe),"Sortie de rampe","")</f>
        <v/>
      </c>
      <c r="Z242" s="455" t="str">
        <f aca="false">IF(ABS(t-T_para)&lt;pas/2,"Para","")</f>
        <v/>
      </c>
      <c r="AA242" s="456" t="str">
        <f aca="false">IF(ABS(t-T_satellite)&lt;pas/2,"Satellite","")</f>
        <v/>
      </c>
      <c r="AB242" s="444"/>
      <c r="AC242" s="452" t="e">
        <f aca="false">IF(ABS(t-ROUND(t,0))&lt;0.001,t,NA())</f>
        <v>#N/A</v>
      </c>
      <c r="AD242" s="457" t="e">
        <f aca="false">IF(ABS(t-ROUND(t,0))&lt;0.001,pos_x,NA())</f>
        <v>#N/A</v>
      </c>
      <c r="AE242" s="458" t="n">
        <f aca="false">IF(t&lt;T_para, pos_z, NA())</f>
        <v>190.125500381621</v>
      </c>
      <c r="AF242" s="444"/>
      <c r="AG242" s="450" t="n">
        <f aca="false">IF(AND(L241&lt;L_rampe,Poussee&lt;Poids*SIN(M241)),0,(-W241+Poussee)/m-Poids*SIN(M241)/m)</f>
        <v>43.6736589012948</v>
      </c>
      <c r="AH242" s="449" t="n">
        <f aca="false">IF(AND(L241&lt;L_rampe,Poussee&lt;Poids*SIN(M241)), g*SIN(M241), (-W241+Poussee)/m)</f>
        <v>53.2341635579314</v>
      </c>
    </row>
    <row r="243" customFormat="false" ht="12" hidden="false" customHeight="false" outlineLevel="0" collapsed="false">
      <c r="A243" s="448" t="n">
        <f aca="false">IF(B242+0.01&lt;=T_ini+ROUNDUP(Temps_fin_propu,0), 0.01, IF(K242&gt;0, 0.1, 0.0001))</f>
        <v>0.01</v>
      </c>
      <c r="B243" s="449" t="n">
        <f aca="false">B242+pas</f>
        <v>2.38999999999999</v>
      </c>
      <c r="C243" s="432"/>
      <c r="D243" s="450" t="n">
        <f aca="false">IF(AND(L242&lt;L_rampe,Poussee&lt;Poids*SIN(M242)),0,(-W242+Poussee)/m*COS(M242)-U242/m*SIN(M242))</f>
        <v>11.895048653148</v>
      </c>
      <c r="E243" s="451" t="n">
        <f aca="false">IF(AND(L242&lt;L_rampe,Poussee&lt;Poids*SIN(M242)),0,(-W242+Poussee)/m*SIN(M242)+U242/m*COS(M242)-Poids/m)</f>
        <v>41.885717000934</v>
      </c>
      <c r="F243" s="449" t="n">
        <f aca="false">SQRT(acc_x^2+acc_z^2)</f>
        <v>43.5419966370755</v>
      </c>
      <c r="G243" s="450" t="n">
        <f aca="false">G242+acc_x*pas</f>
        <v>33.8200892281179</v>
      </c>
      <c r="H243" s="451" t="n">
        <f aca="false">H242+acc_z*pas</f>
        <v>146.883540232335</v>
      </c>
      <c r="I243" s="449" t="n">
        <f aca="false">SQRT(vit_x^2+vit_z^2)</f>
        <v>150.726815220722</v>
      </c>
      <c r="J243" s="450" t="n">
        <f aca="false">J242+0.5*(vit_x+G242)*pas*(K242&gt;=0)</f>
        <v>41.0380784933077</v>
      </c>
      <c r="K243" s="451" t="n">
        <f aca="false">K242+0.5*(vit_z+H242)*pas</f>
        <v>191.592241498094</v>
      </c>
      <c r="L243" s="449" t="n">
        <f aca="false">SQRT(pos_x^2+pos_z^2)</f>
        <v>195.938028184135</v>
      </c>
      <c r="M243" s="450" t="n">
        <f aca="false">IF(AND(L242&gt;L_rampe,G243&gt;0),ATAN2(G243,H243),$M$4)</f>
        <v>1.34448951607497</v>
      </c>
      <c r="N243" s="449" t="n">
        <f aca="false">DEGREES(Beta)</f>
        <v>77.0335748706825</v>
      </c>
      <c r="O243" s="438"/>
      <c r="P243" s="452" t="n">
        <f aca="false">MATCH(t-pas/2-T_ini,CdP_t)</f>
        <v>6</v>
      </c>
      <c r="Q243" s="449" t="n">
        <f aca="false">(INDEX(CdP,2,i_P+1)-INDEX(CdP,2,i_P+0))/(INDEX(CdP,1,i_P+1)-INDEX(CdP,1,i_P+0))*(t-pas/2-T_ini-INDEX(CdP,1,i_P+0))+INDEX(CdP,2,i_P+0)</f>
        <v>529.790000000001</v>
      </c>
      <c r="R243" s="450" t="n">
        <f aca="false">Poussee/(g*ISP)</f>
        <v>0.265876917172326</v>
      </c>
      <c r="S243" s="451" t="n">
        <f aca="false">S242-Débit*pas</f>
        <v>8.84929528651312</v>
      </c>
      <c r="T243" s="449" t="n">
        <f aca="false">m*g</f>
        <v>86.8115867606937</v>
      </c>
      <c r="U243" s="453" t="n">
        <f aca="false">IF(pos_xz&lt;L_rampe,Poids*COS(Beta),0)</f>
        <v>0</v>
      </c>
      <c r="V243" s="450" t="n">
        <f aca="false">Rho_moyen*(20000-Alt_rampe-pos_z)/(20000+Alt_rampe+pos_z)</f>
        <v>1.20175265100166</v>
      </c>
      <c r="W243" s="449" t="n">
        <f aca="false">1/2*Rho*Sref*Cx*vit_xz^2</f>
        <v>60.7061053794627</v>
      </c>
      <c r="X243" s="438"/>
      <c r="Y243" s="454" t="str">
        <f aca="false">IF(AND(pos_z&lt;=0,K242&gt;0),"Impact balistique","") &amp; IF(AND(H244&lt;0,vit_z&gt;=0),"Apogée","") &amp; IF(AND(Poussee=0,Q242&gt;0),"Fin de propulsion","") &amp; IF(AND(L244&gt;L_rampe,pos_xz&lt;=L_rampe),"Sortie de rampe","")</f>
        <v/>
      </c>
      <c r="Z243" s="455" t="str">
        <f aca="false">IF(ABS(t-T_para)&lt;pas/2,"Para","")</f>
        <v/>
      </c>
      <c r="AA243" s="456" t="str">
        <f aca="false">IF(ABS(t-T_satellite)&lt;pas/2,"Satellite","")</f>
        <v/>
      </c>
      <c r="AB243" s="444"/>
      <c r="AC243" s="452" t="e">
        <f aca="false">IF(ABS(t-ROUND(t,0))&lt;0.001,t,NA())</f>
        <v>#N/A</v>
      </c>
      <c r="AD243" s="457" t="e">
        <f aca="false">IF(ABS(t-ROUND(t,0))&lt;0.001,pos_x,NA())</f>
        <v>#N/A</v>
      </c>
      <c r="AE243" s="458" t="n">
        <f aca="false">IF(t&lt;T_para, pos_z, NA())</f>
        <v>191.592241498094</v>
      </c>
      <c r="AF243" s="444"/>
      <c r="AG243" s="450" t="n">
        <f aca="false">IF(AND(L242&lt;L_rampe,Poussee&lt;Poids*SIN(M242)),0,(-W242+Poussee)/m-Poids*SIN(M242)/m)</f>
        <v>43.4863940784798</v>
      </c>
      <c r="AH243" s="449" t="n">
        <f aca="false">IF(AND(L242&lt;L_rampe,Poussee&lt;Poids*SIN(M242)), g*SIN(M242), (-W242+Poussee)/m)</f>
        <v>53.0465770686613</v>
      </c>
    </row>
    <row r="244" customFormat="false" ht="12" hidden="false" customHeight="false" outlineLevel="0" collapsed="false">
      <c r="A244" s="448" t="n">
        <f aca="false">IF(B243+0.01&lt;=T_ini+ROUNDUP(Temps_fin_propu,0), 0.01, IF(K243&gt;0, 0.1, 0.0001))</f>
        <v>0.01</v>
      </c>
      <c r="B244" s="449" t="n">
        <f aca="false">B243+pas</f>
        <v>2.39999999999999</v>
      </c>
      <c r="C244" s="432"/>
      <c r="D244" s="450" t="n">
        <f aca="false">IF(AND(L243&lt;L_rampe,Poussee&lt;Poids*SIN(M243)),0,(-W243+Poussee)/m*COS(M243)-U243/m*SIN(M243))</f>
        <v>11.8604830561526</v>
      </c>
      <c r="E244" s="451" t="n">
        <f aca="false">IF(AND(L243&lt;L_rampe,Poussee&lt;Poids*SIN(M243)),0,(-W243+Poussee)/m*SIN(M243)+U243/m*COS(M243)-Poids/m)</f>
        <v>41.7010923688791</v>
      </c>
      <c r="F244" s="449" t="n">
        <f aca="false">SQRT(acc_x^2+acc_z^2)</f>
        <v>43.3549554616663</v>
      </c>
      <c r="G244" s="450" t="n">
        <f aca="false">G243+acc_x*pas</f>
        <v>33.9386940586794</v>
      </c>
      <c r="H244" s="451" t="n">
        <f aca="false">H243+acc_z*pas</f>
        <v>147.300551156024</v>
      </c>
      <c r="I244" s="449" t="n">
        <f aca="false">SQRT(vit_x^2+vit_z^2)</f>
        <v>151.159807241465</v>
      </c>
      <c r="J244" s="450" t="n">
        <f aca="false">J243+0.5*(vit_x+G243)*pas*(K243&gt;=0)</f>
        <v>41.3768724097417</v>
      </c>
      <c r="K244" s="451" t="n">
        <f aca="false">K243+0.5*(vit_z+H243)*pas</f>
        <v>193.063161955036</v>
      </c>
      <c r="L244" s="449" t="n">
        <f aca="false">SQRT(pos_x^2+pos_z^2)</f>
        <v>197.447284292513</v>
      </c>
      <c r="M244" s="450" t="n">
        <f aca="false">IF(AND(L243&gt;L_rampe,G244&gt;0),ATAN2(G244,H244),$M$4)</f>
        <v>1.34434389745675</v>
      </c>
      <c r="N244" s="449" t="n">
        <f aca="false">DEGREES(Beta)</f>
        <v>77.0252315384395</v>
      </c>
      <c r="O244" s="438"/>
      <c r="P244" s="452" t="n">
        <f aca="false">MATCH(t-pas/2-T_ini,CdP_t)</f>
        <v>6</v>
      </c>
      <c r="Q244" s="449" t="n">
        <f aca="false">(INDEX(CdP,2,i_P+1)-INDEX(CdP,2,i_P+0))/(INDEX(CdP,1,i_P+1)-INDEX(CdP,1,i_P+0))*(t-pas/2-T_ini-INDEX(CdP,1,i_P+0))+INDEX(CdP,2,i_P+0)</f>
        <v>528.330000000001</v>
      </c>
      <c r="R244" s="450" t="n">
        <f aca="false">Poussee/(g*ISP)</f>
        <v>0.265144211196238</v>
      </c>
      <c r="S244" s="451" t="n">
        <f aca="false">S243-Débit*pas</f>
        <v>8.84664384440115</v>
      </c>
      <c r="T244" s="449" t="n">
        <f aca="false">m*g</f>
        <v>86.7855761135753</v>
      </c>
      <c r="U244" s="453" t="n">
        <f aca="false">IF(pos_xz&lt;L_rampe,Poids*COS(Beta),0)</f>
        <v>0</v>
      </c>
      <c r="V244" s="450" t="n">
        <f aca="false">Rho_moyen*(20000-Alt_rampe-pos_z)/(20000+Alt_rampe+pos_z)</f>
        <v>1.20157587939996</v>
      </c>
      <c r="W244" s="449" t="n">
        <f aca="false">1/2*Rho*Sref*Cx*vit_xz^2</f>
        <v>61.0464055488836</v>
      </c>
      <c r="X244" s="438"/>
      <c r="Y244" s="454" t="str">
        <f aca="false">IF(AND(pos_z&lt;=0,K243&gt;0),"Impact balistique","") &amp; IF(AND(H245&lt;0,vit_z&gt;=0),"Apogée","") &amp; IF(AND(Poussee=0,Q243&gt;0),"Fin de propulsion","") &amp; IF(AND(L245&gt;L_rampe,pos_xz&lt;=L_rampe),"Sortie de rampe","")</f>
        <v/>
      </c>
      <c r="Z244" s="455" t="str">
        <f aca="false">IF(ABS(t-T_para)&lt;pas/2,"Para","")</f>
        <v/>
      </c>
      <c r="AA244" s="456" t="str">
        <f aca="false">IF(ABS(t-T_satellite)&lt;pas/2,"Satellite","")</f>
        <v/>
      </c>
      <c r="AB244" s="444"/>
      <c r="AC244" s="452" t="e">
        <f aca="false">IF(ABS(t-ROUND(t,0))&lt;0.001,t,NA())</f>
        <v>#N/A</v>
      </c>
      <c r="AD244" s="457" t="e">
        <f aca="false">IF(ABS(t-ROUND(t,0))&lt;0.001,pos_x,NA())</f>
        <v>#N/A</v>
      </c>
      <c r="AE244" s="458" t="n">
        <f aca="false">IF(t&lt;T_para, pos_z, NA())</f>
        <v>193.063161955036</v>
      </c>
      <c r="AF244" s="444"/>
      <c r="AG244" s="450" t="n">
        <f aca="false">IF(AND(L243&lt;L_rampe,Poussee&lt;Poids*SIN(M243)),0,(-W243+Poussee)/m-Poids*SIN(M243)/m)</f>
        <v>43.2990418087662</v>
      </c>
      <c r="AH244" s="449" t="n">
        <f aca="false">IF(AND(L243&lt;L_rampe,Poussee&lt;Poids*SIN(M243)), g*SIN(M243), (-W243+Poussee)/m)</f>
        <v>52.8589036526533</v>
      </c>
    </row>
    <row r="245" customFormat="false" ht="12" hidden="false" customHeight="false" outlineLevel="0" collapsed="false">
      <c r="A245" s="448" t="n">
        <f aca="false">IF(B244+0.01&lt;=T_ini+ROUNDUP(Temps_fin_propu,0), 0.01, IF(K244&gt;0, 0.1, 0.0001))</f>
        <v>0.01</v>
      </c>
      <c r="B245" s="449" t="n">
        <f aca="false">B244+pas</f>
        <v>2.40999999999999</v>
      </c>
      <c r="C245" s="432"/>
      <c r="D245" s="450" t="n">
        <f aca="false">IF(AND(L244&lt;L_rampe,Poussee&lt;Poids*SIN(M244)),0,(-W244+Poussee)/m*COS(M244)-U244/m*SIN(M244))</f>
        <v>11.8258280254894</v>
      </c>
      <c r="E245" s="451" t="n">
        <f aca="false">IF(AND(L244&lt;L_rampe,Poussee&lt;Poids*SIN(M244)),0,(-W244+Poussee)/m*SIN(M244)+U244/m*COS(M244)-Poids/m)</f>
        <v>41.516399979302</v>
      </c>
      <c r="F245" s="449" t="n">
        <f aca="false">SQRT(acc_x^2+acc_z^2)</f>
        <v>43.1678314920942</v>
      </c>
      <c r="G245" s="450" t="n">
        <f aca="false">G244+acc_x*pas</f>
        <v>34.0569523389343</v>
      </c>
      <c r="H245" s="451" t="n">
        <f aca="false">H244+acc_z*pas</f>
        <v>147.715715155817</v>
      </c>
      <c r="I245" s="449" t="n">
        <f aca="false">SQRT(vit_x^2+vit_z^2)</f>
        <v>151.590924882101</v>
      </c>
      <c r="J245" s="450" t="n">
        <f aca="false">J244+0.5*(vit_x+G244)*pas*(K244&gt;=0)</f>
        <v>41.7168506417298</v>
      </c>
      <c r="K245" s="451" t="n">
        <f aca="false">K244+0.5*(vit_z+H244)*pas</f>
        <v>194.538243286595</v>
      </c>
      <c r="L245" s="449" t="n">
        <f aca="false">SQRT(pos_x^2+pos_z^2)</f>
        <v>198.960859790309</v>
      </c>
      <c r="M245" s="450" t="n">
        <f aca="false">IF(AND(L244&gt;L_rampe,G245&gt;0),ATAN2(G245,H245),$M$4)</f>
        <v>1.34419860114047</v>
      </c>
      <c r="N245" s="449" t="n">
        <f aca="false">DEGREES(Beta)</f>
        <v>77.0169066727378</v>
      </c>
      <c r="O245" s="438"/>
      <c r="P245" s="452" t="n">
        <f aca="false">MATCH(t-pas/2-T_ini,CdP_t)</f>
        <v>6</v>
      </c>
      <c r="Q245" s="449" t="n">
        <f aca="false">(INDEX(CdP,2,i_P+1)-INDEX(CdP,2,i_P+0))/(INDEX(CdP,1,i_P+1)-INDEX(CdP,1,i_P+0))*(t-pas/2-T_ini-INDEX(CdP,1,i_P+0))+INDEX(CdP,2,i_P+0)</f>
        <v>526.870000000001</v>
      </c>
      <c r="R245" s="450" t="n">
        <f aca="false">Poussee/(g*ISP)</f>
        <v>0.26441150522015</v>
      </c>
      <c r="S245" s="451" t="n">
        <f aca="false">S244-Débit*pas</f>
        <v>8.84399972934895</v>
      </c>
      <c r="T245" s="449" t="n">
        <f aca="false">m*g</f>
        <v>86.7596373449132</v>
      </c>
      <c r="U245" s="453" t="n">
        <f aca="false">IF(pos_xz&lt;L_rampe,Poids*COS(Beta),0)</f>
        <v>0</v>
      </c>
      <c r="V245" s="450" t="n">
        <f aca="false">Rho_moyen*(20000-Alt_rampe-pos_z)/(20000+Alt_rampe+pos_z)</f>
        <v>1.20139863361518</v>
      </c>
      <c r="W245" s="449" t="n">
        <f aca="false">1/2*Rho*Sref*Cx*vit_xz^2</f>
        <v>61.3860623250835</v>
      </c>
      <c r="X245" s="438"/>
      <c r="Y245" s="454" t="str">
        <f aca="false">IF(AND(pos_z&lt;=0,K244&gt;0),"Impact balistique","") &amp; IF(AND(H246&lt;0,vit_z&gt;=0),"Apogée","") &amp; IF(AND(Poussee=0,Q244&gt;0),"Fin de propulsion","") &amp; IF(AND(L246&gt;L_rampe,pos_xz&lt;=L_rampe),"Sortie de rampe","")</f>
        <v/>
      </c>
      <c r="Z245" s="455" t="str">
        <f aca="false">IF(ABS(t-T_para)&lt;pas/2,"Para","")</f>
        <v/>
      </c>
      <c r="AA245" s="456" t="str">
        <f aca="false">IF(ABS(t-T_satellite)&lt;pas/2,"Satellite","")</f>
        <v/>
      </c>
      <c r="AB245" s="444"/>
      <c r="AC245" s="452" t="e">
        <f aca="false">IF(ABS(t-ROUND(t,0))&lt;0.001,t,NA())</f>
        <v>#N/A</v>
      </c>
      <c r="AD245" s="457" t="e">
        <f aca="false">IF(ABS(t-ROUND(t,0))&lt;0.001,pos_x,NA())</f>
        <v>#N/A</v>
      </c>
      <c r="AE245" s="458" t="n">
        <f aca="false">IF(t&lt;T_para, pos_z, NA())</f>
        <v>194.538243286595</v>
      </c>
      <c r="AF245" s="444"/>
      <c r="AG245" s="450" t="n">
        <f aca="false">IF(AND(L244&lt;L_rampe,Poussee&lt;Poids*SIN(M244)),0,(-W244+Poussee)/m-Poids*SIN(M244)/m)</f>
        <v>43.1116040516167</v>
      </c>
      <c r="AH245" s="449" t="n">
        <f aca="false">IF(AND(L244&lt;L_rampe,Poussee&lt;Poids*SIN(M244)), g*SIN(M244), (-W244+Poussee)/m)</f>
        <v>52.6711452630731</v>
      </c>
    </row>
    <row r="246" customFormat="false" ht="12" hidden="false" customHeight="false" outlineLevel="0" collapsed="false">
      <c r="A246" s="448" t="n">
        <f aca="false">IF(B245+0.01&lt;=T_ini+ROUNDUP(Temps_fin_propu,0), 0.01, IF(K245&gt;0, 0.1, 0.0001))</f>
        <v>0.01</v>
      </c>
      <c r="B246" s="449" t="n">
        <f aca="false">B245+pas</f>
        <v>2.41999999999999</v>
      </c>
      <c r="C246" s="432"/>
      <c r="D246" s="450" t="n">
        <f aca="false">IF(AND(L245&lt;L_rampe,Poussee&lt;Poids*SIN(M245)),0,(-W245+Poussee)/m*COS(M245)-U245/m*SIN(M245))</f>
        <v>11.7910843218704</v>
      </c>
      <c r="E246" s="451" t="n">
        <f aca="false">IF(AND(L245&lt;L_rampe,Poussee&lt;Poids*SIN(M245)),0,(-W245+Poussee)/m*SIN(M245)+U245/m*COS(M245)-Poids/m)</f>
        <v>41.3316416752139</v>
      </c>
      <c r="F246" s="449" t="n">
        <f aca="false">SQRT(acc_x^2+acc_z^2)</f>
        <v>42.9806267177869</v>
      </c>
      <c r="G246" s="450" t="n">
        <f aca="false">G245+acc_x*pas</f>
        <v>34.174863182153</v>
      </c>
      <c r="H246" s="451" t="n">
        <f aca="false">H245+acc_z*pas</f>
        <v>148.129031572569</v>
      </c>
      <c r="I246" s="449" t="n">
        <f aca="false">SQRT(vit_x^2+vit_z^2)</f>
        <v>152.020167307321</v>
      </c>
      <c r="J246" s="450" t="n">
        <f aca="false">J245+0.5*(vit_x+G245)*pas*(K245&gt;=0)</f>
        <v>42.0580097193352</v>
      </c>
      <c r="K246" s="451" t="n">
        <f aca="false">K245+0.5*(vit_z+H245)*pas</f>
        <v>196.017467020237</v>
      </c>
      <c r="L246" s="449" t="n">
        <f aca="false">SQRT(pos_x^2+pos_z^2)</f>
        <v>200.478735926236</v>
      </c>
      <c r="M246" s="450" t="n">
        <f aca="false">IF(AND(L245&gt;L_rampe,G246&gt;0),ATAN2(G246,H246),$M$4)</f>
        <v>1.34405362371552</v>
      </c>
      <c r="N246" s="449" t="n">
        <f aca="false">DEGREES(Beta)</f>
        <v>77.008600078164</v>
      </c>
      <c r="O246" s="438"/>
      <c r="P246" s="452" t="n">
        <f aca="false">MATCH(t-pas/2-T_ini,CdP_t)</f>
        <v>6</v>
      </c>
      <c r="Q246" s="449" t="n">
        <f aca="false">(INDEX(CdP,2,i_P+1)-INDEX(CdP,2,i_P+0))/(INDEX(CdP,1,i_P+1)-INDEX(CdP,1,i_P+0))*(t-pas/2-T_ini-INDEX(CdP,1,i_P+0))+INDEX(CdP,2,i_P+0)</f>
        <v>525.410000000001</v>
      </c>
      <c r="R246" s="450" t="n">
        <f aca="false">Poussee/(g*ISP)</f>
        <v>0.263678799244063</v>
      </c>
      <c r="S246" s="451" t="n">
        <f aca="false">S245-Débit*pas</f>
        <v>8.84136294135651</v>
      </c>
      <c r="T246" s="449" t="n">
        <f aca="false">m*g</f>
        <v>86.7337704547074</v>
      </c>
      <c r="U246" s="453" t="n">
        <f aca="false">IF(pos_xz&lt;L_rampe,Poids*COS(Beta),0)</f>
        <v>0</v>
      </c>
      <c r="V246" s="450" t="n">
        <f aca="false">Rho_moyen*(20000-Alt_rampe-pos_z)/(20000+Alt_rampe+pos_z)</f>
        <v>1.20122091607992</v>
      </c>
      <c r="W246" s="449" t="n">
        <f aca="false">1/2*Rho*Sref*Cx*vit_xz^2</f>
        <v>61.7250620206364</v>
      </c>
      <c r="X246" s="438"/>
      <c r="Y246" s="454" t="str">
        <f aca="false">IF(AND(pos_z&lt;=0,K245&gt;0),"Impact balistique","") &amp; IF(AND(H247&lt;0,vit_z&gt;=0),"Apogée","") &amp; IF(AND(Poussee=0,Q245&gt;0),"Fin de propulsion","") &amp; IF(AND(L247&gt;L_rampe,pos_xz&lt;=L_rampe),"Sortie de rampe","")</f>
        <v/>
      </c>
      <c r="Z246" s="455" t="str">
        <f aca="false">IF(ABS(t-T_para)&lt;pas/2,"Para","")</f>
        <v/>
      </c>
      <c r="AA246" s="456" t="str">
        <f aca="false">IF(ABS(t-T_satellite)&lt;pas/2,"Satellite","")</f>
        <v/>
      </c>
      <c r="AB246" s="444"/>
      <c r="AC246" s="452" t="e">
        <f aca="false">IF(ABS(t-ROUND(t,0))&lt;0.001,t,NA())</f>
        <v>#N/A</v>
      </c>
      <c r="AD246" s="457" t="e">
        <f aca="false">IF(ABS(t-ROUND(t,0))&lt;0.001,pos_x,NA())</f>
        <v>#N/A</v>
      </c>
      <c r="AE246" s="458" t="n">
        <f aca="false">IF(t&lt;T_para, pos_z, NA())</f>
        <v>196.017467020237</v>
      </c>
      <c r="AF246" s="444"/>
      <c r="AG246" s="450" t="n">
        <f aca="false">IF(AND(L245&lt;L_rampe,Poussee&lt;Poids*SIN(M245)),0,(-W245+Poussee)/m-Poids*SIN(M245)/m)</f>
        <v>42.924082760582</v>
      </c>
      <c r="AH246" s="449" t="n">
        <f aca="false">IF(AND(L245&lt;L_rampe,Poussee&lt;Poids*SIN(M245)), g*SIN(M245), (-W245+Poussee)/m)</f>
        <v>52.4833038472373</v>
      </c>
    </row>
    <row r="247" customFormat="false" ht="12" hidden="false" customHeight="false" outlineLevel="0" collapsed="false">
      <c r="A247" s="448" t="n">
        <f aca="false">IF(B246+0.01&lt;=T_ini+ROUNDUP(Temps_fin_propu,0), 0.01, IF(K246&gt;0, 0.1, 0.0001))</f>
        <v>0.01</v>
      </c>
      <c r="B247" s="449" t="n">
        <f aca="false">B246+pas</f>
        <v>2.42999999999999</v>
      </c>
      <c r="C247" s="432"/>
      <c r="D247" s="450" t="n">
        <f aca="false">IF(AND(L246&lt;L_rampe,Poussee&lt;Poids*SIN(M246)),0,(-W246+Poussee)/m*COS(M246)-U246/m*SIN(M246))</f>
        <v>11.7562527014211</v>
      </c>
      <c r="E247" s="451" t="n">
        <f aca="false">IF(AND(L246&lt;L_rampe,Poussee&lt;Poids*SIN(M246)),0,(-W246+Poussee)/m*SIN(M246)+U246/m*COS(M246)-Poids/m)</f>
        <v>41.1468192944024</v>
      </c>
      <c r="F247" s="449" t="n">
        <f aca="false">SQRT(acc_x^2+acc_z^2)</f>
        <v>42.7933431228021</v>
      </c>
      <c r="G247" s="450" t="n">
        <f aca="false">G246+acc_x*pas</f>
        <v>34.2924257091672</v>
      </c>
      <c r="H247" s="451" t="n">
        <f aca="false">H246+acc_z*pas</f>
        <v>148.540499765513</v>
      </c>
      <c r="I247" s="449" t="n">
        <f aca="false">SQRT(vit_x^2+vit_z^2)</f>
        <v>152.447533701294</v>
      </c>
      <c r="J247" s="450" t="n">
        <f aca="false">J246+0.5*(vit_x+G246)*pas*(K246&gt;=0)</f>
        <v>42.4003461637918</v>
      </c>
      <c r="K247" s="451" t="n">
        <f aca="false">K246+0.5*(vit_z+H246)*pas</f>
        <v>197.500814676927</v>
      </c>
      <c r="L247" s="449" t="n">
        <f aca="false">SQRT(pos_x^2+pos_z^2)</f>
        <v>202.000893940743</v>
      </c>
      <c r="M247" s="450" t="n">
        <f aca="false">IF(AND(L246&gt;L_rampe,G247&gt;0),ATAN2(G247,H247),$M$4)</f>
        <v>1.34390896180896</v>
      </c>
      <c r="N247" s="449" t="n">
        <f aca="false">DEGREES(Beta)</f>
        <v>77.0003115614616</v>
      </c>
      <c r="O247" s="438"/>
      <c r="P247" s="452" t="n">
        <f aca="false">MATCH(t-pas/2-T_ini,CdP_t)</f>
        <v>6</v>
      </c>
      <c r="Q247" s="449" t="n">
        <f aca="false">(INDEX(CdP,2,i_P+1)-INDEX(CdP,2,i_P+0))/(INDEX(CdP,1,i_P+1)-INDEX(CdP,1,i_P+0))*(t-pas/2-T_ini-INDEX(CdP,1,i_P+0))+INDEX(CdP,2,i_P+0)</f>
        <v>523.950000000001</v>
      </c>
      <c r="R247" s="450" t="n">
        <f aca="false">Poussee/(g*ISP)</f>
        <v>0.262946093267975</v>
      </c>
      <c r="S247" s="451" t="n">
        <f aca="false">S246-Débit*pas</f>
        <v>8.83873348042383</v>
      </c>
      <c r="T247" s="449" t="n">
        <f aca="false">m*g</f>
        <v>86.7079754429578</v>
      </c>
      <c r="U247" s="453" t="n">
        <f aca="false">IF(pos_xz&lt;L_rampe,Poids*COS(Beta),0)</f>
        <v>0</v>
      </c>
      <c r="V247" s="450" t="n">
        <f aca="false">Rho_moyen*(20000-Alt_rampe-pos_z)/(20000+Alt_rampe+pos_z)</f>
        <v>1.20104272922683</v>
      </c>
      <c r="W247" s="449" t="n">
        <f aca="false">1/2*Rho*Sref*Cx*vit_xz^2</f>
        <v>62.0633910247654</v>
      </c>
      <c r="X247" s="438"/>
      <c r="Y247" s="454" t="str">
        <f aca="false">IF(AND(pos_z&lt;=0,K246&gt;0),"Impact balistique","") &amp; IF(AND(H248&lt;0,vit_z&gt;=0),"Apogée","") &amp; IF(AND(Poussee=0,Q246&gt;0),"Fin de propulsion","") &amp; IF(AND(L248&gt;L_rampe,pos_xz&lt;=L_rampe),"Sortie de rampe","")</f>
        <v/>
      </c>
      <c r="Z247" s="455" t="str">
        <f aca="false">IF(ABS(t-T_para)&lt;pas/2,"Para","")</f>
        <v/>
      </c>
      <c r="AA247" s="456" t="str">
        <f aca="false">IF(ABS(t-T_satellite)&lt;pas/2,"Satellite","")</f>
        <v/>
      </c>
      <c r="AB247" s="444"/>
      <c r="AC247" s="452" t="e">
        <f aca="false">IF(ABS(t-ROUND(t,0))&lt;0.001,t,NA())</f>
        <v>#N/A</v>
      </c>
      <c r="AD247" s="457" t="e">
        <f aca="false">IF(ABS(t-ROUND(t,0))&lt;0.001,pos_x,NA())</f>
        <v>#N/A</v>
      </c>
      <c r="AE247" s="458" t="n">
        <f aca="false">IF(t&lt;T_para, pos_z, NA())</f>
        <v>197.500814676927</v>
      </c>
      <c r="AF247" s="444"/>
      <c r="AG247" s="450" t="n">
        <f aca="false">IF(AND(L246&lt;L_rampe,Poussee&lt;Poids*SIN(M246)),0,(-W246+Poussee)/m-Poids*SIN(M246)/m)</f>
        <v>42.7364798832471</v>
      </c>
      <c r="AH247" s="449" t="n">
        <f aca="false">IF(AND(L246&lt;L_rampe,Poussee&lt;Poids*SIN(M246)), g*SIN(M246), (-W246+Poussee)/m)</f>
        <v>52.2953813465592</v>
      </c>
    </row>
    <row r="248" customFormat="false" ht="12" hidden="false" customHeight="false" outlineLevel="0" collapsed="false">
      <c r="A248" s="448" t="n">
        <f aca="false">IF(B247+0.01&lt;=T_ini+ROUNDUP(Temps_fin_propu,0), 0.01, IF(K247&gt;0, 0.1, 0.0001))</f>
        <v>0.01</v>
      </c>
      <c r="B248" s="449" t="n">
        <f aca="false">B247+pas</f>
        <v>2.43999999999999</v>
      </c>
      <c r="C248" s="432"/>
      <c r="D248" s="450" t="n">
        <f aca="false">IF(AND(L247&lt;L_rampe,Poussee&lt;Poids*SIN(M247)),0,(-W247+Poussee)/m*COS(M247)-U247/m*SIN(M247))</f>
        <v>11.7213339157238</v>
      </c>
      <c r="E248" s="451" t="n">
        <f aca="false">IF(AND(L247&lt;L_rampe,Poussee&lt;Poids*SIN(M247)),0,(-W247+Poussee)/m*SIN(M247)+U247/m*COS(M247)-Poids/m)</f>
        <v>40.9619346693702</v>
      </c>
      <c r="F248" s="449" t="n">
        <f aca="false">SQRT(acc_x^2+acc_z^2)</f>
        <v>42.6059826857878</v>
      </c>
      <c r="G248" s="450" t="n">
        <f aca="false">G247+acc_x*pas</f>
        <v>34.4096390483245</v>
      </c>
      <c r="H248" s="451" t="n">
        <f aca="false">H247+acc_z*pas</f>
        <v>148.950119112206</v>
      </c>
      <c r="I248" s="449" t="n">
        <f aca="false">SQRT(vit_x^2+vit_z^2)</f>
        <v>152.873023267601</v>
      </c>
      <c r="J248" s="450" t="n">
        <f aca="false">J247+0.5*(vit_x+G247)*pas*(K247&gt;=0)</f>
        <v>42.7438564875793</v>
      </c>
      <c r="K248" s="451" t="n">
        <f aca="false">K247+0.5*(vit_z+H247)*pas</f>
        <v>198.988267771316</v>
      </c>
      <c r="L248" s="449" t="n">
        <f aca="false">SQRT(pos_x^2+pos_z^2)</f>
        <v>203.527315066209</v>
      </c>
      <c r="M248" s="450" t="n">
        <f aca="false">IF(AND(L247&gt;L_rampe,G248&gt;0),ATAN2(G248,H248),$M$4)</f>
        <v>1.34376461208484</v>
      </c>
      <c r="N248" s="449" t="n">
        <f aca="false">DEGREES(Beta)</f>
        <v>76.9920409314957</v>
      </c>
      <c r="O248" s="438"/>
      <c r="P248" s="452" t="n">
        <f aca="false">MATCH(t-pas/2-T_ini,CdP_t)</f>
        <v>6</v>
      </c>
      <c r="Q248" s="449" t="n">
        <f aca="false">(INDEX(CdP,2,i_P+1)-INDEX(CdP,2,i_P+0))/(INDEX(CdP,1,i_P+1)-INDEX(CdP,1,i_P+0))*(t-pas/2-T_ini-INDEX(CdP,1,i_P+0))+INDEX(CdP,2,i_P+0)</f>
        <v>522.490000000001</v>
      </c>
      <c r="R248" s="450" t="n">
        <f aca="false">Poussee/(g*ISP)</f>
        <v>0.262213387291887</v>
      </c>
      <c r="S248" s="451" t="n">
        <f aca="false">S247-Débit*pas</f>
        <v>8.83611134655091</v>
      </c>
      <c r="T248" s="449" t="n">
        <f aca="false">m*g</f>
        <v>86.6822523096645</v>
      </c>
      <c r="U248" s="453" t="n">
        <f aca="false">IF(pos_xz&lt;L_rampe,Poids*COS(Beta),0)</f>
        <v>0</v>
      </c>
      <c r="V248" s="450" t="n">
        <f aca="false">Rho_moyen*(20000-Alt_rampe-pos_z)/(20000+Alt_rampe+pos_z)</f>
        <v>1.20086407548849</v>
      </c>
      <c r="W248" s="449" t="n">
        <f aca="false">1/2*Rho*Sref*Cx*vit_xz^2</f>
        <v>62.4010358035924</v>
      </c>
      <c r="X248" s="438"/>
      <c r="Y248" s="454" t="str">
        <f aca="false">IF(AND(pos_z&lt;=0,K247&gt;0),"Impact balistique","") &amp; IF(AND(H249&lt;0,vit_z&gt;=0),"Apogée","") &amp; IF(AND(Poussee=0,Q247&gt;0),"Fin de propulsion","") &amp; IF(AND(L249&gt;L_rampe,pos_xz&lt;=L_rampe),"Sortie de rampe","")</f>
        <v/>
      </c>
      <c r="Z248" s="455" t="str">
        <f aca="false">IF(ABS(t-T_para)&lt;pas/2,"Para","")</f>
        <v/>
      </c>
      <c r="AA248" s="456" t="str">
        <f aca="false">IF(ABS(t-T_satellite)&lt;pas/2,"Satellite","")</f>
        <v/>
      </c>
      <c r="AB248" s="444"/>
      <c r="AC248" s="452" t="e">
        <f aca="false">IF(ABS(t-ROUND(t,0))&lt;0.001,t,NA())</f>
        <v>#N/A</v>
      </c>
      <c r="AD248" s="457" t="e">
        <f aca="false">IF(ABS(t-ROUND(t,0))&lt;0.001,pos_x,NA())</f>
        <v>#N/A</v>
      </c>
      <c r="AE248" s="458" t="n">
        <f aca="false">IF(t&lt;T_para, pos_z, NA())</f>
        <v>198.988267771316</v>
      </c>
      <c r="AF248" s="444"/>
      <c r="AG248" s="450" t="n">
        <f aca="false">IF(AND(L247&lt;L_rampe,Poussee&lt;Poids*SIN(M247)),0,(-W247+Poussee)/m-Poids*SIN(M247)/m)</f>
        <v>42.5487973611789</v>
      </c>
      <c r="AH248" s="449" t="n">
        <f aca="false">IF(AND(L247&lt;L_rampe,Poussee&lt;Poids*SIN(M247)), g*SIN(M247), (-W247+Poussee)/m)</f>
        <v>52.107379696495</v>
      </c>
    </row>
    <row r="249" customFormat="false" ht="12" hidden="false" customHeight="false" outlineLevel="0" collapsed="false">
      <c r="A249" s="448" t="n">
        <f aca="false">IF(B248+0.01&lt;=T_ini+ROUNDUP(Temps_fin_propu,0), 0.01, IF(K248&gt;0, 0.1, 0.0001))</f>
        <v>0.01</v>
      </c>
      <c r="B249" s="449" t="n">
        <f aca="false">B248+pas</f>
        <v>2.44999999999999</v>
      </c>
      <c r="C249" s="432"/>
      <c r="D249" s="450" t="n">
        <f aca="false">IF(AND(L248&lt;L_rampe,Poussee&lt;Poids*SIN(M248)),0,(-W248+Poussee)/m*COS(M248)-U248/m*SIN(M248))</f>
        <v>11.6863287118594</v>
      </c>
      <c r="E249" s="451" t="n">
        <f aca="false">IF(AND(L248&lt;L_rampe,Poussee&lt;Poids*SIN(M248)),0,(-W248+Poussee)/m*SIN(M248)+U248/m*COS(M248)-Poids/m)</f>
        <v>40.7769896272748</v>
      </c>
      <c r="F249" s="449" t="n">
        <f aca="false">SQRT(acc_x^2+acc_z^2)</f>
        <v>42.4185473799434</v>
      </c>
      <c r="G249" s="450" t="n">
        <f aca="false">G248+acc_x*pas</f>
        <v>34.5265023354431</v>
      </c>
      <c r="H249" s="451" t="n">
        <f aca="false">H248+acc_z*pas</f>
        <v>149.357889008479</v>
      </c>
      <c r="I249" s="449" t="n">
        <f aca="false">SQRT(vit_x^2+vit_z^2)</f>
        <v>153.296635229181</v>
      </c>
      <c r="J249" s="450" t="n">
        <f aca="false">J248+0.5*(vit_x+G248)*pas*(K248&gt;=0)</f>
        <v>43.0885371944981</v>
      </c>
      <c r="K249" s="451" t="n">
        <f aca="false">K248+0.5*(vit_z+H248)*pas</f>
        <v>200.479807811919</v>
      </c>
      <c r="L249" s="449" t="n">
        <f aca="false">SQRT(pos_x^2+pos_z^2)</f>
        <v>205.057980527132</v>
      </c>
      <c r="M249" s="450" t="n">
        <f aca="false">IF(AND(L248&gt;L_rampe,G249&gt;0),ATAN2(G249,H249),$M$4)</f>
        <v>1.34362057124364</v>
      </c>
      <c r="N249" s="449" t="n">
        <f aca="false">DEGREES(Beta)</f>
        <v>76.9837879992176</v>
      </c>
      <c r="O249" s="438"/>
      <c r="P249" s="452" t="n">
        <f aca="false">MATCH(t-pas/2-T_ini,CdP_t)</f>
        <v>6</v>
      </c>
      <c r="Q249" s="449" t="n">
        <f aca="false">(INDEX(CdP,2,i_P+1)-INDEX(CdP,2,i_P+0))/(INDEX(CdP,1,i_P+1)-INDEX(CdP,1,i_P+0))*(t-pas/2-T_ini-INDEX(CdP,1,i_P+0))+INDEX(CdP,2,i_P+0)</f>
        <v>521.030000000001</v>
      </c>
      <c r="R249" s="450" t="n">
        <f aca="false">Poussee/(g*ISP)</f>
        <v>0.261480681315799</v>
      </c>
      <c r="S249" s="451" t="n">
        <f aca="false">S248-Débit*pas</f>
        <v>8.83349653973776</v>
      </c>
      <c r="T249" s="449" t="n">
        <f aca="false">m*g</f>
        <v>86.6566010548274</v>
      </c>
      <c r="U249" s="453" t="n">
        <f aca="false">IF(pos_xz&lt;L_rampe,Poids*COS(Beta),0)</f>
        <v>0</v>
      </c>
      <c r="V249" s="450" t="n">
        <f aca="false">Rho_moyen*(20000-Alt_rampe-pos_z)/(20000+Alt_rampe+pos_z)</f>
        <v>1.20068495729744</v>
      </c>
      <c r="W249" s="449" t="n">
        <f aca="false">1/2*Rho*Sref*Cx*vit_xz^2</f>
        <v>62.7379829003806</v>
      </c>
      <c r="X249" s="438"/>
      <c r="Y249" s="454" t="str">
        <f aca="false">IF(AND(pos_z&lt;=0,K248&gt;0),"Impact balistique","") &amp; IF(AND(H250&lt;0,vit_z&gt;=0),"Apogée","") &amp; IF(AND(Poussee=0,Q248&gt;0),"Fin de propulsion","") &amp; IF(AND(L250&gt;L_rampe,pos_xz&lt;=L_rampe),"Sortie de rampe","")</f>
        <v/>
      </c>
      <c r="Z249" s="455" t="str">
        <f aca="false">IF(ABS(t-T_para)&lt;pas/2,"Para","")</f>
        <v/>
      </c>
      <c r="AA249" s="456" t="str">
        <f aca="false">IF(ABS(t-T_satellite)&lt;pas/2,"Satellite","")</f>
        <v/>
      </c>
      <c r="AB249" s="444"/>
      <c r="AC249" s="452" t="e">
        <f aca="false">IF(ABS(t-ROUND(t,0))&lt;0.001,t,NA())</f>
        <v>#N/A</v>
      </c>
      <c r="AD249" s="457" t="e">
        <f aca="false">IF(ABS(t-ROUND(t,0))&lt;0.001,pos_x,NA())</f>
        <v>#N/A</v>
      </c>
      <c r="AE249" s="458" t="n">
        <f aca="false">IF(t&lt;T_para, pos_z, NA())</f>
        <v>200.479807811919</v>
      </c>
      <c r="AF249" s="444"/>
      <c r="AG249" s="450" t="n">
        <f aca="false">IF(AND(L248&lt;L_rampe,Poussee&lt;Poids*SIN(M248)),0,(-W248+Poussee)/m-Poids*SIN(M248)/m)</f>
        <v>42.361037129874</v>
      </c>
      <c r="AH249" s="449" t="n">
        <f aca="false">IF(AND(L248&lt;L_rampe,Poussee&lt;Poids*SIN(M248)), g*SIN(M248), (-W248+Poussee)/m)</f>
        <v>51.9193008264907</v>
      </c>
    </row>
    <row r="250" customFormat="false" ht="12" hidden="false" customHeight="false" outlineLevel="0" collapsed="false">
      <c r="A250" s="448" t="n">
        <f aca="false">IF(B249+0.01&lt;=T_ini+ROUNDUP(Temps_fin_propu,0), 0.01, IF(K249&gt;0, 0.1, 0.0001))</f>
        <v>0.01</v>
      </c>
      <c r="B250" s="449" t="n">
        <f aca="false">B249+pas</f>
        <v>2.45999999999999</v>
      </c>
      <c r="C250" s="432"/>
      <c r="D250" s="450" t="n">
        <f aca="false">IF(AND(L249&lt;L_rampe,Poussee&lt;Poids*SIN(M249)),0,(-W249+Poussee)/m*COS(M249)-U249/m*SIN(M249))</f>
        <v>11.651237832448</v>
      </c>
      <c r="E250" s="451" t="n">
        <f aca="false">IF(AND(L249&lt;L_rampe,Poussee&lt;Poids*SIN(M249)),0,(-W249+Poussee)/m*SIN(M249)+U249/m*COS(M249)-Poids/m)</f>
        <v>40.5919859898685</v>
      </c>
      <c r="F250" s="449" t="n">
        <f aca="false">SQRT(acc_x^2+acc_z^2)</f>
        <v>42.2310391729821</v>
      </c>
      <c r="G250" s="450" t="n">
        <f aca="false">G249+acc_x*pas</f>
        <v>34.6430147137675</v>
      </c>
      <c r="H250" s="451" t="n">
        <f aca="false">H249+acc_z*pas</f>
        <v>149.763808868378</v>
      </c>
      <c r="I250" s="449" t="n">
        <f aca="false">SQRT(vit_x^2+vit_z^2)</f>
        <v>153.718368828264</v>
      </c>
      <c r="J250" s="450" t="n">
        <f aca="false">J249+0.5*(vit_x+G249)*pas*(K249&gt;=0)</f>
        <v>43.4343847797442</v>
      </c>
      <c r="K250" s="451" t="n">
        <f aca="false">K249+0.5*(vit_z+H249)*pas</f>
        <v>201.975416301304</v>
      </c>
      <c r="L250" s="449" t="n">
        <f aca="false">SQRT(pos_x^2+pos_z^2)</f>
        <v>206.592871540331</v>
      </c>
      <c r="M250" s="450" t="n">
        <f aca="false">IF(AND(L249&gt;L_rampe,G250&gt;0),ATAN2(G250,H250),$M$4)</f>
        <v>1.34347683602167</v>
      </c>
      <c r="N250" s="449" t="n">
        <f aca="false">DEGREES(Beta)</f>
        <v>76.9755525776311</v>
      </c>
      <c r="O250" s="438"/>
      <c r="P250" s="452" t="n">
        <f aca="false">MATCH(t-pas/2-T_ini,CdP_t)</f>
        <v>6</v>
      </c>
      <c r="Q250" s="449" t="n">
        <f aca="false">(INDEX(CdP,2,i_P+1)-INDEX(CdP,2,i_P+0))/(INDEX(CdP,1,i_P+1)-INDEX(CdP,1,i_P+0))*(t-pas/2-T_ini-INDEX(CdP,1,i_P+0))+INDEX(CdP,2,i_P+0)</f>
        <v>519.570000000001</v>
      </c>
      <c r="R250" s="450" t="n">
        <f aca="false">Poussee/(g*ISP)</f>
        <v>0.260747975339711</v>
      </c>
      <c r="S250" s="451" t="n">
        <f aca="false">S249-Débit*pas</f>
        <v>8.83088905998436</v>
      </c>
      <c r="T250" s="449" t="n">
        <f aca="false">m*g</f>
        <v>86.6310216784466</v>
      </c>
      <c r="U250" s="453" t="n">
        <f aca="false">IF(pos_xz&lt;L_rampe,Poids*COS(Beta),0)</f>
        <v>0</v>
      </c>
      <c r="V250" s="450" t="n">
        <f aca="false">Rho_moyen*(20000-Alt_rampe-pos_z)/(20000+Alt_rampe+pos_z)</f>
        <v>1.2005053770861</v>
      </c>
      <c r="W250" s="449" t="n">
        <f aca="false">1/2*Rho*Sref*Cx*vit_xz^2</f>
        <v>63.0742189357727</v>
      </c>
      <c r="X250" s="438"/>
      <c r="Y250" s="454" t="str">
        <f aca="false">IF(AND(pos_z&lt;=0,K249&gt;0),"Impact balistique","") &amp; IF(AND(H251&lt;0,vit_z&gt;=0),"Apogée","") &amp; IF(AND(Poussee=0,Q249&gt;0),"Fin de propulsion","") &amp; IF(AND(L251&gt;L_rampe,pos_xz&lt;=L_rampe),"Sortie de rampe","")</f>
        <v/>
      </c>
      <c r="Z250" s="455" t="str">
        <f aca="false">IF(ABS(t-T_para)&lt;pas/2,"Para","")</f>
        <v/>
      </c>
      <c r="AA250" s="456" t="str">
        <f aca="false">IF(ABS(t-T_satellite)&lt;pas/2,"Satellite","")</f>
        <v/>
      </c>
      <c r="AB250" s="444"/>
      <c r="AC250" s="452" t="e">
        <f aca="false">IF(ABS(t-ROUND(t,0))&lt;0.001,t,NA())</f>
        <v>#N/A</v>
      </c>
      <c r="AD250" s="457" t="e">
        <f aca="false">IF(ABS(t-ROUND(t,0))&lt;0.001,pos_x,NA())</f>
        <v>#N/A</v>
      </c>
      <c r="AE250" s="458" t="n">
        <f aca="false">IF(t&lt;T_para, pos_z, NA())</f>
        <v>201.975416301304</v>
      </c>
      <c r="AF250" s="444"/>
      <c r="AG250" s="450" t="n">
        <f aca="false">IF(AND(L249&lt;L_rampe,Poussee&lt;Poids*SIN(M249)),0,(-W249+Poussee)/m-Poids*SIN(M249)/m)</f>
        <v>42.1732011187072</v>
      </c>
      <c r="AH250" s="449" t="n">
        <f aca="false">IF(AND(L249&lt;L_rampe,Poussee&lt;Poids*SIN(M249)), g*SIN(M249), (-W249+Poussee)/m)</f>
        <v>51.7311466599298</v>
      </c>
    </row>
    <row r="251" customFormat="false" ht="12" hidden="false" customHeight="false" outlineLevel="0" collapsed="false">
      <c r="A251" s="448" t="n">
        <f aca="false">IF(B250+0.01&lt;=T_ini+ROUNDUP(Temps_fin_propu,0), 0.01, IF(K250&gt;0, 0.1, 0.0001))</f>
        <v>0.01</v>
      </c>
      <c r="B251" s="449" t="n">
        <f aca="false">B250+pas</f>
        <v>2.46999999999999</v>
      </c>
      <c r="C251" s="432"/>
      <c r="D251" s="450" t="n">
        <f aca="false">IF(AND(L250&lt;L_rampe,Poussee&lt;Poids*SIN(M250)),0,(-W250+Poussee)/m*COS(M250)-U250/m*SIN(M250))</f>
        <v>11.6160620156889</v>
      </c>
      <c r="E251" s="451" t="n">
        <f aca="false">IF(AND(L250&lt;L_rampe,Poussee&lt;Poids*SIN(M250)),0,(-W250+Poussee)/m*SIN(M250)+U250/m*COS(M250)-Poids/m)</f>
        <v>40.4069255734401</v>
      </c>
      <c r="F251" s="449" t="n">
        <f aca="false">SQRT(acc_x^2+acc_z^2)</f>
        <v>42.043460027094</v>
      </c>
      <c r="G251" s="450" t="n">
        <f aca="false">G250+acc_x*pas</f>
        <v>34.7591753339244</v>
      </c>
      <c r="H251" s="451" t="n">
        <f aca="false">H250+acc_z*pas</f>
        <v>150.167878124112</v>
      </c>
      <c r="I251" s="449" t="n">
        <f aca="false">SQRT(vit_x^2+vit_z^2)</f>
        <v>154.138223326314</v>
      </c>
      <c r="J251" s="450" t="n">
        <f aca="false">J250+0.5*(vit_x+G250)*pas*(K250&gt;=0)</f>
        <v>43.7813957299826</v>
      </c>
      <c r="K251" s="451" t="n">
        <f aca="false">K250+0.5*(vit_z+H250)*pas</f>
        <v>203.475074736266</v>
      </c>
      <c r="L251" s="449" t="n">
        <f aca="false">SQRT(pos_x^2+pos_z^2)</f>
        <v>208.13196931513</v>
      </c>
      <c r="M251" s="450" t="n">
        <f aca="false">IF(AND(L250&gt;L_rampe,G251&gt;0),ATAN2(G251,H251),$M$4)</f>
        <v>1.34333340319045</v>
      </c>
      <c r="N251" s="449" t="n">
        <f aca="false">DEGREES(Beta)</f>
        <v>76.9673344817586</v>
      </c>
      <c r="O251" s="438"/>
      <c r="P251" s="452" t="n">
        <f aca="false">MATCH(t-pas/2-T_ini,CdP_t)</f>
        <v>6</v>
      </c>
      <c r="Q251" s="449" t="n">
        <f aca="false">(INDEX(CdP,2,i_P+1)-INDEX(CdP,2,i_P+0))/(INDEX(CdP,1,i_P+1)-INDEX(CdP,1,i_P+0))*(t-pas/2-T_ini-INDEX(CdP,1,i_P+0))+INDEX(CdP,2,i_P+0)</f>
        <v>518.110000000001</v>
      </c>
      <c r="R251" s="450" t="n">
        <f aca="false">Poussee/(g*ISP)</f>
        <v>0.260015269363623</v>
      </c>
      <c r="S251" s="451" t="n">
        <f aca="false">S250-Débit*pas</f>
        <v>8.82828890729072</v>
      </c>
      <c r="T251" s="449" t="n">
        <f aca="false">m*g</f>
        <v>86.605514180522</v>
      </c>
      <c r="U251" s="453" t="n">
        <f aca="false">IF(pos_xz&lt;L_rampe,Poids*COS(Beta),0)</f>
        <v>0</v>
      </c>
      <c r="V251" s="450" t="n">
        <f aca="false">Rho_moyen*(20000-Alt_rampe-pos_z)/(20000+Alt_rampe+pos_z)</f>
        <v>1.20032533728679</v>
      </c>
      <c r="W251" s="449" t="n">
        <f aca="false">1/2*Rho*Sref*Cx*vit_xz^2</f>
        <v>63.4097306080241</v>
      </c>
      <c r="X251" s="438"/>
      <c r="Y251" s="454" t="str">
        <f aca="false">IF(AND(pos_z&lt;=0,K250&gt;0),"Impact balistique","") &amp; IF(AND(H252&lt;0,vit_z&gt;=0),"Apogée","") &amp; IF(AND(Poussee=0,Q250&gt;0),"Fin de propulsion","") &amp; IF(AND(L252&gt;L_rampe,pos_xz&lt;=L_rampe),"Sortie de rampe","")</f>
        <v/>
      </c>
      <c r="Z251" s="455" t="str">
        <f aca="false">IF(ABS(t-T_para)&lt;pas/2,"Para","")</f>
        <v/>
      </c>
      <c r="AA251" s="456" t="str">
        <f aca="false">IF(ABS(t-T_satellite)&lt;pas/2,"Satellite","")</f>
        <v/>
      </c>
      <c r="AB251" s="444"/>
      <c r="AC251" s="452" t="e">
        <f aca="false">IF(ABS(t-ROUND(t,0))&lt;0.001,t,NA())</f>
        <v>#N/A</v>
      </c>
      <c r="AD251" s="457" t="e">
        <f aca="false">IF(ABS(t-ROUND(t,0))&lt;0.001,pos_x,NA())</f>
        <v>#N/A</v>
      </c>
      <c r="AE251" s="458" t="n">
        <f aca="false">IF(t&lt;T_para, pos_z, NA())</f>
        <v>203.475074736266</v>
      </c>
      <c r="AF251" s="444"/>
      <c r="AG251" s="450" t="n">
        <f aca="false">IF(AND(L250&lt;L_rampe,Poussee&lt;Poids*SIN(M250)),0,(-W250+Poussee)/m-Poids*SIN(M250)/m)</f>
        <v>41.9852912508808</v>
      </c>
      <c r="AH251" s="449" t="n">
        <f aca="false">IF(AND(L250&lt;L_rampe,Poussee&lt;Poids*SIN(M250)), g*SIN(M250), (-W250+Poussee)/m)</f>
        <v>51.5429191140815</v>
      </c>
    </row>
    <row r="252" customFormat="false" ht="12" hidden="false" customHeight="false" outlineLevel="0" collapsed="false">
      <c r="A252" s="448" t="n">
        <f aca="false">IF(B251+0.01&lt;=T_ini+ROUNDUP(Temps_fin_propu,0), 0.01, IF(K251&gt;0, 0.1, 0.0001))</f>
        <v>0.01</v>
      </c>
      <c r="B252" s="449" t="n">
        <f aca="false">B251+pas</f>
        <v>2.47999999999999</v>
      </c>
      <c r="C252" s="432"/>
      <c r="D252" s="450" t="n">
        <f aca="false">IF(AND(L251&lt;L_rampe,Poussee&lt;Poids*SIN(M251)),0,(-W251+Poussee)/m*COS(M251)-U251/m*SIN(M251))</f>
        <v>11.5808019953993</v>
      </c>
      <c r="E252" s="451" t="n">
        <f aca="false">IF(AND(L251&lt;L_rampe,Poussee&lt;Poids*SIN(M251)),0,(-W251+Poussee)/m*SIN(M251)+U251/m*COS(M251)-Poids/m)</f>
        <v>40.2218101887559</v>
      </c>
      <c r="F252" s="449" t="n">
        <f aca="false">SQRT(acc_x^2+acc_z^2)</f>
        <v>41.8558118989102</v>
      </c>
      <c r="G252" s="450" t="n">
        <f aca="false">G251+acc_x*pas</f>
        <v>34.8749833538784</v>
      </c>
      <c r="H252" s="451" t="n">
        <f aca="false">H251+acc_z*pas</f>
        <v>150.570096226</v>
      </c>
      <c r="I252" s="449" t="n">
        <f aca="false">SQRT(vit_x^2+vit_z^2)</f>
        <v>154.556198003963</v>
      </c>
      <c r="J252" s="450" t="n">
        <f aca="false">J251+0.5*(vit_x+G251)*pas*(K251&gt;=0)</f>
        <v>44.1295665234217</v>
      </c>
      <c r="K252" s="451" t="n">
        <f aca="false">K251+0.5*(vit_z+H251)*pas</f>
        <v>204.978764608017</v>
      </c>
      <c r="L252" s="449" t="n">
        <f aca="false">SQRT(pos_x^2+pos_z^2)</f>
        <v>209.675255053556</v>
      </c>
      <c r="M252" s="450" t="n">
        <f aca="false">IF(AND(L251&gt;L_rampe,G252&gt;0),ATAN2(G252,H252),$M$4)</f>
        <v>1.34319026955618</v>
      </c>
      <c r="N252" s="449" t="n">
        <f aca="false">DEGREES(Beta)</f>
        <v>76.9591335286085</v>
      </c>
      <c r="O252" s="438"/>
      <c r="P252" s="452" t="n">
        <f aca="false">MATCH(t-pas/2-T_ini,CdP_t)</f>
        <v>6</v>
      </c>
      <c r="Q252" s="449" t="n">
        <f aca="false">(INDEX(CdP,2,i_P+1)-INDEX(CdP,2,i_P+0))/(INDEX(CdP,1,i_P+1)-INDEX(CdP,1,i_P+0))*(t-pas/2-T_ini-INDEX(CdP,1,i_P+0))+INDEX(CdP,2,i_P+0)</f>
        <v>516.650000000001</v>
      </c>
      <c r="R252" s="450" t="n">
        <f aca="false">Poussee/(g*ISP)</f>
        <v>0.259282563387535</v>
      </c>
      <c r="S252" s="451" t="n">
        <f aca="false">S251-Débit*pas</f>
        <v>8.82569608165685</v>
      </c>
      <c r="T252" s="449" t="n">
        <f aca="false">m*g</f>
        <v>86.5800785610537</v>
      </c>
      <c r="U252" s="453" t="n">
        <f aca="false">IF(pos_xz&lt;L_rampe,Poids*COS(Beta),0)</f>
        <v>0</v>
      </c>
      <c r="V252" s="450" t="n">
        <f aca="false">Rho_moyen*(20000-Alt_rampe-pos_z)/(20000+Alt_rampe+pos_z)</f>
        <v>1.20014484033167</v>
      </c>
      <c r="W252" s="449" t="n">
        <f aca="false">1/2*Rho*Sref*Cx*vit_xz^2</f>
        <v>63.7445046932295</v>
      </c>
      <c r="X252" s="438"/>
      <c r="Y252" s="454" t="str">
        <f aca="false">IF(AND(pos_z&lt;=0,K251&gt;0),"Impact balistique","") &amp; IF(AND(H253&lt;0,vit_z&gt;=0),"Apogée","") &amp; IF(AND(Poussee=0,Q251&gt;0),"Fin de propulsion","") &amp; IF(AND(L253&gt;L_rampe,pos_xz&lt;=L_rampe),"Sortie de rampe","")</f>
        <v/>
      </c>
      <c r="Z252" s="455" t="str">
        <f aca="false">IF(ABS(t-T_para)&lt;pas/2,"Para","")</f>
        <v/>
      </c>
      <c r="AA252" s="456" t="str">
        <f aca="false">IF(ABS(t-T_satellite)&lt;pas/2,"Satellite","")</f>
        <v/>
      </c>
      <c r="AB252" s="444"/>
      <c r="AC252" s="452" t="e">
        <f aca="false">IF(ABS(t-ROUND(t,0))&lt;0.001,t,NA())</f>
        <v>#N/A</v>
      </c>
      <c r="AD252" s="457" t="e">
        <f aca="false">IF(ABS(t-ROUND(t,0))&lt;0.001,pos_x,NA())</f>
        <v>#N/A</v>
      </c>
      <c r="AE252" s="458" t="n">
        <f aca="false">IF(t&lt;T_para, pos_z, NA())</f>
        <v>204.978764608017</v>
      </c>
      <c r="AF252" s="444"/>
      <c r="AG252" s="450" t="n">
        <f aca="false">IF(AND(L251&lt;L_rampe,Poussee&lt;Poids*SIN(M251)),0,(-W251+Poussee)/m-Poids*SIN(M251)/m)</f>
        <v>41.7973094433738</v>
      </c>
      <c r="AH252" s="449" t="n">
        <f aca="false">IF(AND(L251&lt;L_rampe,Poussee&lt;Poids*SIN(M251)), g*SIN(M251), (-W251+Poussee)/m)</f>
        <v>51.3546201000489</v>
      </c>
    </row>
    <row r="253" customFormat="false" ht="12" hidden="false" customHeight="false" outlineLevel="0" collapsed="false">
      <c r="A253" s="448" t="n">
        <f aca="false">IF(B252+0.01&lt;=T_ini+ROUNDUP(Temps_fin_propu,0), 0.01, IF(K252&gt;0, 0.1, 0.0001))</f>
        <v>0.01</v>
      </c>
      <c r="B253" s="449" t="n">
        <f aca="false">B252+pas</f>
        <v>2.48999999999999</v>
      </c>
      <c r="C253" s="432"/>
      <c r="D253" s="450" t="n">
        <f aca="false">IF(AND(L252&lt;L_rampe,Poussee&lt;Poids*SIN(M252)),0,(-W252+Poussee)/m*COS(M252)-U252/m*SIN(M252))</f>
        <v>11.5454585010523</v>
      </c>
      <c r="E253" s="451" t="n">
        <f aca="false">IF(AND(L252&lt;L_rampe,Poussee&lt;Poids*SIN(M252)),0,(-W252+Poussee)/m*SIN(M252)+U252/m*COS(M252)-Poids/m)</f>
        <v>40.0366416410031</v>
      </c>
      <c r="F253" s="449" t="n">
        <f aca="false">SQRT(acc_x^2+acc_z^2)</f>
        <v>41.6680967394676</v>
      </c>
      <c r="G253" s="450" t="n">
        <f aca="false">G252+acc_x*pas</f>
        <v>34.9904379388889</v>
      </c>
      <c r="H253" s="451" t="n">
        <f aca="false">H252+acc_z*pas</f>
        <v>150.97046264241</v>
      </c>
      <c r="I253" s="449" t="n">
        <f aca="false">SQRT(vit_x^2+vit_z^2)</f>
        <v>154.972292160949</v>
      </c>
      <c r="J253" s="450" t="n">
        <f aca="false">J252+0.5*(vit_x+G252)*pas*(K252&gt;=0)</f>
        <v>44.4788936298855</v>
      </c>
      <c r="K253" s="451" t="n">
        <f aca="false">K252+0.5*(vit_z+H252)*pas</f>
        <v>206.486467402359</v>
      </c>
      <c r="L253" s="449" t="n">
        <f aca="false">SQRT(pos_x^2+pos_z^2)</f>
        <v>211.222709950526</v>
      </c>
      <c r="M253" s="450" t="n">
        <f aca="false">IF(AND(L252&gt;L_rampe,G253&gt;0),ATAN2(G253,H253),$M$4)</f>
        <v>1.34304743195915</v>
      </c>
      <c r="N253" s="449" t="n">
        <f aca="false">DEGREES(Beta)</f>
        <v>76.950949537143</v>
      </c>
      <c r="O253" s="438"/>
      <c r="P253" s="452" t="n">
        <f aca="false">MATCH(t-pas/2-T_ini,CdP_t)</f>
        <v>6</v>
      </c>
      <c r="Q253" s="449" t="n">
        <f aca="false">(INDEX(CdP,2,i_P+1)-INDEX(CdP,2,i_P+0))/(INDEX(CdP,1,i_P+1)-INDEX(CdP,1,i_P+0))*(t-pas/2-T_ini-INDEX(CdP,1,i_P+0))+INDEX(CdP,2,i_P+0)</f>
        <v>515.190000000001</v>
      </c>
      <c r="R253" s="450" t="n">
        <f aca="false">Poussee/(g*ISP)</f>
        <v>0.258549857411448</v>
      </c>
      <c r="S253" s="451" t="n">
        <f aca="false">S252-Débit*pas</f>
        <v>8.82311058308273</v>
      </c>
      <c r="T253" s="449" t="n">
        <f aca="false">m*g</f>
        <v>86.5547148200416</v>
      </c>
      <c r="U253" s="453" t="n">
        <f aca="false">IF(pos_xz&lt;L_rampe,Poids*COS(Beta),0)</f>
        <v>0</v>
      </c>
      <c r="V253" s="450" t="n">
        <f aca="false">Rho_moyen*(20000-Alt_rampe-pos_z)/(20000+Alt_rampe+pos_z)</f>
        <v>1.19996388865269</v>
      </c>
      <c r="W253" s="449" t="n">
        <f aca="false">1/2*Rho*Sref*Cx*vit_xz^2</f>
        <v>64.0785280455459</v>
      </c>
      <c r="X253" s="438"/>
      <c r="Y253" s="454" t="str">
        <f aca="false">IF(AND(pos_z&lt;=0,K252&gt;0),"Impact balistique","") &amp; IF(AND(H254&lt;0,vit_z&gt;=0),"Apogée","") &amp; IF(AND(Poussee=0,Q252&gt;0),"Fin de propulsion","") &amp; IF(AND(L254&gt;L_rampe,pos_xz&lt;=L_rampe),"Sortie de rampe","")</f>
        <v/>
      </c>
      <c r="Z253" s="455" t="str">
        <f aca="false">IF(ABS(t-T_para)&lt;pas/2,"Para","")</f>
        <v/>
      </c>
      <c r="AA253" s="456" t="str">
        <f aca="false">IF(ABS(t-T_satellite)&lt;pas/2,"Satellite","")</f>
        <v/>
      </c>
      <c r="AB253" s="444"/>
      <c r="AC253" s="452" t="e">
        <f aca="false">IF(ABS(t-ROUND(t,0))&lt;0.001,t,NA())</f>
        <v>#N/A</v>
      </c>
      <c r="AD253" s="457" t="e">
        <f aca="false">IF(ABS(t-ROUND(t,0))&lt;0.001,pos_x,NA())</f>
        <v>#N/A</v>
      </c>
      <c r="AE253" s="458" t="n">
        <f aca="false">IF(t&lt;T_para, pos_z, NA())</f>
        <v>206.486467402359</v>
      </c>
      <c r="AF253" s="444"/>
      <c r="AG253" s="450" t="n">
        <f aca="false">IF(AND(L252&lt;L_rampe,Poussee&lt;Poids*SIN(M252)),0,(-W252+Poussee)/m-Poids*SIN(M252)/m)</f>
        <v>41.6092576068927</v>
      </c>
      <c r="AH253" s="449" t="n">
        <f aca="false">IF(AND(L252&lt;L_rampe,Poussee&lt;Poids*SIN(M252)), g*SIN(M252), (-W252+Poussee)/m)</f>
        <v>51.1662515227186</v>
      </c>
    </row>
    <row r="254" customFormat="false" ht="12" hidden="false" customHeight="false" outlineLevel="0" collapsed="false">
      <c r="A254" s="448" t="n">
        <f aca="false">IF(B253+0.01&lt;=T_ini+ROUNDUP(Temps_fin_propu,0), 0.01, IF(K253&gt;0, 0.1, 0.0001))</f>
        <v>0.01</v>
      </c>
      <c r="B254" s="449" t="n">
        <f aca="false">B253+pas</f>
        <v>2.49999999999999</v>
      </c>
      <c r="C254" s="432"/>
      <c r="D254" s="450" t="n">
        <f aca="false">IF(AND(L253&lt;L_rampe,Poussee&lt;Poids*SIN(M253)),0,(-W253+Poussee)/m*COS(M253)-U253/m*SIN(M253))</f>
        <v>11.5100322578137</v>
      </c>
      <c r="E254" s="451" t="n">
        <f aca="false">IF(AND(L253&lt;L_rampe,Poussee&lt;Poids*SIN(M253)),0,(-W253+Poussee)/m*SIN(M253)+U253/m*COS(M253)-Poids/m)</f>
        <v>39.8514217297326</v>
      </c>
      <c r="F254" s="449" t="n">
        <f aca="false">SQRT(acc_x^2+acc_z^2)</f>
        <v>41.4803164941749</v>
      </c>
      <c r="G254" s="450" t="n">
        <f aca="false">G253+acc_x*pas</f>
        <v>35.1055382614671</v>
      </c>
      <c r="H254" s="451" t="n">
        <f aca="false">H253+acc_z*pas</f>
        <v>151.368976859707</v>
      </c>
      <c r="I254" s="449" t="n">
        <f aca="false">SQRT(vit_x^2+vit_z^2)</f>
        <v>155.386505116055</v>
      </c>
      <c r="J254" s="450" t="n">
        <f aca="false">J253+0.5*(vit_x+G253)*pas*(K253&gt;=0)</f>
        <v>44.8293735108873</v>
      </c>
      <c r="K254" s="451" t="n">
        <f aca="false">K253+0.5*(vit_z+H253)*pas</f>
        <v>207.998164599869</v>
      </c>
      <c r="L254" s="449" t="n">
        <f aca="false">SQRT(pos_x^2+pos_z^2)</f>
        <v>212.774315194041</v>
      </c>
      <c r="M254" s="450" t="n">
        <f aca="false">IF(AND(L253&gt;L_rampe,G254&gt;0),ATAN2(G254,H254),$M$4)</f>
        <v>1.3429048872732</v>
      </c>
      <c r="N254" s="449" t="n">
        <f aca="false">DEGREES(Beta)</f>
        <v>76.9427823282459</v>
      </c>
      <c r="O254" s="438"/>
      <c r="P254" s="452" t="n">
        <f aca="false">MATCH(t-pas/2-T_ini,CdP_t)</f>
        <v>6</v>
      </c>
      <c r="Q254" s="449" t="n">
        <f aca="false">(INDEX(CdP,2,i_P+1)-INDEX(CdP,2,i_P+0))/(INDEX(CdP,1,i_P+1)-INDEX(CdP,1,i_P+0))*(t-pas/2-T_ini-INDEX(CdP,1,i_P+0))+INDEX(CdP,2,i_P+0)</f>
        <v>513.730000000001</v>
      </c>
      <c r="R254" s="450" t="n">
        <f aca="false">Poussee/(g*ISP)</f>
        <v>0.25781715143536</v>
      </c>
      <c r="S254" s="451" t="n">
        <f aca="false">S253-Débit*pas</f>
        <v>8.82053241156838</v>
      </c>
      <c r="T254" s="449" t="n">
        <f aca="false">m*g</f>
        <v>86.5294229574858</v>
      </c>
      <c r="U254" s="453" t="n">
        <f aca="false">IF(pos_xz&lt;L_rampe,Poids*COS(Beta),0)</f>
        <v>0</v>
      </c>
      <c r="V254" s="450" t="n">
        <f aca="false">Rho_moyen*(20000-Alt_rampe-pos_z)/(20000+Alt_rampe+pos_z)</f>
        <v>1.19978248468162</v>
      </c>
      <c r="W254" s="449" t="n">
        <f aca="false">1/2*Rho*Sref*Cx*vit_xz^2</f>
        <v>64.4117875974087</v>
      </c>
      <c r="X254" s="438"/>
      <c r="Y254" s="454" t="str">
        <f aca="false">IF(AND(pos_z&lt;=0,K253&gt;0),"Impact balistique","") &amp; IF(AND(H255&lt;0,vit_z&gt;=0),"Apogée","") &amp; IF(AND(Poussee=0,Q253&gt;0),"Fin de propulsion","") &amp; IF(AND(L255&gt;L_rampe,pos_xz&lt;=L_rampe),"Sortie de rampe","")</f>
        <v/>
      </c>
      <c r="Z254" s="455" t="str">
        <f aca="false">IF(ABS(t-T_para)&lt;pas/2,"Para","")</f>
        <v/>
      </c>
      <c r="AA254" s="456" t="str">
        <f aca="false">IF(ABS(t-T_satellite)&lt;pas/2,"Satellite","")</f>
        <v/>
      </c>
      <c r="AB254" s="444"/>
      <c r="AC254" s="452" t="e">
        <f aca="false">IF(ABS(t-ROUND(t,0))&lt;0.001,t,NA())</f>
        <v>#N/A</v>
      </c>
      <c r="AD254" s="457" t="e">
        <f aca="false">IF(ABS(t-ROUND(t,0))&lt;0.001,pos_x,NA())</f>
        <v>#N/A</v>
      </c>
      <c r="AE254" s="458" t="n">
        <f aca="false">IF(t&lt;T_para, pos_z, NA())</f>
        <v>207.998164599869</v>
      </c>
      <c r="AF254" s="444"/>
      <c r="AG254" s="450" t="n">
        <f aca="false">IF(AND(L253&lt;L_rampe,Poussee&lt;Poids*SIN(M253)),0,(-W253+Poussee)/m-Poids*SIN(M253)/m)</f>
        <v>41.4211376458217</v>
      </c>
      <c r="AH254" s="449" t="n">
        <f aca="false">IF(AND(L253&lt;L_rampe,Poussee&lt;Poids*SIN(M253)), g*SIN(M253), (-W253+Poussee)/m)</f>
        <v>50.9778152807108</v>
      </c>
    </row>
    <row r="255" customFormat="false" ht="12" hidden="false" customHeight="false" outlineLevel="0" collapsed="false">
      <c r="A255" s="448" t="n">
        <f aca="false">IF(B254+0.01&lt;=T_ini+ROUNDUP(Temps_fin_propu,0), 0.01, IF(K254&gt;0, 0.1, 0.0001))</f>
        <v>0.01</v>
      </c>
      <c r="B255" s="449" t="n">
        <f aca="false">B254+pas</f>
        <v>2.50999999999999</v>
      </c>
      <c r="C255" s="432"/>
      <c r="D255" s="450" t="n">
        <f aca="false">IF(AND(L254&lt;L_rampe,Poussee&lt;Poids*SIN(M254)),0,(-W254+Poussee)/m*COS(M254)-U254/m*SIN(M254))</f>
        <v>11.4670593213349</v>
      </c>
      <c r="E255" s="451" t="n">
        <f aca="false">IF(AND(L254&lt;L_rampe,Poussee&lt;Poids*SIN(M254)),0,(-W254+Poussee)/m*SIN(M254)+U254/m*COS(M254)-Poids/m)</f>
        <v>39.6339659102238</v>
      </c>
      <c r="F255" s="449" t="n">
        <f aca="false">SQRT(acc_x^2+acc_z^2)</f>
        <v>41.2594801621615</v>
      </c>
      <c r="G255" s="450" t="n">
        <f aca="false">G254+acc_x*pas</f>
        <v>35.2202088546804</v>
      </c>
      <c r="H255" s="451" t="n">
        <f aca="false">H254+acc_z*pas</f>
        <v>151.765316518809</v>
      </c>
      <c r="I255" s="449" t="n">
        <f aca="false">SQRT(vit_x^2+vit_z^2)</f>
        <v>155.798505800992</v>
      </c>
      <c r="J255" s="450" t="n">
        <f aca="false">J254+0.5*(vit_x+G254)*pas*(K254&gt;=0)</f>
        <v>45.181002246468</v>
      </c>
      <c r="K255" s="451" t="n">
        <f aca="false">K254+0.5*(vit_z+H254)*pas</f>
        <v>209.513836066762</v>
      </c>
      <c r="L255" s="449" t="n">
        <f aca="false">SQRT(pos_x^2+pos_z^2)</f>
        <v>214.330050313542</v>
      </c>
      <c r="M255" s="450" t="n">
        <f aca="false">IF(AND(L254&gt;L_rampe,G255&gt;0),ATAN2(G255,H255),$M$4)</f>
        <v>1.34276263210349</v>
      </c>
      <c r="N255" s="449" t="n">
        <f aca="false">DEGREES(Beta)</f>
        <v>76.9346317074075</v>
      </c>
      <c r="O255" s="438"/>
      <c r="P255" s="452" t="n">
        <f aca="false">MATCH(t-pas/2-T_ini,CdP_t)</f>
        <v>7</v>
      </c>
      <c r="Q255" s="449" t="n">
        <f aca="false">(INDEX(CdP,2,i_P+1)-INDEX(CdP,2,i_P+0))/(INDEX(CdP,1,i_P+1)-INDEX(CdP,1,i_P+0))*(t-pas/2-T_ini-INDEX(CdP,1,i_P+0))+INDEX(CdP,2,i_P+0)</f>
        <v>511.978723404257</v>
      </c>
      <c r="R255" s="450" t="n">
        <f aca="false">Poussee/(g*ISP)</f>
        <v>0.256938267306946</v>
      </c>
      <c r="S255" s="451" t="n">
        <f aca="false">S254-Débit*pas</f>
        <v>8.81796302889531</v>
      </c>
      <c r="T255" s="449" t="n">
        <f aca="false">m*g</f>
        <v>86.504217313463</v>
      </c>
      <c r="U255" s="453" t="n">
        <f aca="false">IF(pos_xz&lt;L_rampe,Poids*COS(Beta),0)</f>
        <v>0</v>
      </c>
      <c r="V255" s="450" t="n">
        <f aca="false">Rho_moyen*(20000-Alt_rampe-pos_z)/(20000+Alt_rampe+pos_z)</f>
        <v>1.19960063104301</v>
      </c>
      <c r="W255" s="449" t="n">
        <f aca="false">1/2*Rho*Sref*Cx*vit_xz^2</f>
        <v>64.7439957612309</v>
      </c>
      <c r="X255" s="438"/>
      <c r="Y255" s="454" t="str">
        <f aca="false">IF(AND(pos_z&lt;=0,K254&gt;0),"Impact balistique","") &amp; IF(AND(H256&lt;0,vit_z&gt;=0),"Apogée","") &amp; IF(AND(Poussee=0,Q254&gt;0),"Fin de propulsion","") &amp; IF(AND(L256&gt;L_rampe,pos_xz&lt;=L_rampe),"Sortie de rampe","")</f>
        <v/>
      </c>
      <c r="Z255" s="455" t="str">
        <f aca="false">IF(ABS(t-T_para)&lt;pas/2,"Para","")</f>
        <v/>
      </c>
      <c r="AA255" s="456" t="str">
        <f aca="false">IF(ABS(t-T_satellite)&lt;pas/2,"Satellite","")</f>
        <v/>
      </c>
      <c r="AB255" s="444"/>
      <c r="AC255" s="452" t="e">
        <f aca="false">IF(ABS(t-ROUND(t,0))&lt;0.001,t,NA())</f>
        <v>#N/A</v>
      </c>
      <c r="AD255" s="457" t="e">
        <f aca="false">IF(ABS(t-ROUND(t,0))&lt;0.001,pos_x,NA())</f>
        <v>#N/A</v>
      </c>
      <c r="AE255" s="458" t="n">
        <f aca="false">IF(t&lt;T_para, pos_z, NA())</f>
        <v>209.513836066762</v>
      </c>
      <c r="AF255" s="444"/>
      <c r="AG255" s="450" t="n">
        <f aca="false">IF(AND(L254&lt;L_rampe,Poussee&lt;Poids*SIN(M254)),0,(-W254+Poussee)/m-Poids*SIN(M254)/m)</f>
        <v>41.1999108525754</v>
      </c>
      <c r="AH255" s="449" t="n">
        <f aca="false">IF(AND(L254&lt;L_rampe,Poussee&lt;Poids*SIN(M254)), g*SIN(M254), (-W254+Poussee)/m)</f>
        <v>50.7562726607302</v>
      </c>
    </row>
    <row r="256" customFormat="false" ht="12" hidden="false" customHeight="false" outlineLevel="0" collapsed="false">
      <c r="A256" s="448" t="n">
        <f aca="false">IF(B255+0.01&lt;=T_ini+ROUNDUP(Temps_fin_propu,0), 0.01, IF(K255&gt;0, 0.1, 0.0001))</f>
        <v>0.01</v>
      </c>
      <c r="B256" s="449" t="n">
        <f aca="false">B255+pas</f>
        <v>2.51999999999999</v>
      </c>
      <c r="C256" s="432"/>
      <c r="D256" s="450" t="n">
        <f aca="false">IF(AND(L255&lt;L_rampe,Poussee&lt;Poids*SIN(M255)),0,(-W255+Poussee)/m*COS(M255)-U255/m*SIN(M255))</f>
        <v>11.416525348538</v>
      </c>
      <c r="E256" s="451" t="n">
        <f aca="false">IF(AND(L255&lt;L_rampe,Poussee&lt;Poids*SIN(M255)),0,(-W255+Poussee)/m*SIN(M255)+U255/m*COS(M255)-Poids/m)</f>
        <v>39.3842733847711</v>
      </c>
      <c r="F256" s="449" t="n">
        <f aca="false">SQRT(acc_x^2+acc_z^2)</f>
        <v>41.0055854863725</v>
      </c>
      <c r="G256" s="450" t="n">
        <f aca="false">G255+acc_x*pas</f>
        <v>35.3343741081658</v>
      </c>
      <c r="H256" s="451" t="n">
        <f aca="false">H255+acc_z*pas</f>
        <v>152.159159252657</v>
      </c>
      <c r="I256" s="449" t="n">
        <f aca="false">SQRT(vit_x^2+vit_z^2)</f>
        <v>156.207963107171</v>
      </c>
      <c r="J256" s="450" t="n">
        <f aca="false">J255+0.5*(vit_x+G255)*pas*(K255&gt;=0)</f>
        <v>45.5337751612822</v>
      </c>
      <c r="K256" s="451" t="n">
        <f aca="false">K255+0.5*(vit_z+H255)*pas</f>
        <v>211.033458445619</v>
      </c>
      <c r="L256" s="449" t="n">
        <f aca="false">SQRT(pos_x^2+pos_z^2)</f>
        <v>215.889891527966</v>
      </c>
      <c r="M256" s="450" t="n">
        <f aca="false">IF(AND(L255&gt;L_rampe,G256&gt;0),ATAN2(G256,H256),$M$4)</f>
        <v>1.34262066279132</v>
      </c>
      <c r="N256" s="449" t="n">
        <f aca="false">DEGREES(Beta)</f>
        <v>76.9264974649999</v>
      </c>
      <c r="O256" s="438"/>
      <c r="P256" s="452" t="n">
        <f aca="false">MATCH(t-pas/2-T_ini,CdP_t)</f>
        <v>7</v>
      </c>
      <c r="Q256" s="449" t="n">
        <f aca="false">(INDEX(CdP,2,i_P+1)-INDEX(CdP,2,i_P+0))/(INDEX(CdP,1,i_P+1)-INDEX(CdP,1,i_P+0))*(t-pas/2-T_ini-INDEX(CdP,1,i_P+0))+INDEX(CdP,2,i_P+0)</f>
        <v>509.936170212768</v>
      </c>
      <c r="R256" s="450" t="n">
        <f aca="false">Poussee/(g*ISP)</f>
        <v>0.255913205026205</v>
      </c>
      <c r="S256" s="451" t="n">
        <f aca="false">S255-Débit*pas</f>
        <v>8.81540389684504</v>
      </c>
      <c r="T256" s="449" t="n">
        <f aca="false">m*g</f>
        <v>86.4791122280499</v>
      </c>
      <c r="U256" s="453" t="n">
        <f aca="false">IF(pos_xz&lt;L_rampe,Poids*COS(Beta),0)</f>
        <v>0</v>
      </c>
      <c r="V256" s="450" t="n">
        <f aca="false">Rho_moyen*(20000-Alt_rampe-pos_z)/(20000+Alt_rampe+pos_z)</f>
        <v>1.19941833074717</v>
      </c>
      <c r="W256" s="449" t="n">
        <f aca="false">1/2*Rho*Sref*Cx*vit_xz^2</f>
        <v>65.0748622770017</v>
      </c>
      <c r="X256" s="438"/>
      <c r="Y256" s="454" t="str">
        <f aca="false">IF(AND(pos_z&lt;=0,K255&gt;0),"Impact balistique","") &amp; IF(AND(H257&lt;0,vit_z&gt;=0),"Apogée","") &amp; IF(AND(Poussee=0,Q255&gt;0),"Fin de propulsion","") &amp; IF(AND(L257&gt;L_rampe,pos_xz&lt;=L_rampe),"Sortie de rampe","")</f>
        <v/>
      </c>
      <c r="Z256" s="455" t="str">
        <f aca="false">IF(ABS(t-T_para)&lt;pas/2,"Para","")</f>
        <v/>
      </c>
      <c r="AA256" s="456" t="str">
        <f aca="false">IF(ABS(t-T_satellite)&lt;pas/2,"Satellite","")</f>
        <v/>
      </c>
      <c r="AB256" s="444"/>
      <c r="AC256" s="452" t="e">
        <f aca="false">IF(ABS(t-ROUND(t,0))&lt;0.001,t,NA())</f>
        <v>#N/A</v>
      </c>
      <c r="AD256" s="457" t="e">
        <f aca="false">IF(ABS(t-ROUND(t,0))&lt;0.001,pos_x,NA())</f>
        <v>#N/A</v>
      </c>
      <c r="AE256" s="458" t="n">
        <f aca="false">IF(t&lt;T_para, pos_z, NA())</f>
        <v>211.033458445619</v>
      </c>
      <c r="AF256" s="444"/>
      <c r="AG256" s="450" t="n">
        <f aca="false">IF(AND(L255&lt;L_rampe,Poussee&lt;Poids*SIN(M255)),0,(-W255+Poussee)/m-Poids*SIN(M255)/m)</f>
        <v>40.9455731971003</v>
      </c>
      <c r="AH256" s="449" t="n">
        <f aca="false">IF(AND(L255&lt;L_rampe,Poussee&lt;Poids*SIN(M255)), g*SIN(M255), (-W255+Poussee)/m)</f>
        <v>50.5016196263982</v>
      </c>
    </row>
    <row r="257" customFormat="false" ht="12" hidden="false" customHeight="false" outlineLevel="0" collapsed="false">
      <c r="A257" s="448" t="n">
        <f aca="false">IF(B256+0.01&lt;=T_ini+ROUNDUP(Temps_fin_propu,0), 0.01, IF(K256&gt;0, 0.1, 0.0001))</f>
        <v>0.01</v>
      </c>
      <c r="B257" s="449" t="n">
        <f aca="false">B256+pas</f>
        <v>2.52999999999999</v>
      </c>
      <c r="C257" s="432"/>
      <c r="D257" s="450" t="n">
        <f aca="false">IF(AND(L256&lt;L_rampe,Poussee&lt;Poids*SIN(M256)),0,(-W256+Poussee)/m*COS(M256)-U256/m*SIN(M256))</f>
        <v>11.3658943396755</v>
      </c>
      <c r="E257" s="451" t="n">
        <f aca="false">IF(AND(L256&lt;L_rampe,Poussee&lt;Poids*SIN(M256)),0,(-W256+Poussee)/m*SIN(M256)+U256/m*COS(M256)-Poids/m)</f>
        <v>39.1345467913322</v>
      </c>
      <c r="F257" s="449" t="n">
        <f aca="false">SQRT(acc_x^2+acc_z^2)</f>
        <v>40.7516417669722</v>
      </c>
      <c r="G257" s="450" t="n">
        <f aca="false">G256+acc_x*pas</f>
        <v>35.4480330515626</v>
      </c>
      <c r="H257" s="451" t="n">
        <f aca="false">H256+acc_z*pas</f>
        <v>152.55050472057</v>
      </c>
      <c r="I257" s="449" t="n">
        <f aca="false">SQRT(vit_x^2+vit_z^2)</f>
        <v>156.614876489194</v>
      </c>
      <c r="J257" s="450" t="n">
        <f aca="false">J256+0.5*(vit_x+G256)*pas*(K256&gt;=0)</f>
        <v>45.8876871970809</v>
      </c>
      <c r="K257" s="451" t="n">
        <f aca="false">K256+0.5*(vit_z+H256)*pas</f>
        <v>212.557006765485</v>
      </c>
      <c r="L257" s="449" t="n">
        <f aca="false">SQRT(pos_x^2+pos_z^2)</f>
        <v>217.453813398155</v>
      </c>
      <c r="M257" s="450" t="n">
        <f aca="false">IF(AND(L256&gt;L_rampe,G257&gt;0),ATAN2(G257,H257),$M$4)</f>
        <v>1.34247897571788</v>
      </c>
      <c r="N257" s="449" t="n">
        <f aca="false">DEGREES(Beta)</f>
        <v>76.91837939368</v>
      </c>
      <c r="O257" s="438"/>
      <c r="P257" s="452" t="n">
        <f aca="false">MATCH(t-pas/2-T_ini,CdP_t)</f>
        <v>7</v>
      </c>
      <c r="Q257" s="449" t="n">
        <f aca="false">(INDEX(CdP,2,i_P+1)-INDEX(CdP,2,i_P+0))/(INDEX(CdP,1,i_P+1)-INDEX(CdP,1,i_P+0))*(t-pas/2-T_ini-INDEX(CdP,1,i_P+0))+INDEX(CdP,2,i_P+0)</f>
        <v>507.893617021279</v>
      </c>
      <c r="R257" s="450" t="n">
        <f aca="false">Poussee/(g*ISP)</f>
        <v>0.254888142745464</v>
      </c>
      <c r="S257" s="451" t="n">
        <f aca="false">S256-Débit*pas</f>
        <v>8.81285501541759</v>
      </c>
      <c r="T257" s="449" t="n">
        <f aca="false">m*g</f>
        <v>86.4541077012466</v>
      </c>
      <c r="U257" s="453" t="n">
        <f aca="false">IF(pos_xz&lt;L_rampe,Poids*COS(Beta),0)</f>
        <v>0</v>
      </c>
      <c r="V257" s="450" t="n">
        <f aca="false">Rho_moyen*(20000-Alt_rampe-pos_z)/(20000+Alt_rampe+pos_z)</f>
        <v>1.19923558699668</v>
      </c>
      <c r="W257" s="449" t="n">
        <f aca="false">1/2*Rho*Sref*Cx*vit_xz^2</f>
        <v>65.4043703752441</v>
      </c>
      <c r="X257" s="438"/>
      <c r="Y257" s="454" t="str">
        <f aca="false">IF(AND(pos_z&lt;=0,K256&gt;0),"Impact balistique","") &amp; IF(AND(H258&lt;0,vit_z&gt;=0),"Apogée","") &amp; IF(AND(Poussee=0,Q256&gt;0),"Fin de propulsion","") &amp; IF(AND(L258&gt;L_rampe,pos_xz&lt;=L_rampe),"Sortie de rampe","")</f>
        <v/>
      </c>
      <c r="Z257" s="455" t="str">
        <f aca="false">IF(ABS(t-T_para)&lt;pas/2,"Para","")</f>
        <v/>
      </c>
      <c r="AA257" s="456" t="str">
        <f aca="false">IF(ABS(t-T_satellite)&lt;pas/2,"Satellite","")</f>
        <v/>
      </c>
      <c r="AB257" s="444"/>
      <c r="AC257" s="452" t="e">
        <f aca="false">IF(ABS(t-ROUND(t,0))&lt;0.001,t,NA())</f>
        <v>#N/A</v>
      </c>
      <c r="AD257" s="457" t="e">
        <f aca="false">IF(ABS(t-ROUND(t,0))&lt;0.001,pos_x,NA())</f>
        <v>#N/A</v>
      </c>
      <c r="AE257" s="458" t="n">
        <f aca="false">IF(t&lt;T_para, pos_z, NA())</f>
        <v>212.557006765485</v>
      </c>
      <c r="AF257" s="444"/>
      <c r="AG257" s="450" t="n">
        <f aca="false">IF(AND(L256&lt;L_rampe,Poussee&lt;Poids*SIN(M256)),0,(-W256+Poussee)/m-Poids*SIN(M256)/m)</f>
        <v>40.6911809983332</v>
      </c>
      <c r="AH257" s="449" t="n">
        <f aca="false">IF(AND(L256&lt;L_rampe,Poussee&lt;Poids*SIN(M256)), g*SIN(M256), (-W256+Poussee)/m)</f>
        <v>50.2469124897199</v>
      </c>
    </row>
    <row r="258" customFormat="false" ht="12" hidden="false" customHeight="false" outlineLevel="0" collapsed="false">
      <c r="A258" s="448" t="n">
        <f aca="false">IF(B257+0.01&lt;=T_ini+ROUNDUP(Temps_fin_propu,0), 0.01, IF(K257&gt;0, 0.1, 0.0001))</f>
        <v>0.01</v>
      </c>
      <c r="B258" s="449" t="n">
        <f aca="false">B257+pas</f>
        <v>2.53999999999999</v>
      </c>
      <c r="C258" s="432"/>
      <c r="D258" s="450" t="n">
        <f aca="false">IF(AND(L257&lt;L_rampe,Poussee&lt;Poids*SIN(M257)),0,(-W257+Poussee)/m*COS(M257)-U257/m*SIN(M257))</f>
        <v>11.3151672874275</v>
      </c>
      <c r="E258" s="451" t="n">
        <f aca="false">IF(AND(L257&lt;L_rampe,Poussee&lt;Poids*SIN(M257)),0,(-W257+Poussee)/m*SIN(M257)+U257/m*COS(M257)-Poids/m)</f>
        <v>38.8847887400105</v>
      </c>
      <c r="F258" s="449" t="n">
        <f aca="false">SQRT(acc_x^2+acc_z^2)</f>
        <v>40.4976518590611</v>
      </c>
      <c r="G258" s="450" t="n">
        <f aca="false">G257+acc_x*pas</f>
        <v>35.5611847244368</v>
      </c>
      <c r="H258" s="451" t="n">
        <f aca="false">H257+acc_z*pas</f>
        <v>152.939352607971</v>
      </c>
      <c r="I258" s="449" t="n">
        <f aca="false">SQRT(vit_x^2+vit_z^2)</f>
        <v>157.019245429185</v>
      </c>
      <c r="J258" s="450" t="n">
        <f aca="false">J257+0.5*(vit_x+G257)*pas*(K257&gt;=0)</f>
        <v>46.2427332859609</v>
      </c>
      <c r="K258" s="451" t="n">
        <f aca="false">K257+0.5*(vit_z+H257)*pas</f>
        <v>214.084456052128</v>
      </c>
      <c r="L258" s="449" t="n">
        <f aca="false">SQRT(pos_x^2+pos_z^2)</f>
        <v>219.021790479605</v>
      </c>
      <c r="M258" s="450" t="n">
        <f aca="false">IF(AND(L257&gt;L_rampe,G258&gt;0),ATAN2(G258,H258),$M$4)</f>
        <v>1.34233756730351</v>
      </c>
      <c r="N258" s="449" t="n">
        <f aca="false">DEGREES(Beta)</f>
        <v>76.9102772883494</v>
      </c>
      <c r="O258" s="438"/>
      <c r="P258" s="452" t="n">
        <f aca="false">MATCH(t-pas/2-T_ini,CdP_t)</f>
        <v>7</v>
      </c>
      <c r="Q258" s="449" t="n">
        <f aca="false">(INDEX(CdP,2,i_P+1)-INDEX(CdP,2,i_P+0))/(INDEX(CdP,1,i_P+1)-INDEX(CdP,1,i_P+0))*(t-pas/2-T_ini-INDEX(CdP,1,i_P+0))+INDEX(CdP,2,i_P+0)</f>
        <v>505.851063829789</v>
      </c>
      <c r="R258" s="450" t="n">
        <f aca="false">Poussee/(g*ISP)</f>
        <v>0.253863080464723</v>
      </c>
      <c r="S258" s="451" t="n">
        <f aca="false">S257-Débit*pas</f>
        <v>8.81031638461294</v>
      </c>
      <c r="T258" s="449" t="n">
        <f aca="false">m*g</f>
        <v>86.429203733053</v>
      </c>
      <c r="U258" s="453" t="n">
        <f aca="false">IF(pos_xz&lt;L_rampe,Poids*COS(Beta),0)</f>
        <v>0</v>
      </c>
      <c r="V258" s="450" t="n">
        <f aca="false">Rho_moyen*(20000-Alt_rampe-pos_z)/(20000+Alt_rampe+pos_z)</f>
        <v>1.19905240299317</v>
      </c>
      <c r="W258" s="449" t="n">
        <f aca="false">1/2*Rho*Sref*Cx*vit_xz^2</f>
        <v>65.7325034250301</v>
      </c>
      <c r="X258" s="438"/>
      <c r="Y258" s="454" t="str">
        <f aca="false">IF(AND(pos_z&lt;=0,K257&gt;0),"Impact balistique","") &amp; IF(AND(H259&lt;0,vit_z&gt;=0),"Apogée","") &amp; IF(AND(Poussee=0,Q257&gt;0),"Fin de propulsion","") &amp; IF(AND(L259&gt;L_rampe,pos_xz&lt;=L_rampe),"Sortie de rampe","")</f>
        <v/>
      </c>
      <c r="Z258" s="455" t="str">
        <f aca="false">IF(ABS(t-T_para)&lt;pas/2,"Para","")</f>
        <v/>
      </c>
      <c r="AA258" s="456" t="str">
        <f aca="false">IF(ABS(t-T_satellite)&lt;pas/2,"Satellite","")</f>
        <v/>
      </c>
      <c r="AB258" s="444"/>
      <c r="AC258" s="452" t="e">
        <f aca="false">IF(ABS(t-ROUND(t,0))&lt;0.001,t,NA())</f>
        <v>#N/A</v>
      </c>
      <c r="AD258" s="457" t="e">
        <f aca="false">IF(ABS(t-ROUND(t,0))&lt;0.001,pos_x,NA())</f>
        <v>#N/A</v>
      </c>
      <c r="AE258" s="458" t="n">
        <f aca="false">IF(t&lt;T_para, pos_z, NA())</f>
        <v>214.084456052128</v>
      </c>
      <c r="AF258" s="444"/>
      <c r="AG258" s="450" t="n">
        <f aca="false">IF(AND(L257&lt;L_rampe,Poussee&lt;Poids*SIN(M257)),0,(-W257+Poussee)/m-Poids*SIN(M257)/m)</f>
        <v>40.4367370086137</v>
      </c>
      <c r="AH258" s="449" t="n">
        <f aca="false">IF(AND(L257&lt;L_rampe,Poussee&lt;Poids*SIN(M257)), g*SIN(M257), (-W257+Poussee)/m)</f>
        <v>49.9921539961695</v>
      </c>
    </row>
    <row r="259" customFormat="false" ht="12" hidden="false" customHeight="false" outlineLevel="0" collapsed="false">
      <c r="A259" s="448" t="n">
        <f aca="false">IF(B258+0.01&lt;=T_ini+ROUNDUP(Temps_fin_propu,0), 0.01, IF(K258&gt;0, 0.1, 0.0001))</f>
        <v>0.01</v>
      </c>
      <c r="B259" s="449" t="n">
        <f aca="false">B258+pas</f>
        <v>2.54999999999999</v>
      </c>
      <c r="C259" s="432"/>
      <c r="D259" s="450" t="n">
        <f aca="false">IF(AND(L258&lt;L_rampe,Poussee&lt;Poids*SIN(M258)),0,(-W258+Poussee)/m*COS(M258)-U258/m*SIN(M258))</f>
        <v>11.2643451777759</v>
      </c>
      <c r="E259" s="451" t="n">
        <f aca="false">IF(AND(L258&lt;L_rampe,Poussee&lt;Poids*SIN(M258)),0,(-W258+Poussee)/m*SIN(M258)+U258/m*COS(M258)-Poids/m)</f>
        <v>38.6350018297035</v>
      </c>
      <c r="F259" s="449" t="n">
        <f aca="false">SQRT(acc_x^2+acc_z^2)</f>
        <v>40.243618607989</v>
      </c>
      <c r="G259" s="450" t="n">
        <f aca="false">G258+acc_x*pas</f>
        <v>35.6738281762146</v>
      </c>
      <c r="H259" s="451" t="n">
        <f aca="false">H258+acc_z*pas</f>
        <v>153.325702626268</v>
      </c>
      <c r="I259" s="449" t="n">
        <f aca="false">SQRT(vit_x^2+vit_z^2)</f>
        <v>157.42106943667</v>
      </c>
      <c r="J259" s="450" t="n">
        <f aca="false">J258+0.5*(vit_x+G258)*pas*(K258&gt;=0)</f>
        <v>46.5989083504641</v>
      </c>
      <c r="K259" s="451" t="n">
        <f aca="false">K258+0.5*(vit_z+H258)*pas</f>
        <v>215.615781328299</v>
      </c>
      <c r="L259" s="449" t="n">
        <f aca="false">SQRT(pos_x^2+pos_z^2)</f>
        <v>220.593797322744</v>
      </c>
      <c r="M259" s="450" t="n">
        <f aca="false">IF(AND(L258&gt;L_rampe,G259&gt;0),ATAN2(G259,H259),$M$4)</f>
        <v>1.34219643400705</v>
      </c>
      <c r="N259" s="449" t="n">
        <f aca="false">DEGREES(Beta)</f>
        <v>76.9021909461135</v>
      </c>
      <c r="O259" s="438"/>
      <c r="P259" s="452" t="n">
        <f aca="false">MATCH(t-pas/2-T_ini,CdP_t)</f>
        <v>7</v>
      </c>
      <c r="Q259" s="449" t="n">
        <f aca="false">(INDEX(CdP,2,i_P+1)-INDEX(CdP,2,i_P+0))/(INDEX(CdP,1,i_P+1)-INDEX(CdP,1,i_P+0))*(t-pas/2-T_ini-INDEX(CdP,1,i_P+0))+INDEX(CdP,2,i_P+0)</f>
        <v>503.8085106383</v>
      </c>
      <c r="R259" s="450" t="n">
        <f aca="false">Poussee/(g*ISP)</f>
        <v>0.252838018183982</v>
      </c>
      <c r="S259" s="451" t="n">
        <f aca="false">S258-Débit*pas</f>
        <v>8.8077880044311</v>
      </c>
      <c r="T259" s="449" t="n">
        <f aca="false">m*g</f>
        <v>86.4044003234691</v>
      </c>
      <c r="U259" s="453" t="n">
        <f aca="false">IF(pos_xz&lt;L_rampe,Poids*COS(Beta),0)</f>
        <v>0</v>
      </c>
      <c r="V259" s="450" t="n">
        <f aca="false">Rho_moyen*(20000-Alt_rampe-pos_z)/(20000+Alt_rampe+pos_z)</f>
        <v>1.19886878193727</v>
      </c>
      <c r="W259" s="449" t="n">
        <f aca="false">1/2*Rho*Sref*Cx*vit_xz^2</f>
        <v>66.0592449341792</v>
      </c>
      <c r="X259" s="438"/>
      <c r="Y259" s="454" t="str">
        <f aca="false">IF(AND(pos_z&lt;=0,K258&gt;0),"Impact balistique","") &amp; IF(AND(H260&lt;0,vit_z&gt;=0),"Apogée","") &amp; IF(AND(Poussee=0,Q258&gt;0),"Fin de propulsion","") &amp; IF(AND(L260&gt;L_rampe,pos_xz&lt;=L_rampe),"Sortie de rampe","")</f>
        <v/>
      </c>
      <c r="Z259" s="455" t="str">
        <f aca="false">IF(ABS(t-T_para)&lt;pas/2,"Para","")</f>
        <v/>
      </c>
      <c r="AA259" s="456" t="str">
        <f aca="false">IF(ABS(t-T_satellite)&lt;pas/2,"Satellite","")</f>
        <v/>
      </c>
      <c r="AB259" s="444"/>
      <c r="AC259" s="452" t="e">
        <f aca="false">IF(ABS(t-ROUND(t,0))&lt;0.001,t,NA())</f>
        <v>#N/A</v>
      </c>
      <c r="AD259" s="457" t="e">
        <f aca="false">IF(ABS(t-ROUND(t,0))&lt;0.001,pos_x,NA())</f>
        <v>#N/A</v>
      </c>
      <c r="AE259" s="458" t="n">
        <f aca="false">IF(t&lt;T_para, pos_z, NA())</f>
        <v>215.615781328299</v>
      </c>
      <c r="AF259" s="444"/>
      <c r="AG259" s="450" t="n">
        <f aca="false">IF(AND(L258&lt;L_rampe,Poussee&lt;Poids*SIN(M258)),0,(-W258+Poussee)/m-Poids*SIN(M258)/m)</f>
        <v>40.1822439680161</v>
      </c>
      <c r="AH259" s="449" t="n">
        <f aca="false">IF(AND(L258&lt;L_rampe,Poussee&lt;Poids*SIN(M258)), g*SIN(M258), (-W258+Poussee)/m)</f>
        <v>49.737346879021</v>
      </c>
    </row>
    <row r="260" customFormat="false" ht="12" hidden="false" customHeight="false" outlineLevel="0" collapsed="false">
      <c r="A260" s="448" t="n">
        <f aca="false">IF(B259+0.01&lt;=T_ini+ROUNDUP(Temps_fin_propu,0), 0.01, IF(K259&gt;0, 0.1, 0.0001))</f>
        <v>0.01</v>
      </c>
      <c r="B260" s="449" t="n">
        <f aca="false">B259+pas</f>
        <v>2.55999999999999</v>
      </c>
      <c r="C260" s="432"/>
      <c r="D260" s="450" t="n">
        <f aca="false">IF(AND(L259&lt;L_rampe,Poussee&lt;Poids*SIN(M259)),0,(-W259+Poussee)/m*COS(M259)-U259/m*SIN(M259))</f>
        <v>11.2134289900539</v>
      </c>
      <c r="E260" s="451" t="n">
        <f aca="false">IF(AND(L259&lt;L_rampe,Poussee&lt;Poids*SIN(M259)),0,(-W259+Poussee)/m*SIN(M259)+U259/m*COS(M259)-Poids/m)</f>
        <v>38.3851886480215</v>
      </c>
      <c r="F260" s="449" t="n">
        <f aca="false">SQRT(acc_x^2+acc_z^2)</f>
        <v>39.9895448493625</v>
      </c>
      <c r="G260" s="450" t="n">
        <f aca="false">G259+acc_x*pas</f>
        <v>35.7859624661151</v>
      </c>
      <c r="H260" s="451" t="n">
        <f aca="false">H259+acc_z*pas</f>
        <v>153.709554512748</v>
      </c>
      <c r="I260" s="449" t="n">
        <f aca="false">SQRT(vit_x^2+vit_z^2)</f>
        <v>157.820348048449</v>
      </c>
      <c r="J260" s="450" t="n">
        <f aca="false">J259+0.5*(vit_x+G259)*pas*(K259&gt;=0)</f>
        <v>46.9562073036758</v>
      </c>
      <c r="K260" s="451" t="n">
        <f aca="false">K259+0.5*(vit_z+H259)*pas</f>
        <v>217.150957613994</v>
      </c>
      <c r="L260" s="449" t="n">
        <f aca="false">SQRT(pos_x^2+pos_z^2)</f>
        <v>222.169808473205</v>
      </c>
      <c r="M260" s="450" t="n">
        <f aca="false">IF(AND(L259&gt;L_rampe,G260&gt;0),ATAN2(G260,H260),$M$4)</f>
        <v>1.3420555723251</v>
      </c>
      <c r="N260" s="449" t="n">
        <f aca="false">DEGREES(Beta)</f>
        <v>76.8941201662426</v>
      </c>
      <c r="O260" s="438"/>
      <c r="P260" s="452" t="n">
        <f aca="false">MATCH(t-pas/2-T_ini,CdP_t)</f>
        <v>7</v>
      </c>
      <c r="Q260" s="449" t="n">
        <f aca="false">(INDEX(CdP,2,i_P+1)-INDEX(CdP,2,i_P+0))/(INDEX(CdP,1,i_P+1)-INDEX(CdP,1,i_P+0))*(t-pas/2-T_ini-INDEX(CdP,1,i_P+0))+INDEX(CdP,2,i_P+0)</f>
        <v>501.765957446811</v>
      </c>
      <c r="R260" s="450" t="n">
        <f aca="false">Poussee/(g*ISP)</f>
        <v>0.251812955903242</v>
      </c>
      <c r="S260" s="451" t="n">
        <f aca="false">S259-Débit*pas</f>
        <v>8.80526987487207</v>
      </c>
      <c r="T260" s="449" t="n">
        <f aca="false">m*g</f>
        <v>86.379697472495</v>
      </c>
      <c r="U260" s="453" t="n">
        <f aca="false">IF(pos_xz&lt;L_rampe,Poids*COS(Beta),0)</f>
        <v>0</v>
      </c>
      <c r="V260" s="450" t="n">
        <f aca="false">Rho_moyen*(20000-Alt_rampe-pos_z)/(20000+Alt_rampe+pos_z)</f>
        <v>1.19868472702857</v>
      </c>
      <c r="W260" s="449" t="n">
        <f aca="false">1/2*Rho*Sref*Cx*vit_xz^2</f>
        <v>66.384578549448</v>
      </c>
      <c r="X260" s="438"/>
      <c r="Y260" s="454" t="str">
        <f aca="false">IF(AND(pos_z&lt;=0,K259&gt;0),"Impact balistique","") &amp; IF(AND(H261&lt;0,vit_z&gt;=0),"Apogée","") &amp; IF(AND(Poussee=0,Q259&gt;0),"Fin de propulsion","") &amp; IF(AND(L261&gt;L_rampe,pos_xz&lt;=L_rampe),"Sortie de rampe","")</f>
        <v/>
      </c>
      <c r="Z260" s="455" t="str">
        <f aca="false">IF(ABS(t-T_para)&lt;pas/2,"Para","")</f>
        <v/>
      </c>
      <c r="AA260" s="456" t="str">
        <f aca="false">IF(ABS(t-T_satellite)&lt;pas/2,"Satellite","")</f>
        <v/>
      </c>
      <c r="AB260" s="444"/>
      <c r="AC260" s="452" t="e">
        <f aca="false">IF(ABS(t-ROUND(t,0))&lt;0.001,t,NA())</f>
        <v>#N/A</v>
      </c>
      <c r="AD260" s="457" t="e">
        <f aca="false">IF(ABS(t-ROUND(t,0))&lt;0.001,pos_x,NA())</f>
        <v>#N/A</v>
      </c>
      <c r="AE260" s="458" t="n">
        <f aca="false">IF(t&lt;T_para, pos_z, NA())</f>
        <v>217.150957613994</v>
      </c>
      <c r="AF260" s="444"/>
      <c r="AG260" s="450" t="n">
        <f aca="false">IF(AND(L259&lt;L_rampe,Poussee&lt;Poids*SIN(M259)),0,(-W259+Poussee)/m-Poids*SIN(M259)/m)</f>
        <v>39.9277046042793</v>
      </c>
      <c r="AH260" s="449" t="n">
        <f aca="false">IF(AND(L259&lt;L_rampe,Poussee&lt;Poids*SIN(M259)), g*SIN(M259), (-W259+Poussee)/m)</f>
        <v>49.4824938592767</v>
      </c>
    </row>
    <row r="261" customFormat="false" ht="12" hidden="false" customHeight="false" outlineLevel="0" collapsed="false">
      <c r="A261" s="448" t="n">
        <f aca="false">IF(B260+0.01&lt;=T_ini+ROUNDUP(Temps_fin_propu,0), 0.01, IF(K260&gt;0, 0.1, 0.0001))</f>
        <v>0.01</v>
      </c>
      <c r="B261" s="449" t="n">
        <f aca="false">B260+pas</f>
        <v>2.56999999999999</v>
      </c>
      <c r="C261" s="432"/>
      <c r="D261" s="450" t="n">
        <f aca="false">IF(AND(L260&lt;L_rampe,Poussee&lt;Poids*SIN(M260)),0,(-W260+Poussee)/m*COS(M260)-U260/m*SIN(M260))</f>
        <v>11.1624196969931</v>
      </c>
      <c r="E261" s="451" t="n">
        <f aca="false">IF(AND(L260&lt;L_rampe,Poussee&lt;Poids*SIN(M260)),0,(-W260+Poussee)/m*SIN(M260)+U260/m*COS(M260)-Poids/m)</f>
        <v>38.1353517712079</v>
      </c>
      <c r="F261" s="449" t="n">
        <f aca="false">SQRT(acc_x^2+acc_z^2)</f>
        <v>39.7354334090568</v>
      </c>
      <c r="G261" s="450" t="n">
        <f aca="false">G260+acc_x*pas</f>
        <v>35.8975866630851</v>
      </c>
      <c r="H261" s="451" t="n">
        <f aca="false">H260+acc_z*pas</f>
        <v>154.09090803046</v>
      </c>
      <c r="I261" s="449" t="n">
        <f aca="false">SQRT(vit_x^2+vit_z^2)</f>
        <v>158.217080828479</v>
      </c>
      <c r="J261" s="450" t="n">
        <f aca="false">J260+0.5*(vit_x+G260)*pas*(K260&gt;=0)</f>
        <v>47.3146250493218</v>
      </c>
      <c r="K261" s="451" t="n">
        <f aca="false">K260+0.5*(vit_z+H260)*pas</f>
        <v>218.68995992671</v>
      </c>
      <c r="L261" s="449" t="n">
        <f aca="false">SQRT(pos_x^2+pos_z^2)</f>
        <v>223.749798472097</v>
      </c>
      <c r="M261" s="450" t="n">
        <f aca="false">IF(AND(L260&gt;L_rampe,G261&gt;0),ATAN2(G261,H261),$M$4)</f>
        <v>1.34191497879138</v>
      </c>
      <c r="N261" s="449" t="n">
        <f aca="false">DEGREES(Beta)</f>
        <v>76.8860647501337</v>
      </c>
      <c r="O261" s="438"/>
      <c r="P261" s="452" t="n">
        <f aca="false">MATCH(t-pas/2-T_ini,CdP_t)</f>
        <v>7</v>
      </c>
      <c r="Q261" s="449" t="n">
        <f aca="false">(INDEX(CdP,2,i_P+1)-INDEX(CdP,2,i_P+0))/(INDEX(CdP,1,i_P+1)-INDEX(CdP,1,i_P+0))*(t-pas/2-T_ini-INDEX(CdP,1,i_P+0))+INDEX(CdP,2,i_P+0)</f>
        <v>499.723404255321</v>
      </c>
      <c r="R261" s="450" t="n">
        <f aca="false">Poussee/(g*ISP)</f>
        <v>0.250787893622501</v>
      </c>
      <c r="S261" s="451" t="n">
        <f aca="false">S260-Débit*pas</f>
        <v>8.80276199593585</v>
      </c>
      <c r="T261" s="449" t="n">
        <f aca="false">m*g</f>
        <v>86.3550951801307</v>
      </c>
      <c r="U261" s="453" t="n">
        <f aca="false">IF(pos_xz&lt;L_rampe,Poids*COS(Beta),0)</f>
        <v>0</v>
      </c>
      <c r="V261" s="450" t="n">
        <f aca="false">Rho_moyen*(20000-Alt_rampe-pos_z)/(20000+Alt_rampe+pos_z)</f>
        <v>1.19850024146558</v>
      </c>
      <c r="W261" s="449" t="n">
        <f aca="false">1/2*Rho*Sref*Cx*vit_xz^2</f>
        <v>66.7084880567094</v>
      </c>
      <c r="X261" s="438"/>
      <c r="Y261" s="454" t="str">
        <f aca="false">IF(AND(pos_z&lt;=0,K260&gt;0),"Impact balistique","") &amp; IF(AND(H262&lt;0,vit_z&gt;=0),"Apogée","") &amp; IF(AND(Poussee=0,Q260&gt;0),"Fin de propulsion","") &amp; IF(AND(L262&gt;L_rampe,pos_xz&lt;=L_rampe),"Sortie de rampe","")</f>
        <v/>
      </c>
      <c r="Z261" s="455" t="str">
        <f aca="false">IF(ABS(t-T_para)&lt;pas/2,"Para","")</f>
        <v/>
      </c>
      <c r="AA261" s="456" t="str">
        <f aca="false">IF(ABS(t-T_satellite)&lt;pas/2,"Satellite","")</f>
        <v/>
      </c>
      <c r="AB261" s="444"/>
      <c r="AC261" s="452" t="e">
        <f aca="false">IF(ABS(t-ROUND(t,0))&lt;0.001,t,NA())</f>
        <v>#N/A</v>
      </c>
      <c r="AD261" s="457" t="e">
        <f aca="false">IF(ABS(t-ROUND(t,0))&lt;0.001,pos_x,NA())</f>
        <v>#N/A</v>
      </c>
      <c r="AE261" s="458" t="n">
        <f aca="false">IF(t&lt;T_para, pos_z, NA())</f>
        <v>218.68995992671</v>
      </c>
      <c r="AF261" s="444"/>
      <c r="AG261" s="450" t="n">
        <f aca="false">IF(AND(L260&lt;L_rampe,Poussee&lt;Poids*SIN(M260)),0,(-W260+Poussee)/m-Poids*SIN(M260)/m)</f>
        <v>39.6731216327364</v>
      </c>
      <c r="AH261" s="449" t="n">
        <f aca="false">IF(AND(L260&lt;L_rampe,Poussee&lt;Poids*SIN(M260)), g*SIN(M260), (-W260+Poussee)/m)</f>
        <v>49.227597645596</v>
      </c>
    </row>
    <row r="262" customFormat="false" ht="12" hidden="false" customHeight="false" outlineLevel="0" collapsed="false">
      <c r="A262" s="448" t="n">
        <f aca="false">IF(B261+0.01&lt;=T_ini+ROUNDUP(Temps_fin_propu,0), 0.01, IF(K261&gt;0, 0.1, 0.0001))</f>
        <v>0.01</v>
      </c>
      <c r="B262" s="449" t="n">
        <f aca="false">B261+pas</f>
        <v>2.57999999999999</v>
      </c>
      <c r="C262" s="432"/>
      <c r="D262" s="450" t="n">
        <f aca="false">IF(AND(L261&lt;L_rampe,Poussee&lt;Poids*SIN(M261)),0,(-W261+Poussee)/m*COS(M261)-U261/m*SIN(M261))</f>
        <v>11.1113182647712</v>
      </c>
      <c r="E262" s="451" t="n">
        <f aca="false">IF(AND(L261&lt;L_rampe,Poussee&lt;Poids*SIN(M261)),0,(-W261+Poussee)/m*SIN(M261)+U261/m*COS(M261)-Poids/m)</f>
        <v>37.8854937640613</v>
      </c>
      <c r="F262" s="449" t="n">
        <f aca="false">SQRT(acc_x^2+acc_z^2)</f>
        <v>39.4812871032312</v>
      </c>
      <c r="G262" s="450" t="n">
        <f aca="false">G261+acc_x*pas</f>
        <v>36.0086998457328</v>
      </c>
      <c r="H262" s="451" t="n">
        <f aca="false">H261+acc_z*pas</f>
        <v>154.469762968101</v>
      </c>
      <c r="I262" s="449" t="n">
        <f aca="false">SQRT(vit_x^2+vit_z^2)</f>
        <v>158.611267367742</v>
      </c>
      <c r="J262" s="450" t="n">
        <f aca="false">J261+0.5*(vit_x+G261)*pas*(K261&gt;=0)</f>
        <v>47.6741564818659</v>
      </c>
      <c r="K262" s="451" t="n">
        <f aca="false">K261+0.5*(vit_z+H261)*pas</f>
        <v>220.232763281703</v>
      </c>
      <c r="L262" s="449" t="n">
        <f aca="false">SQRT(pos_x^2+pos_z^2)</f>
        <v>225.333741856279</v>
      </c>
      <c r="M262" s="450" t="n">
        <f aca="false">IF(AND(L261&gt;L_rampe,G262&gt;0),ATAN2(G262,H262),$M$4)</f>
        <v>1.34177464997608</v>
      </c>
      <c r="N262" s="449" t="n">
        <f aca="false">DEGREES(Beta)</f>
        <v>76.8780245012728</v>
      </c>
      <c r="O262" s="438"/>
      <c r="P262" s="452" t="n">
        <f aca="false">MATCH(t-pas/2-T_ini,CdP_t)</f>
        <v>7</v>
      </c>
      <c r="Q262" s="449" t="n">
        <f aca="false">(INDEX(CdP,2,i_P+1)-INDEX(CdP,2,i_P+0))/(INDEX(CdP,1,i_P+1)-INDEX(CdP,1,i_P+0))*(t-pas/2-T_ini-INDEX(CdP,1,i_P+0))+INDEX(CdP,2,i_P+0)</f>
        <v>497.680851063832</v>
      </c>
      <c r="R262" s="450" t="n">
        <f aca="false">Poussee/(g*ISP)</f>
        <v>0.24976283134176</v>
      </c>
      <c r="S262" s="451" t="n">
        <f aca="false">S261-Débit*pas</f>
        <v>8.80026436762243</v>
      </c>
      <c r="T262" s="449" t="n">
        <f aca="false">m*g</f>
        <v>86.330593446376</v>
      </c>
      <c r="U262" s="453" t="n">
        <f aca="false">IF(pos_xz&lt;L_rampe,Poids*COS(Beta),0)</f>
        <v>0</v>
      </c>
      <c r="V262" s="450" t="n">
        <f aca="false">Rho_moyen*(20000-Alt_rampe-pos_z)/(20000+Alt_rampe+pos_z)</f>
        <v>1.19831532844568</v>
      </c>
      <c r="W262" s="449" t="n">
        <f aca="false">1/2*Rho*Sref*Cx*vit_xz^2</f>
        <v>67.0309573811233</v>
      </c>
      <c r="X262" s="438"/>
      <c r="Y262" s="454" t="str">
        <f aca="false">IF(AND(pos_z&lt;=0,K261&gt;0),"Impact balistique","") &amp; IF(AND(H263&lt;0,vit_z&gt;=0),"Apogée","") &amp; IF(AND(Poussee=0,Q261&gt;0),"Fin de propulsion","") &amp; IF(AND(L263&gt;L_rampe,pos_xz&lt;=L_rampe),"Sortie de rampe","")</f>
        <v/>
      </c>
      <c r="Z262" s="455" t="str">
        <f aca="false">IF(ABS(t-T_para)&lt;pas/2,"Para","")</f>
        <v/>
      </c>
      <c r="AA262" s="456" t="str">
        <f aca="false">IF(ABS(t-T_satellite)&lt;pas/2,"Satellite","")</f>
        <v/>
      </c>
      <c r="AB262" s="444"/>
      <c r="AC262" s="452" t="e">
        <f aca="false">IF(ABS(t-ROUND(t,0))&lt;0.001,t,NA())</f>
        <v>#N/A</v>
      </c>
      <c r="AD262" s="457" t="e">
        <f aca="false">IF(ABS(t-ROUND(t,0))&lt;0.001,pos_x,NA())</f>
        <v>#N/A</v>
      </c>
      <c r="AE262" s="458" t="n">
        <f aca="false">IF(t&lt;T_para, pos_z, NA())</f>
        <v>220.232763281703</v>
      </c>
      <c r="AF262" s="444"/>
      <c r="AG262" s="450" t="n">
        <f aca="false">IF(AND(L261&lt;L_rampe,Poussee&lt;Poids*SIN(M261)),0,(-W261+Poussee)/m-Poids*SIN(M261)/m)</f>
        <v>39.4184977562466</v>
      </c>
      <c r="AH262" s="449" t="n">
        <f aca="false">IF(AND(L261&lt;L_rampe,Poussee&lt;Poids*SIN(M261)), g*SIN(M261), (-W261+Poussee)/m)</f>
        <v>48.9726609342259</v>
      </c>
    </row>
    <row r="263" customFormat="false" ht="12" hidden="false" customHeight="false" outlineLevel="0" collapsed="false">
      <c r="A263" s="448" t="n">
        <f aca="false">IF(B262+0.01&lt;=T_ini+ROUNDUP(Temps_fin_propu,0), 0.01, IF(K262&gt;0, 0.1, 0.0001))</f>
        <v>0.01</v>
      </c>
      <c r="B263" s="449" t="n">
        <f aca="false">B262+pas</f>
        <v>2.58999999999999</v>
      </c>
      <c r="C263" s="432"/>
      <c r="D263" s="450" t="n">
        <f aca="false">IF(AND(L262&lt;L_rampe,Poussee&lt;Poids*SIN(M262)),0,(-W262+Poussee)/m*COS(M262)-U262/m*SIN(M262))</f>
        <v>11.0601256530566</v>
      </c>
      <c r="E263" s="451" t="n">
        <f aca="false">IF(AND(L262&lt;L_rampe,Poussee&lt;Poids*SIN(M262)),0,(-W262+Poussee)/m*SIN(M262)+U262/m*COS(M262)-Poids/m)</f>
        <v>37.6356171798584</v>
      </c>
      <c r="F263" s="449" t="n">
        <f aca="false">SQRT(acc_x^2+acc_z^2)</f>
        <v>39.227108738349</v>
      </c>
      <c r="G263" s="450" t="n">
        <f aca="false">G262+acc_x*pas</f>
        <v>36.1193011022634</v>
      </c>
      <c r="H263" s="451" t="n">
        <f aca="false">H262+acc_z*pas</f>
        <v>154.846119139899</v>
      </c>
      <c r="I263" s="449" t="n">
        <f aca="false">SQRT(vit_x^2+vit_z^2)</f>
        <v>159.002907284124</v>
      </c>
      <c r="J263" s="450" t="n">
        <f aca="false">J262+0.5*(vit_x+G262)*pas*(K262&gt;=0)</f>
        <v>48.0347964866059</v>
      </c>
      <c r="K263" s="451" t="n">
        <f aca="false">K262+0.5*(vit_z+H262)*pas</f>
        <v>221.779342692243</v>
      </c>
      <c r="L263" s="449" t="n">
        <f aca="false">SQRT(pos_x^2+pos_z^2)</f>
        <v>226.921613158626</v>
      </c>
      <c r="M263" s="450" t="n">
        <f aca="false">IF(AND(L262&gt;L_rampe,G263&gt;0),ATAN2(G263,H263),$M$4)</f>
        <v>1.34163458248519</v>
      </c>
      <c r="N263" s="449" t="n">
        <f aca="false">DEGREES(Beta)</f>
        <v>76.8699992251976</v>
      </c>
      <c r="O263" s="438"/>
      <c r="P263" s="452" t="n">
        <f aca="false">MATCH(t-pas/2-T_ini,CdP_t)</f>
        <v>7</v>
      </c>
      <c r="Q263" s="449" t="n">
        <f aca="false">(INDEX(CdP,2,i_P+1)-INDEX(CdP,2,i_P+0))/(INDEX(CdP,1,i_P+1)-INDEX(CdP,1,i_P+0))*(t-pas/2-T_ini-INDEX(CdP,1,i_P+0))+INDEX(CdP,2,i_P+0)</f>
        <v>495.638297872343</v>
      </c>
      <c r="R263" s="450" t="n">
        <f aca="false">Poussee/(g*ISP)</f>
        <v>0.248737769061019</v>
      </c>
      <c r="S263" s="451" t="n">
        <f aca="false">S262-Débit*pas</f>
        <v>8.79777698993182</v>
      </c>
      <c r="T263" s="449" t="n">
        <f aca="false">m*g</f>
        <v>86.3061922712312</v>
      </c>
      <c r="U263" s="453" t="n">
        <f aca="false">IF(pos_xz&lt;L_rampe,Poids*COS(Beta),0)</f>
        <v>0</v>
      </c>
      <c r="V263" s="450" t="n">
        <f aca="false">Rho_moyen*(20000-Alt_rampe-pos_z)/(20000+Alt_rampe+pos_z)</f>
        <v>1.19812999116508</v>
      </c>
      <c r="W263" s="449" t="n">
        <f aca="false">1/2*Rho*Sref*Cx*vit_xz^2</f>
        <v>67.351970587297</v>
      </c>
      <c r="X263" s="438"/>
      <c r="Y263" s="454" t="str">
        <f aca="false">IF(AND(pos_z&lt;=0,K262&gt;0),"Impact balistique","") &amp; IF(AND(H264&lt;0,vit_z&gt;=0),"Apogée","") &amp; IF(AND(Poussee=0,Q262&gt;0),"Fin de propulsion","") &amp; IF(AND(L264&gt;L_rampe,pos_xz&lt;=L_rampe),"Sortie de rampe","")</f>
        <v/>
      </c>
      <c r="Z263" s="455" t="str">
        <f aca="false">IF(ABS(t-T_para)&lt;pas/2,"Para","")</f>
        <v/>
      </c>
      <c r="AA263" s="456" t="str">
        <f aca="false">IF(ABS(t-T_satellite)&lt;pas/2,"Satellite","")</f>
        <v/>
      </c>
      <c r="AB263" s="444"/>
      <c r="AC263" s="452" t="e">
        <f aca="false">IF(ABS(t-ROUND(t,0))&lt;0.001,t,NA())</f>
        <v>#N/A</v>
      </c>
      <c r="AD263" s="457" t="e">
        <f aca="false">IF(ABS(t-ROUND(t,0))&lt;0.001,pos_x,NA())</f>
        <v>#N/A</v>
      </c>
      <c r="AE263" s="458" t="n">
        <f aca="false">IF(t&lt;T_para, pos_z, NA())</f>
        <v>221.779342692243</v>
      </c>
      <c r="AF263" s="444"/>
      <c r="AG263" s="450" t="n">
        <f aca="false">IF(AND(L262&lt;L_rampe,Poussee&lt;Poids*SIN(M262)),0,(-W262+Poussee)/m-Poids*SIN(M262)/m)</f>
        <v>39.1638356651279</v>
      </c>
      <c r="AH263" s="449" t="n">
        <f aca="false">IF(AND(L262&lt;L_rampe,Poussee&lt;Poids*SIN(M262)), g*SIN(M262), (-W262+Poussee)/m)</f>
        <v>48.7176864089324</v>
      </c>
    </row>
    <row r="264" customFormat="false" ht="12" hidden="false" customHeight="false" outlineLevel="0" collapsed="false">
      <c r="A264" s="448" t="n">
        <f aca="false">IF(B263+0.01&lt;=T_ini+ROUNDUP(Temps_fin_propu,0), 0.01, IF(K263&gt;0, 0.1, 0.0001))</f>
        <v>0.01</v>
      </c>
      <c r="B264" s="449" t="n">
        <f aca="false">B263+pas</f>
        <v>2.59999999999999</v>
      </c>
      <c r="C264" s="432"/>
      <c r="D264" s="450" t="n">
        <f aca="false">IF(AND(L263&lt;L_rampe,Poussee&lt;Poids*SIN(M263)),0,(-W263+Poussee)/m*COS(M263)-U263/m*SIN(M263))</f>
        <v>11.0088428150534</v>
      </c>
      <c r="E264" s="451" t="n">
        <f aca="false">IF(AND(L263&lt;L_rampe,Poussee&lt;Poids*SIN(M263)),0,(-W263+Poussee)/m*SIN(M263)+U263/m*COS(M263)-Poids/m)</f>
        <v>37.3857245602785</v>
      </c>
      <c r="F264" s="449" t="n">
        <f aca="false">SQRT(acc_x^2+acc_z^2)</f>
        <v>38.9729011112024</v>
      </c>
      <c r="G264" s="450" t="n">
        <f aca="false">G263+acc_x*pas</f>
        <v>36.2293895304139</v>
      </c>
      <c r="H264" s="451" t="n">
        <f aca="false">H263+acc_z*pas</f>
        <v>155.219976385502</v>
      </c>
      <c r="I264" s="449" t="n">
        <f aca="false">SQRT(vit_x^2+vit_z^2)</f>
        <v>159.392000222289</v>
      </c>
      <c r="J264" s="450" t="n">
        <f aca="false">J263+0.5*(vit_x+G263)*pas*(K263&gt;=0)</f>
        <v>48.3965399397692</v>
      </c>
      <c r="K264" s="451" t="n">
        <f aca="false">K263+0.5*(vit_z+H263)*pas</f>
        <v>223.32967316987</v>
      </c>
      <c r="L264" s="449" t="n">
        <f aca="false">SQRT(pos_x^2+pos_z^2)</f>
        <v>228.513386908301</v>
      </c>
      <c r="M264" s="450" t="n">
        <f aca="false">IF(AND(L263&gt;L_rampe,G264&gt;0),ATAN2(G264,H264),$M$4)</f>
        <v>1.34149477295988</v>
      </c>
      <c r="N264" s="449" t="n">
        <f aca="false">DEGREES(Beta)</f>
        <v>76.861988729462</v>
      </c>
      <c r="O264" s="438"/>
      <c r="P264" s="452" t="n">
        <f aca="false">MATCH(t-pas/2-T_ini,CdP_t)</f>
        <v>7</v>
      </c>
      <c r="Q264" s="449" t="n">
        <f aca="false">(INDEX(CdP,2,i_P+1)-INDEX(CdP,2,i_P+0))/(INDEX(CdP,1,i_P+1)-INDEX(CdP,1,i_P+0))*(t-pas/2-T_ini-INDEX(CdP,1,i_P+0))+INDEX(CdP,2,i_P+0)</f>
        <v>493.595744680853</v>
      </c>
      <c r="R264" s="450" t="n">
        <f aca="false">Poussee/(g*ISP)</f>
        <v>0.247712706780278</v>
      </c>
      <c r="S264" s="451" t="n">
        <f aca="false">S263-Débit*pas</f>
        <v>8.79529986286402</v>
      </c>
      <c r="T264" s="449" t="n">
        <f aca="false">m*g</f>
        <v>86.281891654696</v>
      </c>
      <c r="U264" s="453" t="n">
        <f aca="false">IF(pos_xz&lt;L_rampe,Poids*COS(Beta),0)</f>
        <v>0</v>
      </c>
      <c r="V264" s="450" t="n">
        <f aca="false">Rho_moyen*(20000-Alt_rampe-pos_z)/(20000+Alt_rampe+pos_z)</f>
        <v>1.19794423281879</v>
      </c>
      <c r="W264" s="449" t="n">
        <f aca="false">1/2*Rho*Sref*Cx*vit_xz^2</f>
        <v>67.6715118794367</v>
      </c>
      <c r="X264" s="438"/>
      <c r="Y264" s="454" t="str">
        <f aca="false">IF(AND(pos_z&lt;=0,K263&gt;0),"Impact balistique","") &amp; IF(AND(H265&lt;0,vit_z&gt;=0),"Apogée","") &amp; IF(AND(Poussee=0,Q263&gt;0),"Fin de propulsion","") &amp; IF(AND(L265&gt;L_rampe,pos_xz&lt;=L_rampe),"Sortie de rampe","")</f>
        <v/>
      </c>
      <c r="Z264" s="455" t="str">
        <f aca="false">IF(ABS(t-T_para)&lt;pas/2,"Para","")</f>
        <v/>
      </c>
      <c r="AA264" s="456" t="str">
        <f aca="false">IF(ABS(t-T_satellite)&lt;pas/2,"Satellite","")</f>
        <v/>
      </c>
      <c r="AB264" s="444"/>
      <c r="AC264" s="452" t="e">
        <f aca="false">IF(ABS(t-ROUND(t,0))&lt;0.001,t,NA())</f>
        <v>#N/A</v>
      </c>
      <c r="AD264" s="457" t="e">
        <f aca="false">IF(ABS(t-ROUND(t,0))&lt;0.001,pos_x,NA())</f>
        <v>#N/A</v>
      </c>
      <c r="AE264" s="458" t="n">
        <f aca="false">IF(t&lt;T_para, pos_z, NA())</f>
        <v>223.32967316987</v>
      </c>
      <c r="AF264" s="444"/>
      <c r="AG264" s="450" t="n">
        <f aca="false">IF(AND(L263&lt;L_rampe,Poussee&lt;Poids*SIN(M263)),0,(-W263+Poussee)/m-Poids*SIN(M263)/m)</f>
        <v>38.9091380370908</v>
      </c>
      <c r="AH264" s="449" t="n">
        <f aca="false">IF(AND(L263&lt;L_rampe,Poussee&lt;Poids*SIN(M263)), g*SIN(M263), (-W263+Poussee)/m)</f>
        <v>48.4626767409336</v>
      </c>
    </row>
    <row r="265" customFormat="false" ht="12" hidden="false" customHeight="false" outlineLevel="0" collapsed="false">
      <c r="A265" s="448" t="n">
        <f aca="false">IF(B264+0.01&lt;=T_ini+ROUNDUP(Temps_fin_propu,0), 0.01, IF(K264&gt;0, 0.1, 0.0001))</f>
        <v>0.01</v>
      </c>
      <c r="B265" s="449" t="n">
        <f aca="false">B264+pas</f>
        <v>2.60999999999999</v>
      </c>
      <c r="C265" s="432"/>
      <c r="D265" s="450" t="n">
        <f aca="false">IF(AND(L264&lt;L_rampe,Poussee&lt;Poids*SIN(M264)),0,(-W264+Poussee)/m*COS(M264)-U264/m*SIN(M264))</f>
        <v>10.9574706975442</v>
      </c>
      <c r="E265" s="451" t="n">
        <f aca="false">IF(AND(L264&lt;L_rampe,Poussee&lt;Poids*SIN(M264)),0,(-W264+Poussee)/m*SIN(M264)+U264/m*COS(M264)-Poids/m)</f>
        <v>37.1358184353296</v>
      </c>
      <c r="F265" s="449" t="n">
        <f aca="false">SQRT(acc_x^2+acc_z^2)</f>
        <v>38.7186670089416</v>
      </c>
      <c r="G265" s="450" t="n">
        <f aca="false">G264+acc_x*pas</f>
        <v>36.3389642373893</v>
      </c>
      <c r="H265" s="451" t="n">
        <f aca="false">H264+acc_z*pas</f>
        <v>155.591334569855</v>
      </c>
      <c r="I265" s="449" t="n">
        <f aca="false">SQRT(vit_x^2+vit_z^2)</f>
        <v>159.77854585355</v>
      </c>
      <c r="J265" s="450" t="n">
        <f aca="false">J264+0.5*(vit_x+G264)*pas*(K264&gt;=0)</f>
        <v>48.7593817086083</v>
      </c>
      <c r="K265" s="451" t="n">
        <f aca="false">K264+0.5*(vit_z+H264)*pas</f>
        <v>224.883729724647</v>
      </c>
      <c r="L265" s="449" t="n">
        <f aca="false">SQRT(pos_x^2+pos_z^2)</f>
        <v>230.109037631019</v>
      </c>
      <c r="M265" s="450" t="n">
        <f aca="false">IF(AND(L264&gt;L_rampe,G265&gt;0),ATAN2(G265,H265),$M$4)</f>
        <v>1.34135521807592</v>
      </c>
      <c r="N265" s="449" t="n">
        <f aca="false">DEGREES(Beta)</f>
        <v>76.8539928236001</v>
      </c>
      <c r="O265" s="438"/>
      <c r="P265" s="452" t="n">
        <f aca="false">MATCH(t-pas/2-T_ini,CdP_t)</f>
        <v>7</v>
      </c>
      <c r="Q265" s="449" t="n">
        <f aca="false">(INDEX(CdP,2,i_P+1)-INDEX(CdP,2,i_P+0))/(INDEX(CdP,1,i_P+1)-INDEX(CdP,1,i_P+0))*(t-pas/2-T_ini-INDEX(CdP,1,i_P+0))+INDEX(CdP,2,i_P+0)</f>
        <v>491.553191489364</v>
      </c>
      <c r="R265" s="450" t="n">
        <f aca="false">Poussee/(g*ISP)</f>
        <v>0.246687644499538</v>
      </c>
      <c r="S265" s="451" t="n">
        <f aca="false">S264-Débit*pas</f>
        <v>8.79283298641902</v>
      </c>
      <c r="T265" s="449" t="n">
        <f aca="false">m*g</f>
        <v>86.2576915967706</v>
      </c>
      <c r="U265" s="453" t="n">
        <f aca="false">IF(pos_xz&lt;L_rampe,Poids*COS(Beta),0)</f>
        <v>0</v>
      </c>
      <c r="V265" s="450" t="n">
        <f aca="false">Rho_moyen*(20000-Alt_rampe-pos_z)/(20000+Alt_rampe+pos_z)</f>
        <v>1.19775805660056</v>
      </c>
      <c r="W265" s="449" t="n">
        <f aca="false">1/2*Rho*Sref*Cx*vit_xz^2</f>
        <v>67.9895656014893</v>
      </c>
      <c r="X265" s="438"/>
      <c r="Y265" s="454" t="str">
        <f aca="false">IF(AND(pos_z&lt;=0,K264&gt;0),"Impact balistique","") &amp; IF(AND(H266&lt;0,vit_z&gt;=0),"Apogée","") &amp; IF(AND(Poussee=0,Q264&gt;0),"Fin de propulsion","") &amp; IF(AND(L266&gt;L_rampe,pos_xz&lt;=L_rampe),"Sortie de rampe","")</f>
        <v/>
      </c>
      <c r="Z265" s="455" t="str">
        <f aca="false">IF(ABS(t-T_para)&lt;pas/2,"Para","")</f>
        <v/>
      </c>
      <c r="AA265" s="456" t="str">
        <f aca="false">IF(ABS(t-T_satellite)&lt;pas/2,"Satellite","")</f>
        <v/>
      </c>
      <c r="AB265" s="444"/>
      <c r="AC265" s="452" t="e">
        <f aca="false">IF(ABS(t-ROUND(t,0))&lt;0.001,t,NA())</f>
        <v>#N/A</v>
      </c>
      <c r="AD265" s="457" t="e">
        <f aca="false">IF(ABS(t-ROUND(t,0))&lt;0.001,pos_x,NA())</f>
        <v>#N/A</v>
      </c>
      <c r="AE265" s="458" t="n">
        <f aca="false">IF(t&lt;T_para, pos_z, NA())</f>
        <v>224.883729724647</v>
      </c>
      <c r="AF265" s="444"/>
      <c r="AG265" s="450" t="n">
        <f aca="false">IF(AND(L264&lt;L_rampe,Poussee&lt;Poids*SIN(M264)),0,(-W264+Poussee)/m-Poids*SIN(M264)/m)</f>
        <v>38.6544075371732</v>
      </c>
      <c r="AH265" s="449" t="n">
        <f aca="false">IF(AND(L264&lt;L_rampe,Poussee&lt;Poids*SIN(M264)), g*SIN(M264), (-W264+Poussee)/m)</f>
        <v>48.2076345888332</v>
      </c>
    </row>
    <row r="266" customFormat="false" ht="12" hidden="false" customHeight="false" outlineLevel="0" collapsed="false">
      <c r="A266" s="448" t="n">
        <f aca="false">IF(B265+0.01&lt;=T_ini+ROUNDUP(Temps_fin_propu,0), 0.01, IF(K265&gt;0, 0.1, 0.0001))</f>
        <v>0.01</v>
      </c>
      <c r="B266" s="449" t="n">
        <f aca="false">B265+pas</f>
        <v>2.61999999999999</v>
      </c>
      <c r="C266" s="432"/>
      <c r="D266" s="450" t="n">
        <f aca="false">IF(AND(L265&lt;L_rampe,Poussee&lt;Poids*SIN(M265)),0,(-W265+Poussee)/m*COS(M265)-U265/m*SIN(M265))</f>
        <v>10.9060102409324</v>
      </c>
      <c r="E266" s="451" t="n">
        <f aca="false">IF(AND(L265&lt;L_rampe,Poussee&lt;Poids*SIN(M265)),0,(-W265+Poussee)/m*SIN(M265)+U265/m*COS(M265)-Poids/m)</f>
        <v>36.8859013232757</v>
      </c>
      <c r="F266" s="449" t="n">
        <f aca="false">SQRT(acc_x^2+acc_z^2)</f>
        <v>38.4644092091085</v>
      </c>
      <c r="G266" s="450" t="n">
        <f aca="false">G265+acc_x*pas</f>
        <v>36.4480243397987</v>
      </c>
      <c r="H266" s="451" t="n">
        <f aca="false">H265+acc_z*pas</f>
        <v>155.960193583088</v>
      </c>
      <c r="I266" s="449" t="n">
        <f aca="false">SQRT(vit_x^2+vit_z^2)</f>
        <v>160.162543875742</v>
      </c>
      <c r="J266" s="450" t="n">
        <f aca="false">J265+0.5*(vit_x+G265)*pas*(K265&gt;=0)</f>
        <v>49.1233166514942</v>
      </c>
      <c r="K266" s="451" t="n">
        <f aca="false">K265+0.5*(vit_z+H265)*pas</f>
        <v>226.441487365412</v>
      </c>
      <c r="L266" s="449" t="n">
        <f aca="false">SQRT(pos_x^2+pos_z^2)</f>
        <v>231.708539849318</v>
      </c>
      <c r="M266" s="450" t="n">
        <f aca="false">IF(AND(L265&gt;L_rampe,G266&gt;0),ATAN2(G266,H266),$M$4)</f>
        <v>1.34121591454299</v>
      </c>
      <c r="N266" s="449" t="n">
        <f aca="false">DEGREES(Beta)</f>
        <v>76.8460113190919</v>
      </c>
      <c r="O266" s="438"/>
      <c r="P266" s="452" t="n">
        <f aca="false">MATCH(t-pas/2-T_ini,CdP_t)</f>
        <v>7</v>
      </c>
      <c r="Q266" s="449" t="n">
        <f aca="false">(INDEX(CdP,2,i_P+1)-INDEX(CdP,2,i_P+0))/(INDEX(CdP,1,i_P+1)-INDEX(CdP,1,i_P+0))*(t-pas/2-T_ini-INDEX(CdP,1,i_P+0))+INDEX(CdP,2,i_P+0)</f>
        <v>489.510638297875</v>
      </c>
      <c r="R266" s="450" t="n">
        <f aca="false">Poussee/(g*ISP)</f>
        <v>0.245662582218797</v>
      </c>
      <c r="S266" s="451" t="n">
        <f aca="false">S265-Débit*pas</f>
        <v>8.79037636059683</v>
      </c>
      <c r="T266" s="449" t="n">
        <f aca="false">m*g</f>
        <v>86.233592097455</v>
      </c>
      <c r="U266" s="453" t="n">
        <f aca="false">IF(pos_xz&lt;L_rampe,Poids*COS(Beta),0)</f>
        <v>0</v>
      </c>
      <c r="V266" s="450" t="n">
        <f aca="false">Rho_moyen*(20000-Alt_rampe-pos_z)/(20000+Alt_rampe+pos_z)</f>
        <v>1.19757146570286</v>
      </c>
      <c r="W266" s="449" t="n">
        <f aca="false">1/2*Rho*Sref*Cx*vit_xz^2</f>
        <v>68.3061162372753</v>
      </c>
      <c r="X266" s="438"/>
      <c r="Y266" s="454" t="str">
        <f aca="false">IF(AND(pos_z&lt;=0,K265&gt;0),"Impact balistique","") &amp; IF(AND(H267&lt;0,vit_z&gt;=0),"Apogée","") &amp; IF(AND(Poussee=0,Q265&gt;0),"Fin de propulsion","") &amp; IF(AND(L267&gt;L_rampe,pos_xz&lt;=L_rampe),"Sortie de rampe","")</f>
        <v/>
      </c>
      <c r="Z266" s="455" t="str">
        <f aca="false">IF(ABS(t-T_para)&lt;pas/2,"Para","")</f>
        <v/>
      </c>
      <c r="AA266" s="456" t="str">
        <f aca="false">IF(ABS(t-T_satellite)&lt;pas/2,"Satellite","")</f>
        <v/>
      </c>
      <c r="AB266" s="444"/>
      <c r="AC266" s="452" t="e">
        <f aca="false">IF(ABS(t-ROUND(t,0))&lt;0.001,t,NA())</f>
        <v>#N/A</v>
      </c>
      <c r="AD266" s="457" t="e">
        <f aca="false">IF(ABS(t-ROUND(t,0))&lt;0.001,pos_x,NA())</f>
        <v>#N/A</v>
      </c>
      <c r="AE266" s="458" t="n">
        <f aca="false">IF(t&lt;T_para, pos_z, NA())</f>
        <v>226.441487365412</v>
      </c>
      <c r="AF266" s="444"/>
      <c r="AG266" s="450" t="n">
        <f aca="false">IF(AND(L265&lt;L_rampe,Poussee&lt;Poids*SIN(M265)),0,(-W265+Poussee)/m-Poids*SIN(M265)/m)</f>
        <v>38.3996468176768</v>
      </c>
      <c r="AH266" s="449" t="n">
        <f aca="false">IF(AND(L265&lt;L_rampe,Poussee&lt;Poids*SIN(M265)), g*SIN(M265), (-W265+Poussee)/m)</f>
        <v>47.9525625985559</v>
      </c>
    </row>
    <row r="267" customFormat="false" ht="12" hidden="false" customHeight="false" outlineLevel="0" collapsed="false">
      <c r="A267" s="448" t="n">
        <f aca="false">IF(B266+0.01&lt;=T_ini+ROUNDUP(Temps_fin_propu,0), 0.01, IF(K266&gt;0, 0.1, 0.0001))</f>
        <v>0.01</v>
      </c>
      <c r="B267" s="449" t="n">
        <f aca="false">B266+pas</f>
        <v>2.62999999999999</v>
      </c>
      <c r="C267" s="432"/>
      <c r="D267" s="450" t="n">
        <f aca="false">IF(AND(L266&lt;L_rampe,Poussee&lt;Poids*SIN(M266)),0,(-W266+Poussee)/m*COS(M266)-U266/m*SIN(M266))</f>
        <v>10.8544623792831</v>
      </c>
      <c r="E267" s="451" t="n">
        <f aca="false">IF(AND(L266&lt;L_rampe,Poussee&lt;Poids*SIN(M266)),0,(-W266+Poussee)/m*SIN(M266)+U266/m*COS(M266)-Poids/m)</f>
        <v>36.6359757305654</v>
      </c>
      <c r="F267" s="449" t="n">
        <f aca="false">SQRT(acc_x^2+acc_z^2)</f>
        <v>38.2101304796758</v>
      </c>
      <c r="G267" s="450" t="n">
        <f aca="false">G266+acc_x*pas</f>
        <v>36.5565689635915</v>
      </c>
      <c r="H267" s="451" t="n">
        <f aca="false">H266+acc_z*pas</f>
        <v>156.326553340394</v>
      </c>
      <c r="I267" s="449" t="n">
        <f aca="false">SQRT(vit_x^2+vit_z^2)</f>
        <v>160.543994013095</v>
      </c>
      <c r="J267" s="450" t="n">
        <f aca="false">J266+0.5*(vit_x+G266)*pas*(K266&gt;=0)</f>
        <v>49.4883396180111</v>
      </c>
      <c r="K267" s="451" t="n">
        <f aca="false">K266+0.5*(vit_z+H266)*pas</f>
        <v>228.002921100029</v>
      </c>
      <c r="L267" s="449" t="n">
        <f aca="false">SQRT(pos_x^2+pos_z^2)</f>
        <v>233.311868082817</v>
      </c>
      <c r="M267" s="450" t="n">
        <f aca="false">IF(AND(L266&gt;L_rampe,G267&gt;0),ATAN2(G267,H267),$M$4)</f>
        <v>1.34107685910417</v>
      </c>
      <c r="N267" s="449" t="n">
        <f aca="false">DEGREES(Beta)</f>
        <v>76.8380440293292</v>
      </c>
      <c r="O267" s="438"/>
      <c r="P267" s="452" t="n">
        <f aca="false">MATCH(t-pas/2-T_ini,CdP_t)</f>
        <v>7</v>
      </c>
      <c r="Q267" s="449" t="n">
        <f aca="false">(INDEX(CdP,2,i_P+1)-INDEX(CdP,2,i_P+0))/(INDEX(CdP,1,i_P+1)-INDEX(CdP,1,i_P+0))*(t-pas/2-T_ini-INDEX(CdP,1,i_P+0))+INDEX(CdP,2,i_P+0)</f>
        <v>487.468085106385</v>
      </c>
      <c r="R267" s="450" t="n">
        <f aca="false">Poussee/(g*ISP)</f>
        <v>0.244637519938056</v>
      </c>
      <c r="S267" s="451" t="n">
        <f aca="false">S266-Débit*pas</f>
        <v>8.78792998539745</v>
      </c>
      <c r="T267" s="449" t="n">
        <f aca="false">m*g</f>
        <v>86.209593156749</v>
      </c>
      <c r="U267" s="453" t="n">
        <f aca="false">IF(pos_xz&lt;L_rampe,Poids*COS(Beta),0)</f>
        <v>0</v>
      </c>
      <c r="V267" s="450" t="n">
        <f aca="false">Rho_moyen*(20000-Alt_rampe-pos_z)/(20000+Alt_rampe+pos_z)</f>
        <v>1.19738446331682</v>
      </c>
      <c r="W267" s="449" t="n">
        <f aca="false">1/2*Rho*Sref*Cx*vit_xz^2</f>
        <v>68.621148410612</v>
      </c>
      <c r="X267" s="438"/>
      <c r="Y267" s="454" t="str">
        <f aca="false">IF(AND(pos_z&lt;=0,K266&gt;0),"Impact balistique","") &amp; IF(AND(H268&lt;0,vit_z&gt;=0),"Apogée","") &amp; IF(AND(Poussee=0,Q266&gt;0),"Fin de propulsion","") &amp; IF(AND(L268&gt;L_rampe,pos_xz&lt;=L_rampe),"Sortie de rampe","")</f>
        <v/>
      </c>
      <c r="Z267" s="455" t="str">
        <f aca="false">IF(ABS(t-T_para)&lt;pas/2,"Para","")</f>
        <v/>
      </c>
      <c r="AA267" s="456" t="str">
        <f aca="false">IF(ABS(t-T_satellite)&lt;pas/2,"Satellite","")</f>
        <v/>
      </c>
      <c r="AB267" s="444"/>
      <c r="AC267" s="452" t="e">
        <f aca="false">IF(ABS(t-ROUND(t,0))&lt;0.001,t,NA())</f>
        <v>#N/A</v>
      </c>
      <c r="AD267" s="457" t="e">
        <f aca="false">IF(ABS(t-ROUND(t,0))&lt;0.001,pos_x,NA())</f>
        <v>#N/A</v>
      </c>
      <c r="AE267" s="458" t="n">
        <f aca="false">IF(t&lt;T_para, pos_z, NA())</f>
        <v>228.002921100029</v>
      </c>
      <c r="AF267" s="444"/>
      <c r="AG267" s="450" t="n">
        <f aca="false">IF(AND(L266&lt;L_rampe,Poussee&lt;Poids*SIN(M266)),0,(-W266+Poussee)/m-Poids*SIN(M266)/m)</f>
        <v>38.1448585181043</v>
      </c>
      <c r="AH267" s="449" t="n">
        <f aca="false">IF(AND(L266&lt;L_rampe,Poussee&lt;Poids*SIN(M266)), g*SIN(M266), (-W266+Poussee)/m)</f>
        <v>47.6974634032832</v>
      </c>
    </row>
    <row r="268" customFormat="false" ht="12" hidden="false" customHeight="false" outlineLevel="0" collapsed="false">
      <c r="A268" s="448" t="n">
        <f aca="false">IF(B267+0.01&lt;=T_ini+ROUNDUP(Temps_fin_propu,0), 0.01, IF(K267&gt;0, 0.1, 0.0001))</f>
        <v>0.01</v>
      </c>
      <c r="B268" s="449" t="n">
        <f aca="false">B267+pas</f>
        <v>2.63999999999999</v>
      </c>
      <c r="C268" s="432"/>
      <c r="D268" s="450" t="n">
        <f aca="false">IF(AND(L267&lt;L_rampe,Poussee&lt;Poids*SIN(M267)),0,(-W267+Poussee)/m*COS(M267)-U267/m*SIN(M267))</f>
        <v>10.8028280403636</v>
      </c>
      <c r="E268" s="451" t="n">
        <f aca="false">IF(AND(L267&lt;L_rampe,Poussee&lt;Poids*SIN(M267)),0,(-W267+Poussee)/m*SIN(M267)+U267/m*COS(M267)-Poids/m)</f>
        <v>36.386044151762</v>
      </c>
      <c r="F268" s="449" t="n">
        <f aca="false">SQRT(acc_x^2+acc_z^2)</f>
        <v>37.9558335790909</v>
      </c>
      <c r="G268" s="450" t="n">
        <f aca="false">G267+acc_x*pas</f>
        <v>36.6645972439951</v>
      </c>
      <c r="H268" s="451" t="n">
        <f aca="false">H267+acc_z*pas</f>
        <v>156.690413781911</v>
      </c>
      <c r="I268" s="449" t="n">
        <f aca="false">SQRT(vit_x^2+vit_z^2)</f>
        <v>160.922896016107</v>
      </c>
      <c r="J268" s="450" t="n">
        <f aca="false">J267+0.5*(vit_x+G267)*pas*(K267&gt;=0)</f>
        <v>49.8544454490491</v>
      </c>
      <c r="K268" s="451" t="n">
        <f aca="false">K267+0.5*(vit_z+H267)*pas</f>
        <v>229.568005935641</v>
      </c>
      <c r="L268" s="449" t="n">
        <f aca="false">SQRT(pos_x^2+pos_z^2)</f>
        <v>234.918996848485</v>
      </c>
      <c r="M268" s="450" t="n">
        <f aca="false">IF(AND(L267&gt;L_rampe,G268&gt;0),ATAN2(G268,H268),$M$4)</f>
        <v>1.34093804853531</v>
      </c>
      <c r="N268" s="449" t="n">
        <f aca="false">DEGREES(Beta)</f>
        <v>76.830090769582</v>
      </c>
      <c r="O268" s="438"/>
      <c r="P268" s="452" t="n">
        <f aca="false">MATCH(t-pas/2-T_ini,CdP_t)</f>
        <v>7</v>
      </c>
      <c r="Q268" s="449" t="n">
        <f aca="false">(INDEX(CdP,2,i_P+1)-INDEX(CdP,2,i_P+0))/(INDEX(CdP,1,i_P+1)-INDEX(CdP,1,i_P+0))*(t-pas/2-T_ini-INDEX(CdP,1,i_P+0))+INDEX(CdP,2,i_P+0)</f>
        <v>485.425531914896</v>
      </c>
      <c r="R268" s="450" t="n">
        <f aca="false">Poussee/(g*ISP)</f>
        <v>0.243612457657315</v>
      </c>
      <c r="S268" s="451" t="n">
        <f aca="false">S267-Débit*pas</f>
        <v>8.78549386082088</v>
      </c>
      <c r="T268" s="449" t="n">
        <f aca="false">m*g</f>
        <v>86.1856947746529</v>
      </c>
      <c r="U268" s="453" t="n">
        <f aca="false">IF(pos_xz&lt;L_rampe,Poids*COS(Beta),0)</f>
        <v>0</v>
      </c>
      <c r="V268" s="450" t="n">
        <f aca="false">Rho_moyen*(20000-Alt_rampe-pos_z)/(20000+Alt_rampe+pos_z)</f>
        <v>1.1971970526322</v>
      </c>
      <c r="W268" s="449" t="n">
        <f aca="false">1/2*Rho*Sref*Cx*vit_xz^2</f>
        <v>68.934646885428</v>
      </c>
      <c r="X268" s="438"/>
      <c r="Y268" s="454" t="str">
        <f aca="false">IF(AND(pos_z&lt;=0,K267&gt;0),"Impact balistique","") &amp; IF(AND(H269&lt;0,vit_z&gt;=0),"Apogée","") &amp; IF(AND(Poussee=0,Q267&gt;0),"Fin de propulsion","") &amp; IF(AND(L269&gt;L_rampe,pos_xz&lt;=L_rampe),"Sortie de rampe","")</f>
        <v/>
      </c>
      <c r="Z268" s="455" t="str">
        <f aca="false">IF(ABS(t-T_para)&lt;pas/2,"Para","")</f>
        <v/>
      </c>
      <c r="AA268" s="456" t="str">
        <f aca="false">IF(ABS(t-T_satellite)&lt;pas/2,"Satellite","")</f>
        <v/>
      </c>
      <c r="AB268" s="444"/>
      <c r="AC268" s="452" t="e">
        <f aca="false">IF(ABS(t-ROUND(t,0))&lt;0.001,t,NA())</f>
        <v>#N/A</v>
      </c>
      <c r="AD268" s="457" t="e">
        <f aca="false">IF(ABS(t-ROUND(t,0))&lt;0.001,pos_x,NA())</f>
        <v>#N/A</v>
      </c>
      <c r="AE268" s="458" t="n">
        <f aca="false">IF(t&lt;T_para, pos_z, NA())</f>
        <v>229.568005935641</v>
      </c>
      <c r="AF268" s="444"/>
      <c r="AG268" s="450" t="n">
        <f aca="false">IF(AND(L267&lt;L_rampe,Poussee&lt;Poids*SIN(M267)),0,(-W267+Poussee)/m-Poids*SIN(M267)/m)</f>
        <v>37.8900452650975</v>
      </c>
      <c r="AH268" s="449" t="n">
        <f aca="false">IF(AND(L267&lt;L_rampe,Poussee&lt;Poids*SIN(M267)), g*SIN(M267), (-W267+Poussee)/m)</f>
        <v>47.4423396233914</v>
      </c>
    </row>
    <row r="269" customFormat="false" ht="12" hidden="false" customHeight="false" outlineLevel="0" collapsed="false">
      <c r="A269" s="448" t="n">
        <f aca="false">IF(B268+0.01&lt;=T_ini+ROUNDUP(Temps_fin_propu,0), 0.01, IF(K268&gt;0, 0.1, 0.0001))</f>
        <v>0.01</v>
      </c>
      <c r="B269" s="449" t="n">
        <f aca="false">B268+pas</f>
        <v>2.64999999999999</v>
      </c>
      <c r="C269" s="432"/>
      <c r="D269" s="450" t="n">
        <f aca="false">IF(AND(L268&lt;L_rampe,Poussee&lt;Poids*SIN(M268)),0,(-W268+Poussee)/m*COS(M268)-U268/m*SIN(M268))</f>
        <v>10.7511081456819</v>
      </c>
      <c r="E269" s="451" t="n">
        <f aca="false">IF(AND(L268&lt;L_rampe,Poussee&lt;Poids*SIN(M268)),0,(-W268+Poussee)/m*SIN(M268)+U268/m*COS(M268)-Poids/m)</f>
        <v>36.136109069475</v>
      </c>
      <c r="F269" s="449" t="n">
        <f aca="false">SQRT(acc_x^2+acc_z^2)</f>
        <v>37.7015212563251</v>
      </c>
      <c r="G269" s="450" t="n">
        <f aca="false">G268+acc_x*pas</f>
        <v>36.7721083254519</v>
      </c>
      <c r="H269" s="451" t="n">
        <f aca="false">H268+acc_z*pas</f>
        <v>157.051774872606</v>
      </c>
      <c r="I269" s="449" t="n">
        <f aca="false">SQRT(vit_x^2+vit_z^2)</f>
        <v>161.299249661412</v>
      </c>
      <c r="J269" s="450" t="n">
        <f aca="false">J268+0.5*(vit_x+G268)*pas*(K268&gt;=0)</f>
        <v>50.2216289768963</v>
      </c>
      <c r="K269" s="451" t="n">
        <f aca="false">K268+0.5*(vit_z+H268)*pas</f>
        <v>231.136716878913</v>
      </c>
      <c r="L269" s="449" t="n">
        <f aca="false">SQRT(pos_x^2+pos_z^2)</f>
        <v>236.529900660901</v>
      </c>
      <c r="M269" s="450" t="n">
        <f aca="false">IF(AND(L268&gt;L_rampe,G269&gt;0),ATAN2(G269,H269),$M$4)</f>
        <v>1.34079947964448</v>
      </c>
      <c r="N269" s="449" t="n">
        <f aca="false">DEGREES(Beta)</f>
        <v>76.8221513569659</v>
      </c>
      <c r="O269" s="438"/>
      <c r="P269" s="452" t="n">
        <f aca="false">MATCH(t-pas/2-T_ini,CdP_t)</f>
        <v>7</v>
      </c>
      <c r="Q269" s="449" t="n">
        <f aca="false">(INDEX(CdP,2,i_P+1)-INDEX(CdP,2,i_P+0))/(INDEX(CdP,1,i_P+1)-INDEX(CdP,1,i_P+0))*(t-pas/2-T_ini-INDEX(CdP,1,i_P+0))+INDEX(CdP,2,i_P+0)</f>
        <v>483.382978723407</v>
      </c>
      <c r="R269" s="450" t="n">
        <f aca="false">Poussee/(g*ISP)</f>
        <v>0.242587395376574</v>
      </c>
      <c r="S269" s="451" t="n">
        <f aca="false">S268-Débit*pas</f>
        <v>8.78306798686712</v>
      </c>
      <c r="T269" s="449" t="n">
        <f aca="false">m*g</f>
        <v>86.1618969511664</v>
      </c>
      <c r="U269" s="453" t="n">
        <f aca="false">IF(pos_xz&lt;L_rampe,Poids*COS(Beta),0)</f>
        <v>0</v>
      </c>
      <c r="V269" s="450" t="n">
        <f aca="false">Rho_moyen*(20000-Alt_rampe-pos_z)/(20000+Alt_rampe+pos_z)</f>
        <v>1.19700923683735</v>
      </c>
      <c r="W269" s="449" t="n">
        <f aca="false">1/2*Rho*Sref*Cx*vit_xz^2</f>
        <v>69.2465965658683</v>
      </c>
      <c r="X269" s="438"/>
      <c r="Y269" s="454" t="str">
        <f aca="false">IF(AND(pos_z&lt;=0,K268&gt;0),"Impact balistique","") &amp; IF(AND(H270&lt;0,vit_z&gt;=0),"Apogée","") &amp; IF(AND(Poussee=0,Q268&gt;0),"Fin de propulsion","") &amp; IF(AND(L270&gt;L_rampe,pos_xz&lt;=L_rampe),"Sortie de rampe","")</f>
        <v/>
      </c>
      <c r="Z269" s="455" t="str">
        <f aca="false">IF(ABS(t-T_para)&lt;pas/2,"Para","")</f>
        <v/>
      </c>
      <c r="AA269" s="456" t="str">
        <f aca="false">IF(ABS(t-T_satellite)&lt;pas/2,"Satellite","")</f>
        <v/>
      </c>
      <c r="AB269" s="444"/>
      <c r="AC269" s="452" t="e">
        <f aca="false">IF(ABS(t-ROUND(t,0))&lt;0.001,t,NA())</f>
        <v>#N/A</v>
      </c>
      <c r="AD269" s="457" t="e">
        <f aca="false">IF(ABS(t-ROUND(t,0))&lt;0.001,pos_x,NA())</f>
        <v>#N/A</v>
      </c>
      <c r="AE269" s="458" t="n">
        <f aca="false">IF(t&lt;T_para, pos_z, NA())</f>
        <v>231.136716878913</v>
      </c>
      <c r="AF269" s="444"/>
      <c r="AG269" s="450" t="n">
        <f aca="false">IF(AND(L268&lt;L_rampe,Poussee&lt;Poids*SIN(M268)),0,(-W268+Poussee)/m-Poids*SIN(M268)/m)</f>
        <v>37.6352096723773</v>
      </c>
      <c r="AH269" s="449" t="n">
        <f aca="false">IF(AND(L268&lt;L_rampe,Poussee&lt;Poids*SIN(M268)), g*SIN(M268), (-W268+Poussee)/m)</f>
        <v>47.1871938663896</v>
      </c>
    </row>
    <row r="270" customFormat="false" ht="12" hidden="false" customHeight="false" outlineLevel="0" collapsed="false">
      <c r="A270" s="448" t="n">
        <f aca="false">IF(B269+0.01&lt;=T_ini+ROUNDUP(Temps_fin_propu,0), 0.01, IF(K269&gt;0, 0.1, 0.0001))</f>
        <v>0.01</v>
      </c>
      <c r="B270" s="449" t="n">
        <f aca="false">B269+pas</f>
        <v>2.65999999999999</v>
      </c>
      <c r="C270" s="432"/>
      <c r="D270" s="450" t="n">
        <f aca="false">IF(AND(L269&lt;L_rampe,Poussee&lt;Poids*SIN(M269)),0,(-W269+Poussee)/m*COS(M269)-U269/m*SIN(M269))</f>
        <v>10.699303610525</v>
      </c>
      <c r="E270" s="451" t="n">
        <f aca="false">IF(AND(L269&lt;L_rampe,Poussee&lt;Poids*SIN(M269)),0,(-W269+Poussee)/m*SIN(M269)+U269/m*COS(M269)-Poids/m)</f>
        <v>35.8861729542925</v>
      </c>
      <c r="F270" s="449" t="n">
        <f aca="false">SQRT(acc_x^2+acc_z^2)</f>
        <v>37.4471962509289</v>
      </c>
      <c r="G270" s="450" t="n">
        <f aca="false">G269+acc_x*pas</f>
        <v>36.8791013615572</v>
      </c>
      <c r="H270" s="451" t="n">
        <f aca="false">H269+acc_z*pas</f>
        <v>157.410636602149</v>
      </c>
      <c r="I270" s="449" t="n">
        <f aca="false">SQRT(vit_x^2+vit_z^2)</f>
        <v>161.673054751649</v>
      </c>
      <c r="J270" s="450" t="n">
        <f aca="false">J269+0.5*(vit_x+G269)*pas*(K269&gt;=0)</f>
        <v>50.5898850253314</v>
      </c>
      <c r="K270" s="451" t="n">
        <f aca="false">K269+0.5*(vit_z+H269)*pas</f>
        <v>232.709028936287</v>
      </c>
      <c r="L270" s="449" t="n">
        <f aca="false">SQRT(pos_x^2+pos_z^2)</f>
        <v>238.144554032516</v>
      </c>
      <c r="M270" s="450" t="n">
        <f aca="false">IF(AND(L269&gt;L_rampe,G270&gt;0),ATAN2(G270,H270),$M$4)</f>
        <v>1.34066114927141</v>
      </c>
      <c r="N270" s="449" t="n">
        <f aca="false">DEGREES(Beta)</f>
        <v>76.8142256104101</v>
      </c>
      <c r="O270" s="438"/>
      <c r="P270" s="452" t="n">
        <f aca="false">MATCH(t-pas/2-T_ini,CdP_t)</f>
        <v>7</v>
      </c>
      <c r="Q270" s="449" t="n">
        <f aca="false">(INDEX(CdP,2,i_P+1)-INDEX(CdP,2,i_P+0))/(INDEX(CdP,1,i_P+1)-INDEX(CdP,1,i_P+0))*(t-pas/2-T_ini-INDEX(CdP,1,i_P+0))+INDEX(CdP,2,i_P+0)</f>
        <v>481.340425531918</v>
      </c>
      <c r="R270" s="450" t="n">
        <f aca="false">Poussee/(g*ISP)</f>
        <v>0.241562333095833</v>
      </c>
      <c r="S270" s="451" t="n">
        <f aca="false">S269-Débit*pas</f>
        <v>8.78065236353616</v>
      </c>
      <c r="T270" s="449" t="n">
        <f aca="false">m*g</f>
        <v>86.1381996862897</v>
      </c>
      <c r="U270" s="453" t="n">
        <f aca="false">IF(pos_xz&lt;L_rampe,Poids*COS(Beta),0)</f>
        <v>0</v>
      </c>
      <c r="V270" s="450" t="n">
        <f aca="false">Rho_moyen*(20000-Alt_rampe-pos_z)/(20000+Alt_rampe+pos_z)</f>
        <v>1.19682101911916</v>
      </c>
      <c r="W270" s="449" t="n">
        <f aca="false">1/2*Rho*Sref*Cx*vit_xz^2</f>
        <v>69.5569824963904</v>
      </c>
      <c r="X270" s="438"/>
      <c r="Y270" s="454" t="str">
        <f aca="false">IF(AND(pos_z&lt;=0,K269&gt;0),"Impact balistique","") &amp; IF(AND(H271&lt;0,vit_z&gt;=0),"Apogée","") &amp; IF(AND(Poussee=0,Q269&gt;0),"Fin de propulsion","") &amp; IF(AND(L271&gt;L_rampe,pos_xz&lt;=L_rampe),"Sortie de rampe","")</f>
        <v/>
      </c>
      <c r="Z270" s="455" t="str">
        <f aca="false">IF(ABS(t-T_para)&lt;pas/2,"Para","")</f>
        <v/>
      </c>
      <c r="AA270" s="456" t="str">
        <f aca="false">IF(ABS(t-T_satellite)&lt;pas/2,"Satellite","")</f>
        <v/>
      </c>
      <c r="AB270" s="444"/>
      <c r="AC270" s="452" t="e">
        <f aca="false">IF(ABS(t-ROUND(t,0))&lt;0.001,t,NA())</f>
        <v>#N/A</v>
      </c>
      <c r="AD270" s="457" t="e">
        <f aca="false">IF(ABS(t-ROUND(t,0))&lt;0.001,pos_x,NA())</f>
        <v>#N/A</v>
      </c>
      <c r="AE270" s="458" t="n">
        <f aca="false">IF(t&lt;T_para, pos_z, NA())</f>
        <v>232.709028936287</v>
      </c>
      <c r="AF270" s="444"/>
      <c r="AG270" s="450" t="n">
        <f aca="false">IF(AND(L269&lt;L_rampe,Poussee&lt;Poids*SIN(M269)),0,(-W269+Poussee)/m-Poids*SIN(M269)/m)</f>
        <v>37.3803543406842</v>
      </c>
      <c r="AH270" s="449" t="n">
        <f aca="false">IF(AND(L269&lt;L_rampe,Poussee&lt;Poids*SIN(M269)), g*SIN(M269), (-W269+Poussee)/m)</f>
        <v>46.9320287268599</v>
      </c>
    </row>
    <row r="271" customFormat="false" ht="12" hidden="false" customHeight="false" outlineLevel="0" collapsed="false">
      <c r="A271" s="448" t="n">
        <f aca="false">IF(B270+0.01&lt;=T_ini+ROUNDUP(Temps_fin_propu,0), 0.01, IF(K270&gt;0, 0.1, 0.0001))</f>
        <v>0.01</v>
      </c>
      <c r="B271" s="449" t="n">
        <f aca="false">B270+pas</f>
        <v>2.66999999999999</v>
      </c>
      <c r="C271" s="432"/>
      <c r="D271" s="450" t="n">
        <f aca="false">IF(AND(L270&lt;L_rampe,Poussee&lt;Poids*SIN(M270)),0,(-W270+Poussee)/m*COS(M270)-U270/m*SIN(M270))</f>
        <v>10.6474153439962</v>
      </c>
      <c r="E271" s="451" t="n">
        <f aca="false">IF(AND(L270&lt;L_rampe,Poussee&lt;Poids*SIN(M270)),0,(-W270+Poussee)/m*SIN(M270)+U270/m*COS(M270)-Poids/m)</f>
        <v>35.6362382647156</v>
      </c>
      <c r="F271" s="449" t="n">
        <f aca="false">SQRT(acc_x^2+acc_z^2)</f>
        <v>37.1928612930915</v>
      </c>
      <c r="G271" s="450" t="n">
        <f aca="false">G270+acc_x*pas</f>
        <v>36.9855755149972</v>
      </c>
      <c r="H271" s="451" t="n">
        <f aca="false">H270+acc_z*pas</f>
        <v>157.766998984796</v>
      </c>
      <c r="I271" s="449" t="n">
        <f aca="false">SQRT(vit_x^2+vit_z^2)</f>
        <v>162.044311115337</v>
      </c>
      <c r="J271" s="450" t="n">
        <f aca="false">J270+0.5*(vit_x+G270)*pas*(K270&gt;=0)</f>
        <v>50.9592084097141</v>
      </c>
      <c r="K271" s="451" t="n">
        <f aca="false">K270+0.5*(vit_z+H270)*pas</f>
        <v>234.284917114222</v>
      </c>
      <c r="L271" s="449" t="n">
        <f aca="false">SQRT(pos_x^2+pos_z^2)</f>
        <v>239.762931473909</v>
      </c>
      <c r="M271" s="450" t="n">
        <f aca="false">IF(AND(L270&gt;L_rampe,G271&gt;0),ATAN2(G271,H271),$M$4)</f>
        <v>1.3405230542869</v>
      </c>
      <c r="N271" s="449" t="n">
        <f aca="false">DEGREES(Beta)</f>
        <v>76.8063133506259</v>
      </c>
      <c r="O271" s="438"/>
      <c r="P271" s="452" t="n">
        <f aca="false">MATCH(t-pas/2-T_ini,CdP_t)</f>
        <v>7</v>
      </c>
      <c r="Q271" s="449" t="n">
        <f aca="false">(INDEX(CdP,2,i_P+1)-INDEX(CdP,2,i_P+0))/(INDEX(CdP,1,i_P+1)-INDEX(CdP,1,i_P+0))*(t-pas/2-T_ini-INDEX(CdP,1,i_P+0))+INDEX(CdP,2,i_P+0)</f>
        <v>479.297872340428</v>
      </c>
      <c r="R271" s="450" t="n">
        <f aca="false">Poussee/(g*ISP)</f>
        <v>0.240537270815093</v>
      </c>
      <c r="S271" s="451" t="n">
        <f aca="false">S270-Débit*pas</f>
        <v>8.77824699082801</v>
      </c>
      <c r="T271" s="449" t="n">
        <f aca="false">m*g</f>
        <v>86.1146029800228</v>
      </c>
      <c r="U271" s="453" t="n">
        <f aca="false">IF(pos_xz&lt;L_rampe,Poids*COS(Beta),0)</f>
        <v>0</v>
      </c>
      <c r="V271" s="450" t="n">
        <f aca="false">Rho_moyen*(20000-Alt_rampe-pos_z)/(20000+Alt_rampe+pos_z)</f>
        <v>1.19663240266305</v>
      </c>
      <c r="W271" s="449" t="n">
        <f aca="false">1/2*Rho*Sref*Cx*vit_xz^2</f>
        <v>69.865789861851</v>
      </c>
      <c r="X271" s="438"/>
      <c r="Y271" s="454" t="str">
        <f aca="false">IF(AND(pos_z&lt;=0,K270&gt;0),"Impact balistique","") &amp; IF(AND(H272&lt;0,vit_z&gt;=0),"Apogée","") &amp; IF(AND(Poussee=0,Q270&gt;0),"Fin de propulsion","") &amp; IF(AND(L272&gt;L_rampe,pos_xz&lt;=L_rampe),"Sortie de rampe","")</f>
        <v/>
      </c>
      <c r="Z271" s="455" t="str">
        <f aca="false">IF(ABS(t-T_para)&lt;pas/2,"Para","")</f>
        <v/>
      </c>
      <c r="AA271" s="456" t="str">
        <f aca="false">IF(ABS(t-T_satellite)&lt;pas/2,"Satellite","")</f>
        <v/>
      </c>
      <c r="AB271" s="444"/>
      <c r="AC271" s="452" t="e">
        <f aca="false">IF(ABS(t-ROUND(t,0))&lt;0.001,t,NA())</f>
        <v>#N/A</v>
      </c>
      <c r="AD271" s="457" t="e">
        <f aca="false">IF(ABS(t-ROUND(t,0))&lt;0.001,pos_x,NA())</f>
        <v>#N/A</v>
      </c>
      <c r="AE271" s="458" t="n">
        <f aca="false">IF(t&lt;T_para, pos_z, NA())</f>
        <v>234.284917114222</v>
      </c>
      <c r="AF271" s="444"/>
      <c r="AG271" s="450" t="n">
        <f aca="false">IF(AND(L270&lt;L_rampe,Poussee&lt;Poids*SIN(M270)),0,(-W270+Poussee)/m-Poids*SIN(M270)/m)</f>
        <v>37.1254818577203</v>
      </c>
      <c r="AH271" s="449" t="n">
        <f aca="false">IF(AND(L270&lt;L_rampe,Poussee&lt;Poids*SIN(M270)), g*SIN(M270), (-W270+Poussee)/m)</f>
        <v>46.6768467863979</v>
      </c>
    </row>
    <row r="272" customFormat="false" ht="12" hidden="false" customHeight="false" outlineLevel="0" collapsed="false">
      <c r="A272" s="448" t="n">
        <f aca="false">IF(B271+0.01&lt;=T_ini+ROUNDUP(Temps_fin_propu,0), 0.01, IF(K271&gt;0, 0.1, 0.0001))</f>
        <v>0.01</v>
      </c>
      <c r="B272" s="449" t="n">
        <f aca="false">B271+pas</f>
        <v>2.67999999999999</v>
      </c>
      <c r="C272" s="432"/>
      <c r="D272" s="450" t="n">
        <f aca="false">IF(AND(L271&lt;L_rampe,Poussee&lt;Poids*SIN(M271)),0,(-W271+Poussee)/m*COS(M271)-U271/m*SIN(M271))</f>
        <v>10.5954442490512</v>
      </c>
      <c r="E272" s="451" t="n">
        <f aca="false">IF(AND(L271&lt;L_rampe,Poussee&lt;Poids*SIN(M271)),0,(-W271+Poussee)/m*SIN(M271)+U271/m*COS(M271)-Poids/m)</f>
        <v>35.386307447094</v>
      </c>
      <c r="F272" s="449" t="n">
        <f aca="false">SQRT(acc_x^2+acc_z^2)</f>
        <v>36.9385191037081</v>
      </c>
      <c r="G272" s="450" t="n">
        <f aca="false">G271+acc_x*pas</f>
        <v>37.0915299574877</v>
      </c>
      <c r="H272" s="451" t="n">
        <f aca="false">H271+acc_z*pas</f>
        <v>158.120862059267</v>
      </c>
      <c r="I272" s="449" t="n">
        <f aca="false">SQRT(vit_x^2+vit_z^2)</f>
        <v>162.413018606739</v>
      </c>
      <c r="J272" s="450" t="n">
        <f aca="false">J271+0.5*(vit_x+G271)*pas*(K271&gt;=0)</f>
        <v>51.3295939370766</v>
      </c>
      <c r="K272" s="451" t="n">
        <f aca="false">K271+0.5*(vit_z+H271)*pas</f>
        <v>235.864356419442</v>
      </c>
      <c r="L272" s="449" t="n">
        <f aca="false">SQRT(pos_x^2+pos_z^2)</f>
        <v>241.38500749405</v>
      </c>
      <c r="M272" s="450" t="n">
        <f aca="false">IF(AND(L271&gt;L_rampe,G272&gt;0),ATAN2(G272,H272),$M$4)</f>
        <v>1.34038519159235</v>
      </c>
      <c r="N272" s="449" t="n">
        <f aca="false">DEGREES(Beta)</f>
        <v>76.7984144000758</v>
      </c>
      <c r="O272" s="438"/>
      <c r="P272" s="452" t="n">
        <f aca="false">MATCH(t-pas/2-T_ini,CdP_t)</f>
        <v>7</v>
      </c>
      <c r="Q272" s="449" t="n">
        <f aca="false">(INDEX(CdP,2,i_P+1)-INDEX(CdP,2,i_P+0))/(INDEX(CdP,1,i_P+1)-INDEX(CdP,1,i_P+0))*(t-pas/2-T_ini-INDEX(CdP,1,i_P+0))+INDEX(CdP,2,i_P+0)</f>
        <v>477.255319148939</v>
      </c>
      <c r="R272" s="450" t="n">
        <f aca="false">Poussee/(g*ISP)</f>
        <v>0.239512208534352</v>
      </c>
      <c r="S272" s="451" t="n">
        <f aca="false">S271-Débit*pas</f>
        <v>8.77585186874267</v>
      </c>
      <c r="T272" s="449" t="n">
        <f aca="false">m*g</f>
        <v>86.0911068323656</v>
      </c>
      <c r="U272" s="453" t="n">
        <f aca="false">IF(pos_xz&lt;L_rampe,Poids*COS(Beta),0)</f>
        <v>0</v>
      </c>
      <c r="V272" s="450" t="n">
        <f aca="false">Rho_moyen*(20000-Alt_rampe-pos_z)/(20000+Alt_rampe+pos_z)</f>
        <v>1.19644339065288</v>
      </c>
      <c r="W272" s="449" t="n">
        <f aca="false">1/2*Rho*Sref*Cx*vit_xz^2</f>
        <v>70.1730039875849</v>
      </c>
      <c r="X272" s="438"/>
      <c r="Y272" s="454" t="str">
        <f aca="false">IF(AND(pos_z&lt;=0,K271&gt;0),"Impact balistique","") &amp; IF(AND(H273&lt;0,vit_z&gt;=0),"Apogée","") &amp; IF(AND(Poussee=0,Q271&gt;0),"Fin de propulsion","") &amp; IF(AND(L273&gt;L_rampe,pos_xz&lt;=L_rampe),"Sortie de rampe","")</f>
        <v/>
      </c>
      <c r="Z272" s="455" t="str">
        <f aca="false">IF(ABS(t-T_para)&lt;pas/2,"Para","")</f>
        <v/>
      </c>
      <c r="AA272" s="456" t="str">
        <f aca="false">IF(ABS(t-T_satellite)&lt;pas/2,"Satellite","")</f>
        <v/>
      </c>
      <c r="AB272" s="444"/>
      <c r="AC272" s="452" t="e">
        <f aca="false">IF(ABS(t-ROUND(t,0))&lt;0.001,t,NA())</f>
        <v>#N/A</v>
      </c>
      <c r="AD272" s="457" t="e">
        <f aca="false">IF(ABS(t-ROUND(t,0))&lt;0.001,pos_x,NA())</f>
        <v>#N/A</v>
      </c>
      <c r="AE272" s="458" t="n">
        <f aca="false">IF(t&lt;T_para, pos_z, NA())</f>
        <v>235.864356419442</v>
      </c>
      <c r="AF272" s="444"/>
      <c r="AG272" s="450" t="n">
        <f aca="false">IF(AND(L271&lt;L_rampe,Poussee&lt;Poids*SIN(M271)),0,(-W271+Poussee)/m-Poids*SIN(M271)/m)</f>
        <v>36.8705947980922</v>
      </c>
      <c r="AH272" s="449" t="n">
        <f aca="false">IF(AND(L271&lt;L_rampe,Poussee&lt;Poids*SIN(M271)), g*SIN(M271), (-W271+Poussee)/m)</f>
        <v>46.4216506135552</v>
      </c>
    </row>
    <row r="273" customFormat="false" ht="12" hidden="false" customHeight="false" outlineLevel="0" collapsed="false">
      <c r="A273" s="448" t="n">
        <f aca="false">IF(B272+0.01&lt;=T_ini+ROUNDUP(Temps_fin_propu,0), 0.01, IF(K272&gt;0, 0.1, 0.0001))</f>
        <v>0.01</v>
      </c>
      <c r="B273" s="449" t="n">
        <f aca="false">B272+pas</f>
        <v>2.68999999999999</v>
      </c>
      <c r="C273" s="432"/>
      <c r="D273" s="450" t="n">
        <f aca="false">IF(AND(L272&lt;L_rampe,Poussee&lt;Poids*SIN(M272)),0,(-W272+Poussee)/m*COS(M272)-U272/m*SIN(M272))</f>
        <v>10.5433912225335</v>
      </c>
      <c r="E273" s="451" t="n">
        <f aca="false">IF(AND(L272&lt;L_rampe,Poussee&lt;Poids*SIN(M272)),0,(-W272+Poussee)/m*SIN(M272)+U272/m*COS(M272)-Poids/m)</f>
        <v>35.136382935562</v>
      </c>
      <c r="F273" s="449" t="n">
        <f aca="false">SQRT(acc_x^2+acc_z^2)</f>
        <v>36.6841723944516</v>
      </c>
      <c r="G273" s="450" t="n">
        <f aca="false">G272+acc_x*pas</f>
        <v>37.196963869713</v>
      </c>
      <c r="H273" s="451" t="n">
        <f aca="false">H272+acc_z*pas</f>
        <v>158.472225888623</v>
      </c>
      <c r="I273" s="449" t="n">
        <f aca="false">SQRT(vit_x^2+vit_z^2)</f>
        <v>162.779177105732</v>
      </c>
      <c r="J273" s="450" t="n">
        <f aca="false">J272+0.5*(vit_x+G272)*pas*(K272&gt;=0)</f>
        <v>51.7010364062126</v>
      </c>
      <c r="K273" s="451" t="n">
        <f aca="false">K272+0.5*(vit_z+H272)*pas</f>
        <v>237.447321859181</v>
      </c>
      <c r="L273" s="449" t="n">
        <f aca="false">SQRT(pos_x^2+pos_z^2)</f>
        <v>243.010756600555</v>
      </c>
      <c r="M273" s="450" t="n">
        <f aca="false">IF(AND(L272&gt;L_rampe,G273&gt;0),ATAN2(G273,H273),$M$4)</f>
        <v>1.34024755811918</v>
      </c>
      <c r="N273" s="449" t="n">
        <f aca="false">DEGREES(Beta)</f>
        <v>76.7905285829434</v>
      </c>
      <c r="O273" s="438"/>
      <c r="P273" s="452" t="n">
        <f aca="false">MATCH(t-pas/2-T_ini,CdP_t)</f>
        <v>7</v>
      </c>
      <c r="Q273" s="449" t="n">
        <f aca="false">(INDEX(CdP,2,i_P+1)-INDEX(CdP,2,i_P+0))/(INDEX(CdP,1,i_P+1)-INDEX(CdP,1,i_P+0))*(t-pas/2-T_ini-INDEX(CdP,1,i_P+0))+INDEX(CdP,2,i_P+0)</f>
        <v>475.21276595745</v>
      </c>
      <c r="R273" s="450" t="n">
        <f aca="false">Poussee/(g*ISP)</f>
        <v>0.238487146253611</v>
      </c>
      <c r="S273" s="451" t="n">
        <f aca="false">S272-Débit*pas</f>
        <v>8.77346699728013</v>
      </c>
      <c r="T273" s="449" t="n">
        <f aca="false">m*g</f>
        <v>86.0677112433181</v>
      </c>
      <c r="U273" s="453" t="n">
        <f aca="false">IF(pos_xz&lt;L_rampe,Poids*COS(Beta),0)</f>
        <v>0</v>
      </c>
      <c r="V273" s="450" t="n">
        <f aca="false">Rho_moyen*(20000-Alt_rampe-pos_z)/(20000+Alt_rampe+pos_z)</f>
        <v>1.19625398627096</v>
      </c>
      <c r="W273" s="449" t="n">
        <f aca="false">1/2*Rho*Sref*Cx*vit_xz^2</f>
        <v>70.4786103394734</v>
      </c>
      <c r="X273" s="438"/>
      <c r="Y273" s="454" t="str">
        <f aca="false">IF(AND(pos_z&lt;=0,K272&gt;0),"Impact balistique","") &amp; IF(AND(H274&lt;0,vit_z&gt;=0),"Apogée","") &amp; IF(AND(Poussee=0,Q272&gt;0),"Fin de propulsion","") &amp; IF(AND(L274&gt;L_rampe,pos_xz&lt;=L_rampe),"Sortie de rampe","")</f>
        <v/>
      </c>
      <c r="Z273" s="455" t="str">
        <f aca="false">IF(ABS(t-T_para)&lt;pas/2,"Para","")</f>
        <v/>
      </c>
      <c r="AA273" s="456" t="str">
        <f aca="false">IF(ABS(t-T_satellite)&lt;pas/2,"Satellite","")</f>
        <v/>
      </c>
      <c r="AB273" s="444"/>
      <c r="AC273" s="452" t="e">
        <f aca="false">IF(ABS(t-ROUND(t,0))&lt;0.001,t,NA())</f>
        <v>#N/A</v>
      </c>
      <c r="AD273" s="457" t="e">
        <f aca="false">IF(ABS(t-ROUND(t,0))&lt;0.001,pos_x,NA())</f>
        <v>#N/A</v>
      </c>
      <c r="AE273" s="458" t="n">
        <f aca="false">IF(t&lt;T_para, pos_z, NA())</f>
        <v>237.447321859181</v>
      </c>
      <c r="AF273" s="444"/>
      <c r="AG273" s="450" t="n">
        <f aca="false">IF(AND(L272&lt;L_rampe,Poussee&lt;Poids*SIN(M272)),0,(-W272+Poussee)/m-Poids*SIN(M272)/m)</f>
        <v>36.6156957232549</v>
      </c>
      <c r="AH273" s="449" t="n">
        <f aca="false">IF(AND(L272&lt;L_rampe,Poussee&lt;Poids*SIN(M272)), g*SIN(M272), (-W272+Poussee)/m)</f>
        <v>46.1664427637821</v>
      </c>
    </row>
    <row r="274" customFormat="false" ht="12" hidden="false" customHeight="false" outlineLevel="0" collapsed="false">
      <c r="A274" s="448" t="n">
        <f aca="false">IF(B273+0.01&lt;=T_ini+ROUNDUP(Temps_fin_propu,0), 0.01, IF(K273&gt;0, 0.1, 0.0001))</f>
        <v>0.01</v>
      </c>
      <c r="B274" s="449" t="n">
        <f aca="false">B273+pas</f>
        <v>2.69999999999999</v>
      </c>
      <c r="C274" s="432"/>
      <c r="D274" s="450" t="n">
        <f aca="false">IF(AND(L273&lt;L_rampe,Poussee&lt;Poids*SIN(M273)),0,(-W273+Poussee)/m*COS(M273)-U273/m*SIN(M273))</f>
        <v>10.491257155209</v>
      </c>
      <c r="E274" s="451" t="n">
        <f aca="false">IF(AND(L273&lt;L_rampe,Poussee&lt;Poids*SIN(M273)),0,(-W273+Poussee)/m*SIN(M273)+U273/m*COS(M273)-Poids/m)</f>
        <v>34.8864671519772</v>
      </c>
      <c r="F274" s="449" t="n">
        <f aca="false">SQRT(acc_x^2+acc_z^2)</f>
        <v>36.4298238678519</v>
      </c>
      <c r="G274" s="450" t="n">
        <f aca="false">G273+acc_x*pas</f>
        <v>37.3018764412651</v>
      </c>
      <c r="H274" s="451" t="n">
        <f aca="false">H273+acc_z*pas</f>
        <v>158.821090560142</v>
      </c>
      <c r="I274" s="449" t="n">
        <f aca="false">SQRT(vit_x^2+vit_z^2)</f>
        <v>163.142786517677</v>
      </c>
      <c r="J274" s="450" t="n">
        <f aca="false">J273+0.5*(vit_x+G273)*pas*(K273&gt;=0)</f>
        <v>52.0735306077675</v>
      </c>
      <c r="K274" s="451" t="n">
        <f aca="false">K273+0.5*(vit_z+H273)*pas</f>
        <v>239.033788441425</v>
      </c>
      <c r="L274" s="449" t="n">
        <f aca="false">SQRT(pos_x^2+pos_z^2)</f>
        <v>244.64015329994</v>
      </c>
      <c r="M274" s="450" t="n">
        <f aca="false">IF(AND(L273&gt;L_rampe,G274&gt;0),ATAN2(G274,H274),$M$4)</f>
        <v>1.34011015082832</v>
      </c>
      <c r="N274" s="449" t="n">
        <f aca="false">DEGREES(Beta)</f>
        <v>76.7826557251032</v>
      </c>
      <c r="O274" s="438"/>
      <c r="P274" s="452" t="n">
        <f aca="false">MATCH(t-pas/2-T_ini,CdP_t)</f>
        <v>7</v>
      </c>
      <c r="Q274" s="449" t="n">
        <f aca="false">(INDEX(CdP,2,i_P+1)-INDEX(CdP,2,i_P+0))/(INDEX(CdP,1,i_P+1)-INDEX(CdP,1,i_P+0))*(t-pas/2-T_ini-INDEX(CdP,1,i_P+0))+INDEX(CdP,2,i_P+0)</f>
        <v>473.17021276596</v>
      </c>
      <c r="R274" s="450" t="n">
        <f aca="false">Poussee/(g*ISP)</f>
        <v>0.23746208397287</v>
      </c>
      <c r="S274" s="451" t="n">
        <f aca="false">S273-Débit*pas</f>
        <v>8.7710923764404</v>
      </c>
      <c r="T274" s="449" t="n">
        <f aca="false">m*g</f>
        <v>86.0444162128803</v>
      </c>
      <c r="U274" s="453" t="n">
        <f aca="false">IF(pos_xz&lt;L_rampe,Poids*COS(Beta),0)</f>
        <v>0</v>
      </c>
      <c r="V274" s="450" t="n">
        <f aca="false">Rho_moyen*(20000-Alt_rampe-pos_z)/(20000+Alt_rampe+pos_z)</f>
        <v>1.19606419269798</v>
      </c>
      <c r="W274" s="449" t="n">
        <f aca="false">1/2*Rho*Sref*Cx*vit_xz^2</f>
        <v>70.7825945240052</v>
      </c>
      <c r="X274" s="438"/>
      <c r="Y274" s="454" t="str">
        <f aca="false">IF(AND(pos_z&lt;=0,K273&gt;0),"Impact balistique","") &amp; IF(AND(H275&lt;0,vit_z&gt;=0),"Apogée","") &amp; IF(AND(Poussee=0,Q273&gt;0),"Fin de propulsion","") &amp; IF(AND(L275&gt;L_rampe,pos_xz&lt;=L_rampe),"Sortie de rampe","")</f>
        <v/>
      </c>
      <c r="Z274" s="455" t="str">
        <f aca="false">IF(ABS(t-T_para)&lt;pas/2,"Para","")</f>
        <v/>
      </c>
      <c r="AA274" s="456" t="str">
        <f aca="false">IF(ABS(t-T_satellite)&lt;pas/2,"Satellite","")</f>
        <v/>
      </c>
      <c r="AB274" s="444"/>
      <c r="AC274" s="452" t="e">
        <f aca="false">IF(ABS(t-ROUND(t,0))&lt;0.001,t,NA())</f>
        <v>#N/A</v>
      </c>
      <c r="AD274" s="457" t="e">
        <f aca="false">IF(ABS(t-ROUND(t,0))&lt;0.001,pos_x,NA())</f>
        <v>#N/A</v>
      </c>
      <c r="AE274" s="458" t="n">
        <f aca="false">IF(t&lt;T_para, pos_z, NA())</f>
        <v>239.033788441425</v>
      </c>
      <c r="AF274" s="444"/>
      <c r="AG274" s="450" t="n">
        <f aca="false">IF(AND(L273&lt;L_rampe,Poussee&lt;Poids*SIN(M273)),0,(-W273+Poussee)/m-Poids*SIN(M273)/m)</f>
        <v>36.3607871814576</v>
      </c>
      <c r="AH274" s="449" t="n">
        <f aca="false">IF(AND(L273&lt;L_rampe,Poussee&lt;Poids*SIN(M273)), g*SIN(M273), (-W273+Poussee)/m)</f>
        <v>45.9112257793724</v>
      </c>
    </row>
    <row r="275" customFormat="false" ht="12" hidden="false" customHeight="false" outlineLevel="0" collapsed="false">
      <c r="A275" s="448" t="n">
        <f aca="false">IF(B274+0.01&lt;=T_ini+ROUNDUP(Temps_fin_propu,0), 0.01, IF(K274&gt;0, 0.1, 0.0001))</f>
        <v>0.01</v>
      </c>
      <c r="B275" s="449" t="n">
        <f aca="false">B274+pas</f>
        <v>2.70999999999999</v>
      </c>
      <c r="C275" s="432"/>
      <c r="D275" s="450" t="n">
        <f aca="false">IF(AND(L274&lt;L_rampe,Poussee&lt;Poids*SIN(M274)),0,(-W274+Poussee)/m*COS(M274)-U274/m*SIN(M274))</f>
        <v>10.4390429317996</v>
      </c>
      <c r="E275" s="451" t="n">
        <f aca="false">IF(AND(L274&lt;L_rampe,Poussee&lt;Poids*SIN(M274)),0,(-W274+Poussee)/m*SIN(M274)+U274/m*COS(M274)-Poids/m)</f>
        <v>34.6365625058599</v>
      </c>
      <c r="F275" s="449" t="n">
        <f aca="false">SQRT(acc_x^2+acc_z^2)</f>
        <v>36.1754762173809</v>
      </c>
      <c r="G275" s="450" t="n">
        <f aca="false">G274+acc_x*pas</f>
        <v>37.4062668705831</v>
      </c>
      <c r="H275" s="451" t="n">
        <f aca="false">H274+acc_z*pas</f>
        <v>159.167456185201</v>
      </c>
      <c r="I275" s="449" t="n">
        <f aca="false">SQRT(vit_x^2+vit_z^2)</f>
        <v>163.503846773283</v>
      </c>
      <c r="J275" s="450" t="n">
        <f aca="false">J274+0.5*(vit_x+G274)*pas*(K274&gt;=0)</f>
        <v>52.4470713243267</v>
      </c>
      <c r="K275" s="451" t="n">
        <f aca="false">K274+0.5*(vit_z+H274)*pas</f>
        <v>240.623731175152</v>
      </c>
      <c r="L275" s="449" t="n">
        <f aca="false">SQRT(pos_x^2+pos_z^2)</f>
        <v>246.273172097878</v>
      </c>
      <c r="M275" s="450" t="n">
        <f aca="false">IF(AND(L274&gt;L_rampe,G275&gt;0),ATAN2(G275,H275),$M$4)</f>
        <v>1.33997296670974</v>
      </c>
      <c r="N275" s="449" t="n">
        <f aca="false">DEGREES(Beta)</f>
        <v>76.7747956540921</v>
      </c>
      <c r="O275" s="438"/>
      <c r="P275" s="452" t="n">
        <f aca="false">MATCH(t-pas/2-T_ini,CdP_t)</f>
        <v>7</v>
      </c>
      <c r="Q275" s="449" t="n">
        <f aca="false">(INDEX(CdP,2,i_P+1)-INDEX(CdP,2,i_P+0))/(INDEX(CdP,1,i_P+1)-INDEX(CdP,1,i_P+0))*(t-pas/2-T_ini-INDEX(CdP,1,i_P+0))+INDEX(CdP,2,i_P+0)</f>
        <v>471.127659574471</v>
      </c>
      <c r="R275" s="450" t="n">
        <f aca="false">Poussee/(g*ISP)</f>
        <v>0.236437021692129</v>
      </c>
      <c r="S275" s="451" t="n">
        <f aca="false">S274-Débit*pas</f>
        <v>8.76872800622348</v>
      </c>
      <c r="T275" s="449" t="n">
        <f aca="false">m*g</f>
        <v>86.0212217410523</v>
      </c>
      <c r="U275" s="453" t="n">
        <f aca="false">IF(pos_xz&lt;L_rampe,Poids*COS(Beta),0)</f>
        <v>0</v>
      </c>
      <c r="V275" s="450" t="n">
        <f aca="false">Rho_moyen*(20000-Alt_rampe-pos_z)/(20000+Alt_rampe+pos_z)</f>
        <v>1.19587401311299</v>
      </c>
      <c r="W275" s="449" t="n">
        <f aca="false">1/2*Rho*Sref*Cx*vit_xz^2</f>
        <v>71.084942288328</v>
      </c>
      <c r="X275" s="438"/>
      <c r="Y275" s="454" t="str">
        <f aca="false">IF(AND(pos_z&lt;=0,K274&gt;0),"Impact balistique","") &amp; IF(AND(H276&lt;0,vit_z&gt;=0),"Apogée","") &amp; IF(AND(Poussee=0,Q274&gt;0),"Fin de propulsion","") &amp; IF(AND(L276&gt;L_rampe,pos_xz&lt;=L_rampe),"Sortie de rampe","")</f>
        <v/>
      </c>
      <c r="Z275" s="455" t="str">
        <f aca="false">IF(ABS(t-T_para)&lt;pas/2,"Para","")</f>
        <v/>
      </c>
      <c r="AA275" s="456" t="str">
        <f aca="false">IF(ABS(t-T_satellite)&lt;pas/2,"Satellite","")</f>
        <v/>
      </c>
      <c r="AB275" s="444"/>
      <c r="AC275" s="452" t="e">
        <f aca="false">IF(ABS(t-ROUND(t,0))&lt;0.001,t,NA())</f>
        <v>#N/A</v>
      </c>
      <c r="AD275" s="457" t="e">
        <f aca="false">IF(ABS(t-ROUND(t,0))&lt;0.001,pos_x,NA())</f>
        <v>#N/A</v>
      </c>
      <c r="AE275" s="458" t="n">
        <f aca="false">IF(t&lt;T_para, pos_z, NA())</f>
        <v>240.623731175152</v>
      </c>
      <c r="AF275" s="444"/>
      <c r="AG275" s="450" t="n">
        <f aca="false">IF(AND(L274&lt;L_rampe,Poussee&lt;Poids*SIN(M274)),0,(-W274+Poussee)/m-Poids*SIN(M274)/m)</f>
        <v>36.1058717076897</v>
      </c>
      <c r="AH275" s="449" t="n">
        <f aca="false">IF(AND(L274&lt;L_rampe,Poussee&lt;Poids*SIN(M274)), g*SIN(M274), (-W274+Poussee)/m)</f>
        <v>45.6560021894084</v>
      </c>
    </row>
    <row r="276" customFormat="false" ht="12" hidden="false" customHeight="false" outlineLevel="0" collapsed="false">
      <c r="A276" s="448" t="n">
        <f aca="false">IF(B275+0.01&lt;=T_ini+ROUNDUP(Temps_fin_propu,0), 0.01, IF(K275&gt;0, 0.1, 0.0001))</f>
        <v>0.01</v>
      </c>
      <c r="B276" s="449" t="n">
        <f aca="false">B275+pas</f>
        <v>2.71999999999999</v>
      </c>
      <c r="C276" s="432"/>
      <c r="D276" s="450" t="n">
        <f aca="false">IF(AND(L275&lt;L_rampe,Poussee&lt;Poids*SIN(M275)),0,(-W275+Poussee)/m*COS(M275)-U275/m*SIN(M275))</f>
        <v>10.3867494310159</v>
      </c>
      <c r="E276" s="451" t="n">
        <f aca="false">IF(AND(L275&lt;L_rampe,Poussee&lt;Poids*SIN(M275)),0,(-W275+Poussee)/m*SIN(M275)+U275/m*COS(M275)-Poids/m)</f>
        <v>34.386671394333</v>
      </c>
      <c r="F276" s="449" t="n">
        <f aca="false">SQRT(acc_x^2+acc_z^2)</f>
        <v>35.9211321275451</v>
      </c>
      <c r="G276" s="450" t="n">
        <f aca="false">G275+acc_x*pas</f>
        <v>37.5101343648933</v>
      </c>
      <c r="H276" s="451" t="n">
        <f aca="false">H275+acc_z*pas</f>
        <v>159.511322899144</v>
      </c>
      <c r="I276" s="449" t="n">
        <f aca="false">SQRT(vit_x^2+vit_z^2)</f>
        <v>163.862357828476</v>
      </c>
      <c r="J276" s="450" t="n">
        <f aca="false">J275+0.5*(vit_x+G275)*pas*(K275&gt;=0)</f>
        <v>52.8216533305041</v>
      </c>
      <c r="K276" s="451" t="n">
        <f aca="false">K275+0.5*(vit_z+H275)*pas</f>
        <v>242.217125070574</v>
      </c>
      <c r="L276" s="449" t="n">
        <f aca="false">SQRT(pos_x^2+pos_z^2)</f>
        <v>247.909787499449</v>
      </c>
      <c r="M276" s="450" t="n">
        <f aca="false">IF(AND(L275&gt;L_rampe,G276&gt;0),ATAN2(G276,H276),$M$4)</f>
        <v>1.33983600278189</v>
      </c>
      <c r="N276" s="449" t="n">
        <f aca="false">DEGREES(Beta)</f>
        <v>76.7669481990806</v>
      </c>
      <c r="O276" s="438"/>
      <c r="P276" s="452" t="n">
        <f aca="false">MATCH(t-pas/2-T_ini,CdP_t)</f>
        <v>7</v>
      </c>
      <c r="Q276" s="449" t="n">
        <f aca="false">(INDEX(CdP,2,i_P+1)-INDEX(CdP,2,i_P+0))/(INDEX(CdP,1,i_P+1)-INDEX(CdP,1,i_P+0))*(t-pas/2-T_ini-INDEX(CdP,1,i_P+0))+INDEX(CdP,2,i_P+0)</f>
        <v>469.085106382982</v>
      </c>
      <c r="R276" s="450" t="n">
        <f aca="false">Poussee/(g*ISP)</f>
        <v>0.235411959411389</v>
      </c>
      <c r="S276" s="451" t="n">
        <f aca="false">S275-Débit*pas</f>
        <v>8.76637388662936</v>
      </c>
      <c r="T276" s="449" t="n">
        <f aca="false">m*g</f>
        <v>85.9981278278341</v>
      </c>
      <c r="U276" s="453" t="n">
        <f aca="false">IF(pos_xz&lt;L_rampe,Poids*COS(Beta),0)</f>
        <v>0</v>
      </c>
      <c r="V276" s="450" t="n">
        <f aca="false">Rho_moyen*(20000-Alt_rampe-pos_z)/(20000+Alt_rampe+pos_z)</f>
        <v>1.19568345069336</v>
      </c>
      <c r="W276" s="449" t="n">
        <f aca="false">1/2*Rho*Sref*Cx*vit_xz^2</f>
        <v>71.3856395202911</v>
      </c>
      <c r="X276" s="438"/>
      <c r="Y276" s="454" t="str">
        <f aca="false">IF(AND(pos_z&lt;=0,K275&gt;0),"Impact balistique","") &amp; IF(AND(H277&lt;0,vit_z&gt;=0),"Apogée","") &amp; IF(AND(Poussee=0,Q275&gt;0),"Fin de propulsion","") &amp; IF(AND(L277&gt;L_rampe,pos_xz&lt;=L_rampe),"Sortie de rampe","")</f>
        <v/>
      </c>
      <c r="Z276" s="455" t="str">
        <f aca="false">IF(ABS(t-T_para)&lt;pas/2,"Para","")</f>
        <v/>
      </c>
      <c r="AA276" s="456" t="str">
        <f aca="false">IF(ABS(t-T_satellite)&lt;pas/2,"Satellite","")</f>
        <v/>
      </c>
      <c r="AB276" s="444"/>
      <c r="AC276" s="452" t="e">
        <f aca="false">IF(ABS(t-ROUND(t,0))&lt;0.001,t,NA())</f>
        <v>#N/A</v>
      </c>
      <c r="AD276" s="457" t="e">
        <f aca="false">IF(ABS(t-ROUND(t,0))&lt;0.001,pos_x,NA())</f>
        <v>#N/A</v>
      </c>
      <c r="AE276" s="458" t="n">
        <f aca="false">IF(t&lt;T_para, pos_z, NA())</f>
        <v>242.217125070574</v>
      </c>
      <c r="AF276" s="444"/>
      <c r="AG276" s="450" t="n">
        <f aca="false">IF(AND(L275&lt;L_rampe,Poussee&lt;Poids*SIN(M275)),0,(-W275+Poussee)/m-Poids*SIN(M275)/m)</f>
        <v>35.8509518236283</v>
      </c>
      <c r="AH276" s="449" t="n">
        <f aca="false">IF(AND(L275&lt;L_rampe,Poussee&lt;Poids*SIN(M275)), g*SIN(M275), (-W275+Poussee)/m)</f>
        <v>45.4007745097082</v>
      </c>
    </row>
    <row r="277" customFormat="false" ht="12" hidden="false" customHeight="false" outlineLevel="0" collapsed="false">
      <c r="A277" s="448" t="n">
        <f aca="false">IF(B276+0.01&lt;=T_ini+ROUNDUP(Temps_fin_propu,0), 0.01, IF(K276&gt;0, 0.1, 0.0001))</f>
        <v>0.01</v>
      </c>
      <c r="B277" s="449" t="n">
        <f aca="false">B276+pas</f>
        <v>2.72999999999999</v>
      </c>
      <c r="C277" s="432"/>
      <c r="D277" s="450" t="n">
        <f aca="false">IF(AND(L276&lt;L_rampe,Poussee&lt;Poids*SIN(M276)),0,(-W276+Poussee)/m*COS(M276)-U276/m*SIN(M276))</f>
        <v>10.3343775255899</v>
      </c>
      <c r="E277" s="451" t="n">
        <f aca="false">IF(AND(L276&lt;L_rampe,Poussee&lt;Poids*SIN(M276)),0,(-W276+Poussee)/m*SIN(M276)+U276/m*COS(M276)-Poids/m)</f>
        <v>34.136796202065</v>
      </c>
      <c r="F277" s="449" t="n">
        <f aca="false">SQRT(acc_x^2+acc_z^2)</f>
        <v>35.6667942739845</v>
      </c>
      <c r="G277" s="450" t="n">
        <f aca="false">G276+acc_x*pas</f>
        <v>37.6134781401492</v>
      </c>
      <c r="H277" s="451" t="n">
        <f aca="false">H276+acc_z*pas</f>
        <v>159.852690861165</v>
      </c>
      <c r="I277" s="449" t="n">
        <f aca="false">SQRT(vit_x^2+vit_z^2)</f>
        <v>164.218319664265</v>
      </c>
      <c r="J277" s="450" t="n">
        <f aca="false">J276+0.5*(vit_x+G276)*pas*(K276&gt;=0)</f>
        <v>53.1972713930293</v>
      </c>
      <c r="K277" s="451" t="n">
        <f aca="false">K276+0.5*(vit_z+H276)*pas</f>
        <v>243.813945139375</v>
      </c>
      <c r="L277" s="449" t="n">
        <f aca="false">SQRT(pos_x^2+pos_z^2)</f>
        <v>249.549974009395</v>
      </c>
      <c r="M277" s="450" t="n">
        <f aca="false">IF(AND(L276&gt;L_rampe,G277&gt;0),ATAN2(G277,H277),$M$4)</f>
        <v>1.33969925609124</v>
      </c>
      <c r="N277" s="449" t="n">
        <f aca="false">DEGREES(Beta)</f>
        <v>76.7591131908443</v>
      </c>
      <c r="O277" s="438"/>
      <c r="P277" s="452" t="n">
        <f aca="false">MATCH(t-pas/2-T_ini,CdP_t)</f>
        <v>7</v>
      </c>
      <c r="Q277" s="449" t="n">
        <f aca="false">(INDEX(CdP,2,i_P+1)-INDEX(CdP,2,i_P+0))/(INDEX(CdP,1,i_P+1)-INDEX(CdP,1,i_P+0))*(t-pas/2-T_ini-INDEX(CdP,1,i_P+0))+INDEX(CdP,2,i_P+0)</f>
        <v>467.042553191492</v>
      </c>
      <c r="R277" s="450" t="n">
        <f aca="false">Poussee/(g*ISP)</f>
        <v>0.234386897130648</v>
      </c>
      <c r="S277" s="451" t="n">
        <f aca="false">S276-Débit*pas</f>
        <v>8.76403001765806</v>
      </c>
      <c r="T277" s="449" t="n">
        <f aca="false">m*g</f>
        <v>85.9751344732255</v>
      </c>
      <c r="U277" s="453" t="n">
        <f aca="false">IF(pos_xz&lt;L_rampe,Poids*COS(Beta),0)</f>
        <v>0</v>
      </c>
      <c r="V277" s="450" t="n">
        <f aca="false">Rho_moyen*(20000-Alt_rampe-pos_z)/(20000+Alt_rampe+pos_z)</f>
        <v>1.19549250861472</v>
      </c>
      <c r="W277" s="449" t="n">
        <f aca="false">1/2*Rho*Sref*Cx*vit_xz^2</f>
        <v>71.6846722484802</v>
      </c>
      <c r="X277" s="438"/>
      <c r="Y277" s="454" t="str">
        <f aca="false">IF(AND(pos_z&lt;=0,K276&gt;0),"Impact balistique","") &amp; IF(AND(H278&lt;0,vit_z&gt;=0),"Apogée","") &amp; IF(AND(Poussee=0,Q276&gt;0),"Fin de propulsion","") &amp; IF(AND(L278&gt;L_rampe,pos_xz&lt;=L_rampe),"Sortie de rampe","")</f>
        <v/>
      </c>
      <c r="Z277" s="455" t="str">
        <f aca="false">IF(ABS(t-T_para)&lt;pas/2,"Para","")</f>
        <v/>
      </c>
      <c r="AA277" s="456" t="str">
        <f aca="false">IF(ABS(t-T_satellite)&lt;pas/2,"Satellite","")</f>
        <v/>
      </c>
      <c r="AB277" s="444"/>
      <c r="AC277" s="452" t="e">
        <f aca="false">IF(ABS(t-ROUND(t,0))&lt;0.001,t,NA())</f>
        <v>#N/A</v>
      </c>
      <c r="AD277" s="457" t="e">
        <f aca="false">IF(ABS(t-ROUND(t,0))&lt;0.001,pos_x,NA())</f>
        <v>#N/A</v>
      </c>
      <c r="AE277" s="458" t="n">
        <f aca="false">IF(t&lt;T_para, pos_z, NA())</f>
        <v>243.813945139375</v>
      </c>
      <c r="AF277" s="444"/>
      <c r="AG277" s="450" t="n">
        <f aca="false">IF(AND(L276&lt;L_rampe,Poussee&lt;Poids*SIN(M276)),0,(-W276+Poussee)/m-Poids*SIN(M276)/m)</f>
        <v>35.5960300375872</v>
      </c>
      <c r="AH277" s="449" t="n">
        <f aca="false">IF(AND(L276&lt;L_rampe,Poussee&lt;Poids*SIN(M276)), g*SIN(M276), (-W276+Poussee)/m)</f>
        <v>45.1455452427729</v>
      </c>
    </row>
    <row r="278" customFormat="false" ht="12" hidden="false" customHeight="false" outlineLevel="0" collapsed="false">
      <c r="A278" s="448" t="n">
        <f aca="false">IF(B277+0.01&lt;=T_ini+ROUNDUP(Temps_fin_propu,0), 0.01, IF(K277&gt;0, 0.1, 0.0001))</f>
        <v>0.01</v>
      </c>
      <c r="B278" s="449" t="n">
        <f aca="false">B277+pas</f>
        <v>2.73999999999999</v>
      </c>
      <c r="C278" s="432"/>
      <c r="D278" s="450" t="n">
        <f aca="false">IF(AND(L277&lt;L_rampe,Poussee&lt;Poids*SIN(M277)),0,(-W277+Poussee)/m*COS(M277)-U277/m*SIN(M277))</f>
        <v>10.2819280823058</v>
      </c>
      <c r="E278" s="451" t="n">
        <f aca="false">IF(AND(L277&lt;L_rampe,Poussee&lt;Poids*SIN(M277)),0,(-W277+Poussee)/m*SIN(M277)+U277/m*COS(M277)-Poids/m)</f>
        <v>33.8869393012122</v>
      </c>
      <c r="F278" s="449" t="n">
        <f aca="false">SQRT(acc_x^2+acc_z^2)</f>
        <v>35.4124653235799</v>
      </c>
      <c r="G278" s="450" t="n">
        <f aca="false">G277+acc_x*pas</f>
        <v>37.7162974209722</v>
      </c>
      <c r="H278" s="451" t="n">
        <f aca="false">H277+acc_z*pas</f>
        <v>160.191560254177</v>
      </c>
      <c r="I278" s="449" t="n">
        <f aca="false">SQRT(vit_x^2+vit_z^2)</f>
        <v>164.571732286608</v>
      </c>
      <c r="J278" s="450" t="n">
        <f aca="false">J277+0.5*(vit_x+G277)*pas*(K277&gt;=0)</f>
        <v>53.5739202708349</v>
      </c>
      <c r="K278" s="451" t="n">
        <f aca="false">K277+0.5*(vit_z+H277)*pas</f>
        <v>245.414166394952</v>
      </c>
      <c r="L278" s="449" t="n">
        <f aca="false">SQRT(pos_x^2+pos_z^2)</f>
        <v>251.193706132369</v>
      </c>
      <c r="M278" s="450" t="n">
        <f aca="false">IF(AND(L277&gt;L_rampe,G278&gt;0),ATAN2(G278,H278),$M$4)</f>
        <v>1.33956272371183</v>
      </c>
      <c r="N278" s="449" t="n">
        <f aca="false">DEGREES(Beta)</f>
        <v>76.7512904617371</v>
      </c>
      <c r="O278" s="438"/>
      <c r="P278" s="452" t="n">
        <f aca="false">MATCH(t-pas/2-T_ini,CdP_t)</f>
        <v>7</v>
      </c>
      <c r="Q278" s="449" t="n">
        <f aca="false">(INDEX(CdP,2,i_P+1)-INDEX(CdP,2,i_P+0))/(INDEX(CdP,1,i_P+1)-INDEX(CdP,1,i_P+0))*(t-pas/2-T_ini-INDEX(CdP,1,i_P+0))+INDEX(CdP,2,i_P+0)</f>
        <v>465.000000000003</v>
      </c>
      <c r="R278" s="450" t="n">
        <f aca="false">Poussee/(g*ISP)</f>
        <v>0.233361834849907</v>
      </c>
      <c r="S278" s="451" t="n">
        <f aca="false">S277-Débit*pas</f>
        <v>8.76169639930956</v>
      </c>
      <c r="T278" s="449" t="n">
        <f aca="false">m*g</f>
        <v>85.9522416772268</v>
      </c>
      <c r="U278" s="453" t="n">
        <f aca="false">IF(pos_xz&lt;L_rampe,Poids*COS(Beta),0)</f>
        <v>0</v>
      </c>
      <c r="V278" s="450" t="n">
        <f aca="false">Rho_moyen*(20000-Alt_rampe-pos_z)/(20000+Alt_rampe+pos_z)</f>
        <v>1.19530119005095</v>
      </c>
      <c r="W278" s="449" t="n">
        <f aca="false">1/2*Rho*Sref*Cx*vit_xz^2</f>
        <v>71.9820266422427</v>
      </c>
      <c r="X278" s="438"/>
      <c r="Y278" s="454" t="str">
        <f aca="false">IF(AND(pos_z&lt;=0,K277&gt;0),"Impact balistique","") &amp; IF(AND(H279&lt;0,vit_z&gt;=0),"Apogée","") &amp; IF(AND(Poussee=0,Q277&gt;0),"Fin de propulsion","") &amp; IF(AND(L279&gt;L_rampe,pos_xz&lt;=L_rampe),"Sortie de rampe","")</f>
        <v/>
      </c>
      <c r="Z278" s="455" t="str">
        <f aca="false">IF(ABS(t-T_para)&lt;pas/2,"Para","")</f>
        <v/>
      </c>
      <c r="AA278" s="456" t="str">
        <f aca="false">IF(ABS(t-T_satellite)&lt;pas/2,"Satellite","")</f>
        <v/>
      </c>
      <c r="AB278" s="444"/>
      <c r="AC278" s="452" t="e">
        <f aca="false">IF(ABS(t-ROUND(t,0))&lt;0.001,t,NA())</f>
        <v>#N/A</v>
      </c>
      <c r="AD278" s="457" t="e">
        <f aca="false">IF(ABS(t-ROUND(t,0))&lt;0.001,pos_x,NA())</f>
        <v>#N/A</v>
      </c>
      <c r="AE278" s="458" t="n">
        <f aca="false">IF(t&lt;T_para, pos_z, NA())</f>
        <v>245.414166394952</v>
      </c>
      <c r="AF278" s="444"/>
      <c r="AG278" s="450" t="n">
        <f aca="false">IF(AND(L277&lt;L_rampe,Poussee&lt;Poids*SIN(M277)),0,(-W277+Poussee)/m-Poids*SIN(M277)/m)</f>
        <v>35.3411088444662</v>
      </c>
      <c r="AH278" s="449" t="n">
        <f aca="false">IF(AND(L277&lt;L_rampe,Poussee&lt;Poids*SIN(M277)), g*SIN(M277), (-W277+Poussee)/m)</f>
        <v>44.8903168777358</v>
      </c>
    </row>
    <row r="279" customFormat="false" ht="12" hidden="false" customHeight="false" outlineLevel="0" collapsed="false">
      <c r="A279" s="448" t="n">
        <f aca="false">IF(B278+0.01&lt;=T_ini+ROUNDUP(Temps_fin_propu,0), 0.01, IF(K278&gt;0, 0.1, 0.0001))</f>
        <v>0.01</v>
      </c>
      <c r="B279" s="449" t="n">
        <f aca="false">B278+pas</f>
        <v>2.74999999999999</v>
      </c>
      <c r="C279" s="432"/>
      <c r="D279" s="450" t="n">
        <f aca="false">IF(AND(L278&lt;L_rampe,Poussee&lt;Poids*SIN(M278)),0,(-W278+Poussee)/m*COS(M278)-U278/m*SIN(M278))</f>
        <v>10.2294019620309</v>
      </c>
      <c r="E279" s="451" t="n">
        <f aca="false">IF(AND(L278&lt;L_rampe,Poussee&lt;Poids*SIN(M278)),0,(-W278+Poussee)/m*SIN(M278)+U278/m*COS(M278)-Poids/m)</f>
        <v>33.637103051364</v>
      </c>
      <c r="F279" s="449" t="n">
        <f aca="false">SQRT(acc_x^2+acc_z^2)</f>
        <v>35.1581479345668</v>
      </c>
      <c r="G279" s="450" t="n">
        <f aca="false">G278+acc_x*pas</f>
        <v>37.8185914405925</v>
      </c>
      <c r="H279" s="451" t="n">
        <f aca="false">H278+acc_z*pas</f>
        <v>160.527931284691</v>
      </c>
      <c r="I279" s="449" t="n">
        <f aca="false">SQRT(vit_x^2+vit_z^2)</f>
        <v>164.922595726277</v>
      </c>
      <c r="J279" s="450" t="n">
        <f aca="false">J278+0.5*(vit_x+G278)*pas*(K278&gt;=0)</f>
        <v>53.9515947151427</v>
      </c>
      <c r="K279" s="451" t="n">
        <f aca="false">K278+0.5*(vit_z+H278)*pas</f>
        <v>247.017763852646</v>
      </c>
      <c r="L279" s="449" t="n">
        <f aca="false">SQRT(pos_x^2+pos_z^2)</f>
        <v>252.840958373181</v>
      </c>
      <c r="M279" s="450" t="n">
        <f aca="false">IF(AND(L278&gt;L_rampe,G279&gt;0),ATAN2(G279,H279),$M$4)</f>
        <v>1.33942640274474</v>
      </c>
      <c r="N279" s="449" t="n">
        <f aca="false">DEGREES(Beta)</f>
        <v>76.7434798456637</v>
      </c>
      <c r="O279" s="438"/>
      <c r="P279" s="452" t="n">
        <f aca="false">MATCH(t-pas/2-T_ini,CdP_t)</f>
        <v>7</v>
      </c>
      <c r="Q279" s="449" t="n">
        <f aca="false">(INDEX(CdP,2,i_P+1)-INDEX(CdP,2,i_P+0))/(INDEX(CdP,1,i_P+1)-INDEX(CdP,1,i_P+0))*(t-pas/2-T_ini-INDEX(CdP,1,i_P+0))+INDEX(CdP,2,i_P+0)</f>
        <v>462.957446808514</v>
      </c>
      <c r="R279" s="450" t="n">
        <f aca="false">Poussee/(g*ISP)</f>
        <v>0.232336772569166</v>
      </c>
      <c r="S279" s="451" t="n">
        <f aca="false">S278-Débit*pas</f>
        <v>8.75937303158386</v>
      </c>
      <c r="T279" s="449" t="n">
        <f aca="false">m*g</f>
        <v>85.9294494398377</v>
      </c>
      <c r="U279" s="453" t="n">
        <f aca="false">IF(pos_xz&lt;L_rampe,Poids*COS(Beta),0)</f>
        <v>0</v>
      </c>
      <c r="V279" s="450" t="n">
        <f aca="false">Rho_moyen*(20000-Alt_rampe-pos_z)/(20000+Alt_rampe+pos_z)</f>
        <v>1.19510949817412</v>
      </c>
      <c r="W279" s="449" t="n">
        <f aca="false">1/2*Rho*Sref*Cx*vit_xz^2</f>
        <v>72.2776890117047</v>
      </c>
      <c r="X279" s="438"/>
      <c r="Y279" s="454" t="str">
        <f aca="false">IF(AND(pos_z&lt;=0,K278&gt;0),"Impact balistique","") &amp; IF(AND(H280&lt;0,vit_z&gt;=0),"Apogée","") &amp; IF(AND(Poussee=0,Q278&gt;0),"Fin de propulsion","") &amp; IF(AND(L280&gt;L_rampe,pos_xz&lt;=L_rampe),"Sortie de rampe","")</f>
        <v/>
      </c>
      <c r="Z279" s="455" t="str">
        <f aca="false">IF(ABS(t-T_para)&lt;pas/2,"Para","")</f>
        <v/>
      </c>
      <c r="AA279" s="456" t="str">
        <f aca="false">IF(ABS(t-T_satellite)&lt;pas/2,"Satellite","")</f>
        <v/>
      </c>
      <c r="AB279" s="444"/>
      <c r="AC279" s="452" t="e">
        <f aca="false">IF(ABS(t-ROUND(t,0))&lt;0.001,t,NA())</f>
        <v>#N/A</v>
      </c>
      <c r="AD279" s="457" t="e">
        <f aca="false">IF(ABS(t-ROUND(t,0))&lt;0.001,pos_x,NA())</f>
        <v>#N/A</v>
      </c>
      <c r="AE279" s="458" t="n">
        <f aca="false">IF(t&lt;T_para, pos_z, NA())</f>
        <v>247.017763852646</v>
      </c>
      <c r="AF279" s="444"/>
      <c r="AG279" s="450" t="n">
        <f aca="false">IF(AND(L278&lt;L_rampe,Poussee&lt;Poids*SIN(M278)),0,(-W278+Poussee)/m-Poids*SIN(M278)/m)</f>
        <v>35.0861907257025</v>
      </c>
      <c r="AH279" s="449" t="n">
        <f aca="false">IF(AND(L278&lt;L_rampe,Poussee&lt;Poids*SIN(M278)), g*SIN(M278), (-W278+Poussee)/m)</f>
        <v>44.6350918903125</v>
      </c>
    </row>
    <row r="280" customFormat="false" ht="12" hidden="false" customHeight="false" outlineLevel="0" collapsed="false">
      <c r="A280" s="448" t="n">
        <f aca="false">IF(B279+0.01&lt;=T_ini+ROUNDUP(Temps_fin_propu,0), 0.01, IF(K279&gt;0, 0.1, 0.0001))</f>
        <v>0.01</v>
      </c>
      <c r="B280" s="449" t="n">
        <f aca="false">B279+pas</f>
        <v>2.75999999999999</v>
      </c>
      <c r="C280" s="432"/>
      <c r="D280" s="450" t="n">
        <f aca="false">IF(AND(L279&lt;L_rampe,Poussee&lt;Poids*SIN(M279)),0,(-W279+Poussee)/m*COS(M279)-U279/m*SIN(M279))</f>
        <v>10.1768000197453</v>
      </c>
      <c r="E280" s="451" t="n">
        <f aca="false">IF(AND(L279&lt;L_rampe,Poussee&lt;Poids*SIN(M279)),0,(-W279+Poussee)/m*SIN(M279)+U279/m*COS(M279)-Poids/m)</f>
        <v>33.3872897994881</v>
      </c>
      <c r="F280" s="449" t="n">
        <f aca="false">SQRT(acc_x^2+acc_z^2)</f>
        <v>34.9038447566582</v>
      </c>
      <c r="G280" s="450" t="n">
        <f aca="false">G279+acc_x*pas</f>
        <v>37.92035944079</v>
      </c>
      <c r="H280" s="451" t="n">
        <f aca="false">H279+acc_z*pas</f>
        <v>160.861804182686</v>
      </c>
      <c r="I280" s="449" t="n">
        <f aca="false">SQRT(vit_x^2+vit_z^2)</f>
        <v>165.270910038722</v>
      </c>
      <c r="J280" s="450" t="n">
        <f aca="false">J279+0.5*(vit_x+G279)*pas*(K279&gt;=0)</f>
        <v>54.3302894695496</v>
      </c>
      <c r="K280" s="451" t="n">
        <f aca="false">K279+0.5*(vit_z+H279)*pas</f>
        <v>248.624712529983</v>
      </c>
      <c r="L280" s="449" t="n">
        <f aca="false">SQRT(pos_x^2+pos_z^2)</f>
        <v>254.491705237051</v>
      </c>
      <c r="M280" s="450" t="n">
        <f aca="false">IF(AND(L279&gt;L_rampe,G280&gt;0),ATAN2(G280,H280),$M$4)</f>
        <v>1.33929029031767</v>
      </c>
      <c r="N280" s="449" t="n">
        <f aca="false">DEGREES(Beta)</f>
        <v>76.7356811780533</v>
      </c>
      <c r="O280" s="438"/>
      <c r="P280" s="452" t="n">
        <f aca="false">MATCH(t-pas/2-T_ini,CdP_t)</f>
        <v>7</v>
      </c>
      <c r="Q280" s="449" t="n">
        <f aca="false">(INDEX(CdP,2,i_P+1)-INDEX(CdP,2,i_P+0))/(INDEX(CdP,1,i_P+1)-INDEX(CdP,1,i_P+0))*(t-pas/2-T_ini-INDEX(CdP,1,i_P+0))+INDEX(CdP,2,i_P+0)</f>
        <v>460.914893617024</v>
      </c>
      <c r="R280" s="450" t="n">
        <f aca="false">Poussee/(g*ISP)</f>
        <v>0.231311710288425</v>
      </c>
      <c r="S280" s="451" t="n">
        <f aca="false">S279-Débit*pas</f>
        <v>8.75705991448098</v>
      </c>
      <c r="T280" s="449" t="n">
        <f aca="false">m*g</f>
        <v>85.9067577610584</v>
      </c>
      <c r="U280" s="453" t="n">
        <f aca="false">IF(pos_xz&lt;L_rampe,Poids*COS(Beta),0)</f>
        <v>0</v>
      </c>
      <c r="V280" s="450" t="n">
        <f aca="false">Rho_moyen*(20000-Alt_rampe-pos_z)/(20000+Alt_rampe+pos_z)</f>
        <v>1.19491743615449</v>
      </c>
      <c r="W280" s="449" t="n">
        <f aca="false">1/2*Rho*Sref*Cx*vit_xz^2</f>
        <v>72.5716458077803</v>
      </c>
      <c r="X280" s="438"/>
      <c r="Y280" s="454" t="str">
        <f aca="false">IF(AND(pos_z&lt;=0,K279&gt;0),"Impact balistique","") &amp; IF(AND(H281&lt;0,vit_z&gt;=0),"Apogée","") &amp; IF(AND(Poussee=0,Q279&gt;0),"Fin de propulsion","") &amp; IF(AND(L281&gt;L_rampe,pos_xz&lt;=L_rampe),"Sortie de rampe","")</f>
        <v/>
      </c>
      <c r="Z280" s="455" t="str">
        <f aca="false">IF(ABS(t-T_para)&lt;pas/2,"Para","")</f>
        <v/>
      </c>
      <c r="AA280" s="456" t="str">
        <f aca="false">IF(ABS(t-T_satellite)&lt;pas/2,"Satellite","")</f>
        <v/>
      </c>
      <c r="AB280" s="444"/>
      <c r="AC280" s="452" t="e">
        <f aca="false">IF(ABS(t-ROUND(t,0))&lt;0.001,t,NA())</f>
        <v>#N/A</v>
      </c>
      <c r="AD280" s="457" t="e">
        <f aca="false">IF(ABS(t-ROUND(t,0))&lt;0.001,pos_x,NA())</f>
        <v>#N/A</v>
      </c>
      <c r="AE280" s="458" t="n">
        <f aca="false">IF(t&lt;T_para, pos_z, NA())</f>
        <v>248.624712529983</v>
      </c>
      <c r="AF280" s="444"/>
      <c r="AG280" s="450" t="n">
        <f aca="false">IF(AND(L279&lt;L_rampe,Poussee&lt;Poids*SIN(M279)),0,(-W279+Poussee)/m-Poids*SIN(M279)/m)</f>
        <v>34.8312781492221</v>
      </c>
      <c r="AH280" s="449" t="n">
        <f aca="false">IF(AND(L279&lt;L_rampe,Poussee&lt;Poids*SIN(M279)), g*SIN(M279), (-W279+Poussee)/m)</f>
        <v>44.3798727427519</v>
      </c>
    </row>
    <row r="281" customFormat="false" ht="12" hidden="false" customHeight="false" outlineLevel="0" collapsed="false">
      <c r="A281" s="448" t="n">
        <f aca="false">IF(B280+0.01&lt;=T_ini+ROUNDUP(Temps_fin_propu,0), 0.01, IF(K280&gt;0, 0.1, 0.0001))</f>
        <v>0.01</v>
      </c>
      <c r="B281" s="449" t="n">
        <f aca="false">B280+pas</f>
        <v>2.76999999999999</v>
      </c>
      <c r="C281" s="432"/>
      <c r="D281" s="450" t="n">
        <f aca="false">IF(AND(L280&lt;L_rampe,Poussee&lt;Poids*SIN(M280)),0,(-W280+Poussee)/m*COS(M280)-U280/m*SIN(M280))</f>
        <v>10.1241231045715</v>
      </c>
      <c r="E281" s="451" t="n">
        <f aca="false">IF(AND(L280&lt;L_rampe,Poussee&lt;Poids*SIN(M280)),0,(-W280+Poussee)/m*SIN(M280)+U280/m*COS(M280)-Poids/m)</f>
        <v>33.1375018798782</v>
      </c>
      <c r="F281" s="449" t="n">
        <f aca="false">SQRT(acc_x^2+acc_z^2)</f>
        <v>34.6495584311756</v>
      </c>
      <c r="G281" s="450" t="n">
        <f aca="false">G280+acc_x*pas</f>
        <v>38.0216006718357</v>
      </c>
      <c r="H281" s="451" t="n">
        <f aca="false">H280+acc_z*pas</f>
        <v>161.193179201484</v>
      </c>
      <c r="I281" s="449" t="n">
        <f aca="false">SQRT(vit_x^2+vit_z^2)</f>
        <v>165.616675303939</v>
      </c>
      <c r="J281" s="450" t="n">
        <f aca="false">J280+0.5*(vit_x+G280)*pas*(K280&gt;=0)</f>
        <v>54.7099992701128</v>
      </c>
      <c r="K281" s="451" t="n">
        <f aca="false">K280+0.5*(vit_z+H280)*pas</f>
        <v>250.234987446904</v>
      </c>
      <c r="L281" s="449" t="n">
        <f aca="false">SQRT(pos_x^2+pos_z^2)</f>
        <v>256.145921229849</v>
      </c>
      <c r="M281" s="450" t="n">
        <f aca="false">IF(AND(L280&gt;L_rampe,G281&gt;0),ATAN2(G281,H281),$M$4)</f>
        <v>1.33915438358447</v>
      </c>
      <c r="N281" s="449" t="n">
        <f aca="false">DEGREES(Beta)</f>
        <v>76.7278942958332</v>
      </c>
      <c r="O281" s="438"/>
      <c r="P281" s="452" t="n">
        <f aca="false">MATCH(t-pas/2-T_ini,CdP_t)</f>
        <v>7</v>
      </c>
      <c r="Q281" s="449" t="n">
        <f aca="false">(INDEX(CdP,2,i_P+1)-INDEX(CdP,2,i_P+0))/(INDEX(CdP,1,i_P+1)-INDEX(CdP,1,i_P+0))*(t-pas/2-T_ini-INDEX(CdP,1,i_P+0))+INDEX(CdP,2,i_P+0)</f>
        <v>458.872340425535</v>
      </c>
      <c r="R281" s="450" t="n">
        <f aca="false">Poussee/(g*ISP)</f>
        <v>0.230286648007685</v>
      </c>
      <c r="S281" s="451" t="n">
        <f aca="false">S280-Débit*pas</f>
        <v>8.7547570480009</v>
      </c>
      <c r="T281" s="449" t="n">
        <f aca="false">m*g</f>
        <v>85.8841666408889</v>
      </c>
      <c r="U281" s="453" t="n">
        <f aca="false">IF(pos_xz&lt;L_rampe,Poids*COS(Beta),0)</f>
        <v>0</v>
      </c>
      <c r="V281" s="450" t="n">
        <f aca="false">Rho_moyen*(20000-Alt_rampe-pos_z)/(20000+Alt_rampe+pos_z)</f>
        <v>1.19472500716041</v>
      </c>
      <c r="W281" s="449" t="n">
        <f aca="false">1/2*Rho*Sref*Cx*vit_xz^2</f>
        <v>72.8638836221713</v>
      </c>
      <c r="X281" s="438"/>
      <c r="Y281" s="454" t="str">
        <f aca="false">IF(AND(pos_z&lt;=0,K280&gt;0),"Impact balistique","") &amp; IF(AND(H282&lt;0,vit_z&gt;=0),"Apogée","") &amp; IF(AND(Poussee=0,Q280&gt;0),"Fin de propulsion","") &amp; IF(AND(L282&gt;L_rampe,pos_xz&lt;=L_rampe),"Sortie de rampe","")</f>
        <v/>
      </c>
      <c r="Z281" s="455" t="str">
        <f aca="false">IF(ABS(t-T_para)&lt;pas/2,"Para","")</f>
        <v/>
      </c>
      <c r="AA281" s="456" t="str">
        <f aca="false">IF(ABS(t-T_satellite)&lt;pas/2,"Satellite","")</f>
        <v/>
      </c>
      <c r="AB281" s="444"/>
      <c r="AC281" s="452" t="e">
        <f aca="false">IF(ABS(t-ROUND(t,0))&lt;0.001,t,NA())</f>
        <v>#N/A</v>
      </c>
      <c r="AD281" s="457" t="e">
        <f aca="false">IF(ABS(t-ROUND(t,0))&lt;0.001,pos_x,NA())</f>
        <v>#N/A</v>
      </c>
      <c r="AE281" s="458" t="n">
        <f aca="false">IF(t&lt;T_para, pos_z, NA())</f>
        <v>250.234987446904</v>
      </c>
      <c r="AF281" s="444"/>
      <c r="AG281" s="450" t="n">
        <f aca="false">IF(AND(L280&lt;L_rampe,Poussee&lt;Poids*SIN(M280)),0,(-W280+Poussee)/m-Poids*SIN(M280)/m)</f>
        <v>34.5763735693936</v>
      </c>
      <c r="AH281" s="449" t="n">
        <f aca="false">IF(AND(L280&lt;L_rampe,Poussee&lt;Poids*SIN(M280)), g*SIN(M280), (-W280+Poussee)/m)</f>
        <v>44.1246618837886</v>
      </c>
    </row>
    <row r="282" customFormat="false" ht="12" hidden="false" customHeight="false" outlineLevel="0" collapsed="false">
      <c r="A282" s="448" t="n">
        <f aca="false">IF(B281+0.01&lt;=T_ini+ROUNDUP(Temps_fin_propu,0), 0.01, IF(K281&gt;0, 0.1, 0.0001))</f>
        <v>0.01</v>
      </c>
      <c r="B282" s="449" t="n">
        <f aca="false">B281+pas</f>
        <v>2.77999999999998</v>
      </c>
      <c r="C282" s="432"/>
      <c r="D282" s="450" t="n">
        <f aca="false">IF(AND(L281&lt;L_rampe,Poussee&lt;Poids*SIN(M281)),0,(-W281+Poussee)/m*COS(M281)-U281/m*SIN(M281))</f>
        <v>10.0713720598026</v>
      </c>
      <c r="E282" s="451" t="n">
        <f aca="false">IF(AND(L281&lt;L_rampe,Poussee&lt;Poids*SIN(M281)),0,(-W281+Poussee)/m*SIN(M281)+U281/m*COS(M281)-Poids/m)</f>
        <v>32.8877416141015</v>
      </c>
      <c r="F282" s="449" t="n">
        <f aca="false">SQRT(acc_x^2+acc_z^2)</f>
        <v>34.3952915911884</v>
      </c>
      <c r="G282" s="450" t="n">
        <f aca="false">G281+acc_x*pas</f>
        <v>38.1223143924337</v>
      </c>
      <c r="H282" s="451" t="n">
        <f aca="false">H281+acc_z*pas</f>
        <v>161.522056617625</v>
      </c>
      <c r="I282" s="449" t="n">
        <f aca="false">SQRT(vit_x^2+vit_z^2)</f>
        <v>165.959891626329</v>
      </c>
      <c r="J282" s="450" t="n">
        <f aca="false">J281+0.5*(vit_x+G281)*pas*(K281&gt;=0)</f>
        <v>55.0907188454341</v>
      </c>
      <c r="K282" s="451" t="n">
        <f aca="false">K281+0.5*(vit_z+H281)*pas</f>
        <v>251.848563626</v>
      </c>
      <c r="L282" s="449" t="n">
        <f aca="false">SQRT(pos_x^2+pos_z^2)</f>
        <v>257.803580858346</v>
      </c>
      <c r="M282" s="450" t="n">
        <f aca="false">IF(AND(L281&gt;L_rampe,G282&gt;0),ATAN2(G282,H282),$M$4)</f>
        <v>1.33901867972468</v>
      </c>
      <c r="N282" s="449" t="n">
        <f aca="false">DEGREES(Beta)</f>
        <v>76.7201190374038</v>
      </c>
      <c r="O282" s="438"/>
      <c r="P282" s="452" t="n">
        <f aca="false">MATCH(t-pas/2-T_ini,CdP_t)</f>
        <v>7</v>
      </c>
      <c r="Q282" s="449" t="n">
        <f aca="false">(INDEX(CdP,2,i_P+1)-INDEX(CdP,2,i_P+0))/(INDEX(CdP,1,i_P+1)-INDEX(CdP,1,i_P+0))*(t-pas/2-T_ini-INDEX(CdP,1,i_P+0))+INDEX(CdP,2,i_P+0)</f>
        <v>456.829787234046</v>
      </c>
      <c r="R282" s="450" t="n">
        <f aca="false">Poussee/(g*ISP)</f>
        <v>0.229261585726944</v>
      </c>
      <c r="S282" s="451" t="n">
        <f aca="false">S281-Débit*pas</f>
        <v>8.75246443214363</v>
      </c>
      <c r="T282" s="449" t="n">
        <f aca="false">m*g</f>
        <v>85.861676079329</v>
      </c>
      <c r="U282" s="453" t="n">
        <f aca="false">IF(pos_xz&lt;L_rampe,Poids*COS(Beta),0)</f>
        <v>0</v>
      </c>
      <c r="V282" s="450" t="n">
        <f aca="false">Rho_moyen*(20000-Alt_rampe-pos_z)/(20000+Alt_rampe+pos_z)</f>
        <v>1.19453221435835</v>
      </c>
      <c r="W282" s="449" t="n">
        <f aca="false">1/2*Rho*Sref*Cx*vit_xz^2</f>
        <v>73.1543891873594</v>
      </c>
      <c r="X282" s="438"/>
      <c r="Y282" s="454" t="str">
        <f aca="false">IF(AND(pos_z&lt;=0,K281&gt;0),"Impact balistique","") &amp; IF(AND(H283&lt;0,vit_z&gt;=0),"Apogée","") &amp; IF(AND(Poussee=0,Q281&gt;0),"Fin de propulsion","") &amp; IF(AND(L283&gt;L_rampe,pos_xz&lt;=L_rampe),"Sortie de rampe","")</f>
        <v/>
      </c>
      <c r="Z282" s="455" t="str">
        <f aca="false">IF(ABS(t-T_para)&lt;pas/2,"Para","")</f>
        <v/>
      </c>
      <c r="AA282" s="456" t="str">
        <f aca="false">IF(ABS(t-T_satellite)&lt;pas/2,"Satellite","")</f>
        <v/>
      </c>
      <c r="AB282" s="444"/>
      <c r="AC282" s="452" t="e">
        <f aca="false">IF(ABS(t-ROUND(t,0))&lt;0.001,t,NA())</f>
        <v>#N/A</v>
      </c>
      <c r="AD282" s="457" t="e">
        <f aca="false">IF(ABS(t-ROUND(t,0))&lt;0.001,pos_x,NA())</f>
        <v>#N/A</v>
      </c>
      <c r="AE282" s="458" t="n">
        <f aca="false">IF(t&lt;T_para, pos_z, NA())</f>
        <v>251.848563626</v>
      </c>
      <c r="AF282" s="444"/>
      <c r="AG282" s="450" t="n">
        <f aca="false">IF(AND(L281&lt;L_rampe,Poussee&lt;Poids*SIN(M281)),0,(-W281+Poussee)/m-Poids*SIN(M281)/m)</f>
        <v>34.3214794269819</v>
      </c>
      <c r="AH282" s="449" t="n">
        <f aca="false">IF(AND(L281&lt;L_rampe,Poussee&lt;Poids*SIN(M281)), g*SIN(M281), (-W281+Poussee)/m)</f>
        <v>43.8694617485963</v>
      </c>
    </row>
    <row r="283" customFormat="false" ht="12" hidden="false" customHeight="false" outlineLevel="0" collapsed="false">
      <c r="A283" s="448" t="n">
        <f aca="false">IF(B282+0.01&lt;=T_ini+ROUNDUP(Temps_fin_propu,0), 0.01, IF(K282&gt;0, 0.1, 0.0001))</f>
        <v>0.01</v>
      </c>
      <c r="B283" s="449" t="n">
        <f aca="false">B282+pas</f>
        <v>2.78999999999998</v>
      </c>
      <c r="C283" s="432"/>
      <c r="D283" s="450" t="n">
        <f aca="false">IF(AND(L282&lt;L_rampe,Poussee&lt;Poids*SIN(M282)),0,(-W282+Poussee)/m*COS(M282)-U282/m*SIN(M282))</f>
        <v>10.0185477229306</v>
      </c>
      <c r="E283" s="451" t="n">
        <f aca="false">IF(AND(L282&lt;L_rampe,Poussee&lt;Poids*SIN(M282)),0,(-W282+Poussee)/m*SIN(M282)+U282/m*COS(M282)-Poids/m)</f>
        <v>32.6380113109488</v>
      </c>
      <c r="F283" s="449" t="n">
        <f aca="false">SQRT(acc_x^2+acc_z^2)</f>
        <v>34.1410468616628</v>
      </c>
      <c r="G283" s="450" t="n">
        <f aca="false">G282+acc_x*pas</f>
        <v>38.222499869663</v>
      </c>
      <c r="H283" s="451" t="n">
        <f aca="false">H282+acc_z*pas</f>
        <v>161.848436730735</v>
      </c>
      <c r="I283" s="449" t="n">
        <f aca="false">SQRT(vit_x^2+vit_z^2)</f>
        <v>166.300559134565</v>
      </c>
      <c r="J283" s="450" t="n">
        <f aca="false">J282+0.5*(vit_x+G282)*pas*(K282&gt;=0)</f>
        <v>55.4724429167446</v>
      </c>
      <c r="K283" s="451" t="n">
        <f aca="false">K282+0.5*(vit_z+H282)*pas</f>
        <v>253.465416092741</v>
      </c>
      <c r="L283" s="449" t="n">
        <f aca="false">SQRT(pos_x^2+pos_z^2)</f>
        <v>259.464658630454</v>
      </c>
      <c r="M283" s="450" t="n">
        <f aca="false">IF(AND(L282&gt;L_rampe,G283&gt;0),ATAN2(G283,H283),$M$4)</f>
        <v>1.33888317594313</v>
      </c>
      <c r="N283" s="449" t="n">
        <f aca="false">DEGREES(Beta)</f>
        <v>76.7123552426129</v>
      </c>
      <c r="O283" s="438"/>
      <c r="P283" s="452" t="n">
        <f aca="false">MATCH(t-pas/2-T_ini,CdP_t)</f>
        <v>7</v>
      </c>
      <c r="Q283" s="449" t="n">
        <f aca="false">(INDEX(CdP,2,i_P+1)-INDEX(CdP,2,i_P+0))/(INDEX(CdP,1,i_P+1)-INDEX(CdP,1,i_P+0))*(t-pas/2-T_ini-INDEX(CdP,1,i_P+0))+INDEX(CdP,2,i_P+0)</f>
        <v>454.787234042556</v>
      </c>
      <c r="R283" s="450" t="n">
        <f aca="false">Poussee/(g*ISP)</f>
        <v>0.228236523446203</v>
      </c>
      <c r="S283" s="451" t="n">
        <f aca="false">S282-Débit*pas</f>
        <v>8.75018206690917</v>
      </c>
      <c r="T283" s="449" t="n">
        <f aca="false">m*g</f>
        <v>85.839286076379</v>
      </c>
      <c r="U283" s="453" t="n">
        <f aca="false">IF(pos_xz&lt;L_rampe,Poids*COS(Beta),0)</f>
        <v>0</v>
      </c>
      <c r="V283" s="450" t="n">
        <f aca="false">Rho_moyen*(20000-Alt_rampe-pos_z)/(20000+Alt_rampe+pos_z)</f>
        <v>1.19433906091282</v>
      </c>
      <c r="W283" s="449" t="n">
        <f aca="false">1/2*Rho*Sref*Cx*vit_xz^2</f>
        <v>73.4431493765901</v>
      </c>
      <c r="X283" s="438"/>
      <c r="Y283" s="454" t="str">
        <f aca="false">IF(AND(pos_z&lt;=0,K282&gt;0),"Impact balistique","") &amp; IF(AND(H284&lt;0,vit_z&gt;=0),"Apogée","") &amp; IF(AND(Poussee=0,Q282&gt;0),"Fin de propulsion","") &amp; IF(AND(L284&gt;L_rampe,pos_xz&lt;=L_rampe),"Sortie de rampe","")</f>
        <v/>
      </c>
      <c r="Z283" s="455" t="str">
        <f aca="false">IF(ABS(t-T_para)&lt;pas/2,"Para","")</f>
        <v/>
      </c>
      <c r="AA283" s="456" t="str">
        <f aca="false">IF(ABS(t-T_satellite)&lt;pas/2,"Satellite","")</f>
        <v/>
      </c>
      <c r="AB283" s="444"/>
      <c r="AC283" s="452" t="e">
        <f aca="false">IF(ABS(t-ROUND(t,0))&lt;0.001,t,NA())</f>
        <v>#N/A</v>
      </c>
      <c r="AD283" s="457" t="e">
        <f aca="false">IF(ABS(t-ROUND(t,0))&lt;0.001,pos_x,NA())</f>
        <v>#N/A</v>
      </c>
      <c r="AE283" s="458" t="n">
        <f aca="false">IF(t&lt;T_para, pos_z, NA())</f>
        <v>253.465416092741</v>
      </c>
      <c r="AF283" s="444"/>
      <c r="AG283" s="450" t="n">
        <f aca="false">IF(AND(L282&lt;L_rampe,Poussee&lt;Poids*SIN(M282)),0,(-W282+Poussee)/m-Poids*SIN(M282)/m)</f>
        <v>34.0665981491035</v>
      </c>
      <c r="AH283" s="449" t="n">
        <f aca="false">IF(AND(L282&lt;L_rampe,Poussee&lt;Poids*SIN(M282)), g*SIN(M282), (-W282+Poussee)/m)</f>
        <v>43.6142747587424</v>
      </c>
    </row>
    <row r="284" customFormat="false" ht="12" hidden="false" customHeight="false" outlineLevel="0" collapsed="false">
      <c r="A284" s="448" t="n">
        <f aca="false">IF(B283+0.01&lt;=T_ini+ROUNDUP(Temps_fin_propu,0), 0.01, IF(K283&gt;0, 0.1, 0.0001))</f>
        <v>0.01</v>
      </c>
      <c r="B284" s="449" t="n">
        <f aca="false">B283+pas</f>
        <v>2.79999999999998</v>
      </c>
      <c r="C284" s="432"/>
      <c r="D284" s="450" t="n">
        <f aca="false">IF(AND(L283&lt;L_rampe,Poussee&lt;Poids*SIN(M283)),0,(-W283+Poussee)/m*COS(M283)-U283/m*SIN(M283))</f>
        <v>9.96565092567314</v>
      </c>
      <c r="E284" s="451" t="n">
        <f aca="false">IF(AND(L283&lt;L_rampe,Poussee&lt;Poids*SIN(M283)),0,(-W283+Poussee)/m*SIN(M283)+U283/m*COS(M283)-Poids/m)</f>
        <v>32.388313266385</v>
      </c>
      <c r="F284" s="449" t="n">
        <f aca="false">SQRT(acc_x^2+acc_z^2)</f>
        <v>33.8868268596199</v>
      </c>
      <c r="G284" s="450" t="n">
        <f aca="false">G283+acc_x*pas</f>
        <v>38.3221563789197</v>
      </c>
      <c r="H284" s="451" t="n">
        <f aca="false">H283+acc_z*pas</f>
        <v>162.172319863399</v>
      </c>
      <c r="I284" s="449" t="n">
        <f aca="false">SQRT(vit_x^2+vit_z^2)</f>
        <v>166.638677981455</v>
      </c>
      <c r="J284" s="450" t="n">
        <f aca="false">J283+0.5*(vit_x+G283)*pas*(K283&gt;=0)</f>
        <v>55.8551661979875</v>
      </c>
      <c r="K284" s="451" t="n">
        <f aca="false">K283+0.5*(vit_z+H283)*pas</f>
        <v>255.085519875712</v>
      </c>
      <c r="L284" s="449" t="n">
        <f aca="false">SQRT(pos_x^2+pos_z^2)</f>
        <v>261.129129055468</v>
      </c>
      <c r="M284" s="450" t="n">
        <f aca="false">IF(AND(L283&gt;L_rampe,G284&gt;0),ATAN2(G284,H284),$M$4)</f>
        <v>1.33874786946947</v>
      </c>
      <c r="N284" s="449" t="n">
        <f aca="false">DEGREES(Beta)</f>
        <v>76.7046027527317</v>
      </c>
      <c r="O284" s="438"/>
      <c r="P284" s="452" t="n">
        <f aca="false">MATCH(t-pas/2-T_ini,CdP_t)</f>
        <v>7</v>
      </c>
      <c r="Q284" s="449" t="n">
        <f aca="false">(INDEX(CdP,2,i_P+1)-INDEX(CdP,2,i_P+0))/(INDEX(CdP,1,i_P+1)-INDEX(CdP,1,i_P+0))*(t-pas/2-T_ini-INDEX(CdP,1,i_P+0))+INDEX(CdP,2,i_P+0)</f>
        <v>452.744680851067</v>
      </c>
      <c r="R284" s="450" t="n">
        <f aca="false">Poussee/(g*ISP)</f>
        <v>0.227211461165462</v>
      </c>
      <c r="S284" s="451" t="n">
        <f aca="false">S283-Débit*pas</f>
        <v>8.74790995229752</v>
      </c>
      <c r="T284" s="449" t="n">
        <f aca="false">m*g</f>
        <v>85.8169966320386</v>
      </c>
      <c r="U284" s="453" t="n">
        <f aca="false">IF(pos_xz&lt;L_rampe,Poids*COS(Beta),0)</f>
        <v>0</v>
      </c>
      <c r="V284" s="450" t="n">
        <f aca="false">Rho_moyen*(20000-Alt_rampe-pos_z)/(20000+Alt_rampe+pos_z)</f>
        <v>1.19414554998634</v>
      </c>
      <c r="W284" s="449" t="n">
        <f aca="false">1/2*Rho*Sref*Cx*vit_xz^2</f>
        <v>73.7301512038477</v>
      </c>
      <c r="X284" s="438"/>
      <c r="Y284" s="454" t="str">
        <f aca="false">IF(AND(pos_z&lt;=0,K283&gt;0),"Impact balistique","") &amp; IF(AND(H285&lt;0,vit_z&gt;=0),"Apogée","") &amp; IF(AND(Poussee=0,Q283&gt;0),"Fin de propulsion","") &amp; IF(AND(L285&gt;L_rampe,pos_xz&lt;=L_rampe),"Sortie de rampe","")</f>
        <v/>
      </c>
      <c r="Z284" s="455" t="str">
        <f aca="false">IF(ABS(t-T_para)&lt;pas/2,"Para","")</f>
        <v/>
      </c>
      <c r="AA284" s="456" t="str">
        <f aca="false">IF(ABS(t-T_satellite)&lt;pas/2,"Satellite","")</f>
        <v/>
      </c>
      <c r="AB284" s="444"/>
      <c r="AC284" s="452" t="e">
        <f aca="false">IF(ABS(t-ROUND(t,0))&lt;0.001,t,NA())</f>
        <v>#N/A</v>
      </c>
      <c r="AD284" s="457" t="e">
        <f aca="false">IF(ABS(t-ROUND(t,0))&lt;0.001,pos_x,NA())</f>
        <v>#N/A</v>
      </c>
      <c r="AE284" s="458" t="n">
        <f aca="false">IF(t&lt;T_para, pos_z, NA())</f>
        <v>255.085519875712</v>
      </c>
      <c r="AF284" s="444"/>
      <c r="AG284" s="450" t="n">
        <f aca="false">IF(AND(L283&lt;L_rampe,Poussee&lt;Poids*SIN(M283)),0,(-W283+Poussee)/m-Poids*SIN(M283)/m)</f>
        <v>33.8117321491835</v>
      </c>
      <c r="AH284" s="449" t="n">
        <f aca="false">IF(AND(L283&lt;L_rampe,Poussee&lt;Poids*SIN(M283)), g*SIN(M283), (-W283+Poussee)/m)</f>
        <v>43.3591033221437</v>
      </c>
    </row>
    <row r="285" customFormat="false" ht="12" hidden="false" customHeight="false" outlineLevel="0" collapsed="false">
      <c r="A285" s="448" t="n">
        <f aca="false">IF(B284+0.01&lt;=T_ini+ROUNDUP(Temps_fin_propu,0), 0.01, IF(K284&gt;0, 0.1, 0.0001))</f>
        <v>0.01</v>
      </c>
      <c r="B285" s="449" t="n">
        <f aca="false">B284+pas</f>
        <v>2.80999999999998</v>
      </c>
      <c r="C285" s="432"/>
      <c r="D285" s="450" t="n">
        <f aca="false">IF(AND(L284&lt;L_rampe,Poussee&lt;Poids*SIN(M284)),0,(-W284+Poussee)/m*COS(M284)-U284/m*SIN(M284))</f>
        <v>9.9126824940009</v>
      </c>
      <c r="E285" s="451" t="n">
        <f aca="false">IF(AND(L284&lt;L_rampe,Poussee&lt;Poids*SIN(M284)),0,(-W284+Poussee)/m*SIN(M284)+U284/m*COS(M284)-Poids/m)</f>
        <v>32.1386497635012</v>
      </c>
      <c r="F285" s="449" t="n">
        <f aca="false">SQRT(acc_x^2+acc_z^2)</f>
        <v>33.632634194304</v>
      </c>
      <c r="G285" s="450" t="n">
        <f aca="false">G284+acc_x*pas</f>
        <v>38.4212832038597</v>
      </c>
      <c r="H285" s="451" t="n">
        <f aca="false">H284+acc_z*pas</f>
        <v>162.493706361034</v>
      </c>
      <c r="I285" s="449" t="n">
        <f aca="false">SQRT(vit_x^2+vit_z^2)</f>
        <v>166.9742483438</v>
      </c>
      <c r="J285" s="450" t="n">
        <f aca="false">J284+0.5*(vit_x+G284)*pas*(K284&gt;=0)</f>
        <v>56.2388833959014</v>
      </c>
      <c r="K285" s="451" t="n">
        <f aca="false">K284+0.5*(vit_z+H284)*pas</f>
        <v>256.708850006834</v>
      </c>
      <c r="L285" s="449" t="n">
        <f aca="false">SQRT(pos_x^2+pos_z^2)</f>
        <v>262.796966644307</v>
      </c>
      <c r="M285" s="450" t="n">
        <f aca="false">IF(AND(L284&gt;L_rampe,G285&gt;0),ATAN2(G285,H285),$M$4)</f>
        <v>1.33861275755778</v>
      </c>
      <c r="N285" s="449" t="n">
        <f aca="false">DEGREES(Beta)</f>
        <v>76.6968614104298</v>
      </c>
      <c r="O285" s="438"/>
      <c r="P285" s="452" t="n">
        <f aca="false">MATCH(t-pas/2-T_ini,CdP_t)</f>
        <v>7</v>
      </c>
      <c r="Q285" s="449" t="n">
        <f aca="false">(INDEX(CdP,2,i_P+1)-INDEX(CdP,2,i_P+0))/(INDEX(CdP,1,i_P+1)-INDEX(CdP,1,i_P+0))*(t-pas/2-T_ini-INDEX(CdP,1,i_P+0))+INDEX(CdP,2,i_P+0)</f>
        <v>450.702127659578</v>
      </c>
      <c r="R285" s="450" t="n">
        <f aca="false">Poussee/(g*ISP)</f>
        <v>0.226186398884721</v>
      </c>
      <c r="S285" s="451" t="n">
        <f aca="false">S284-Débit*pas</f>
        <v>8.74564808830867</v>
      </c>
      <c r="T285" s="449" t="n">
        <f aca="false">m*g</f>
        <v>85.794807746308</v>
      </c>
      <c r="U285" s="453" t="n">
        <f aca="false">IF(pos_xz&lt;L_rampe,Poids*COS(Beta),0)</f>
        <v>0</v>
      </c>
      <c r="V285" s="450" t="n">
        <f aca="false">Rho_moyen*(20000-Alt_rampe-pos_z)/(20000+Alt_rampe+pos_z)</f>
        <v>1.19395168473942</v>
      </c>
      <c r="W285" s="449" t="n">
        <f aca="false">1/2*Rho*Sref*Cx*vit_xz^2</f>
        <v>74.0153818238232</v>
      </c>
      <c r="X285" s="438"/>
      <c r="Y285" s="454" t="str">
        <f aca="false">IF(AND(pos_z&lt;=0,K284&gt;0),"Impact balistique","") &amp; IF(AND(H286&lt;0,vit_z&gt;=0),"Apogée","") &amp; IF(AND(Poussee=0,Q284&gt;0),"Fin de propulsion","") &amp; IF(AND(L286&gt;L_rampe,pos_xz&lt;=L_rampe),"Sortie de rampe","")</f>
        <v/>
      </c>
      <c r="Z285" s="455" t="str">
        <f aca="false">IF(ABS(t-T_para)&lt;pas/2,"Para","")</f>
        <v/>
      </c>
      <c r="AA285" s="456" t="str">
        <f aca="false">IF(ABS(t-T_satellite)&lt;pas/2,"Satellite","")</f>
        <v/>
      </c>
      <c r="AB285" s="444"/>
      <c r="AC285" s="452" t="e">
        <f aca="false">IF(ABS(t-ROUND(t,0))&lt;0.001,t,NA())</f>
        <v>#N/A</v>
      </c>
      <c r="AD285" s="457" t="e">
        <f aca="false">IF(ABS(t-ROUND(t,0))&lt;0.001,pos_x,NA())</f>
        <v>#N/A</v>
      </c>
      <c r="AE285" s="458" t="n">
        <f aca="false">IF(t&lt;T_para, pos_z, NA())</f>
        <v>256.708850006834</v>
      </c>
      <c r="AF285" s="444"/>
      <c r="AG285" s="450" t="n">
        <f aca="false">IF(AND(L284&lt;L_rampe,Poussee&lt;Poids*SIN(M284)),0,(-W284+Poussee)/m-Poids*SIN(M284)/m)</f>
        <v>33.5568838269124</v>
      </c>
      <c r="AH285" s="449" t="n">
        <f aca="false">IF(AND(L284&lt;L_rampe,Poussee&lt;Poids*SIN(M284)), g*SIN(M284), (-W284+Poussee)/m)</f>
        <v>43.103949833023</v>
      </c>
    </row>
    <row r="286" customFormat="false" ht="12" hidden="false" customHeight="false" outlineLevel="0" collapsed="false">
      <c r="A286" s="448" t="n">
        <f aca="false">IF(B285+0.01&lt;=T_ini+ROUNDUP(Temps_fin_propu,0), 0.01, IF(K285&gt;0, 0.1, 0.0001))</f>
        <v>0.01</v>
      </c>
      <c r="B286" s="449" t="n">
        <f aca="false">B285+pas</f>
        <v>2.81999999999998</v>
      </c>
      <c r="C286" s="432"/>
      <c r="D286" s="450" t="n">
        <f aca="false">IF(AND(L285&lt;L_rampe,Poussee&lt;Poids*SIN(M285)),0,(-W285+Poussee)/m*COS(M285)-U285/m*SIN(M285))</f>
        <v>9.85964324816317</v>
      </c>
      <c r="E286" s="451" t="n">
        <f aca="false">IF(AND(L285&lt;L_rampe,Poussee&lt;Poids*SIN(M285)),0,(-W285+Poussee)/m*SIN(M285)+U285/m*COS(M285)-Poids/m)</f>
        <v>31.889023072468</v>
      </c>
      <c r="F286" s="449" t="n">
        <f aca="false">SQRT(acc_x^2+acc_z^2)</f>
        <v>33.3784714673612</v>
      </c>
      <c r="G286" s="450" t="n">
        <f aca="false">G285+acc_x*pas</f>
        <v>38.5198796363414</v>
      </c>
      <c r="H286" s="451" t="n">
        <f aca="false">H285+acc_z*pas</f>
        <v>162.812596591758</v>
      </c>
      <c r="I286" s="449" t="n">
        <f aca="false">SQRT(vit_x^2+vit_z^2)</f>
        <v>167.307270422265</v>
      </c>
      <c r="J286" s="450" t="n">
        <f aca="false">J285+0.5*(vit_x+G285)*pas*(K285&gt;=0)</f>
        <v>56.6235892101024</v>
      </c>
      <c r="K286" s="451" t="n">
        <f aca="false">K285+0.5*(vit_z+H285)*pas</f>
        <v>258.335381521598</v>
      </c>
      <c r="L286" s="449" t="n">
        <f aca="false">SQRT(pos_x^2+pos_z^2)</f>
        <v>264.468145909756</v>
      </c>
      <c r="M286" s="450" t="n">
        <f aca="false">IF(AND(L285&gt;L_rampe,G286&gt;0),ATAN2(G286,H286),$M$4)</f>
        <v>1.33847783748612</v>
      </c>
      <c r="N286" s="449" t="n">
        <f aca="false">DEGREES(Beta)</f>
        <v>76.6891310597522</v>
      </c>
      <c r="O286" s="438"/>
      <c r="P286" s="452" t="n">
        <f aca="false">MATCH(t-pas/2-T_ini,CdP_t)</f>
        <v>7</v>
      </c>
      <c r="Q286" s="449" t="n">
        <f aca="false">(INDEX(CdP,2,i_P+1)-INDEX(CdP,2,i_P+0))/(INDEX(CdP,1,i_P+1)-INDEX(CdP,1,i_P+0))*(t-pas/2-T_ini-INDEX(CdP,1,i_P+0))+INDEX(CdP,2,i_P+0)</f>
        <v>448.659574468088</v>
      </c>
      <c r="R286" s="450" t="n">
        <f aca="false">Poussee/(g*ISP)</f>
        <v>0.22516133660398</v>
      </c>
      <c r="S286" s="451" t="n">
        <f aca="false">S285-Débit*pas</f>
        <v>8.74339647494263</v>
      </c>
      <c r="T286" s="449" t="n">
        <f aca="false">m*g</f>
        <v>85.7727194191872</v>
      </c>
      <c r="U286" s="453" t="n">
        <f aca="false">IF(pos_xz&lt;L_rampe,Poids*COS(Beta),0)</f>
        <v>0</v>
      </c>
      <c r="V286" s="450" t="n">
        <f aca="false">Rho_moyen*(20000-Alt_rampe-pos_z)/(20000+Alt_rampe+pos_z)</f>
        <v>1.19375746833053</v>
      </c>
      <c r="W286" s="449" t="n">
        <f aca="false">1/2*Rho*Sref*Cx*vit_xz^2</f>
        <v>74.298828531873</v>
      </c>
      <c r="X286" s="438"/>
      <c r="Y286" s="454" t="str">
        <f aca="false">IF(AND(pos_z&lt;=0,K285&gt;0),"Impact balistique","") &amp; IF(AND(H287&lt;0,vit_z&gt;=0),"Apogée","") &amp; IF(AND(Poussee=0,Q285&gt;0),"Fin de propulsion","") &amp; IF(AND(L287&gt;L_rampe,pos_xz&lt;=L_rampe),"Sortie de rampe","")</f>
        <v/>
      </c>
      <c r="Z286" s="455" t="str">
        <f aca="false">IF(ABS(t-T_para)&lt;pas/2,"Para","")</f>
        <v/>
      </c>
      <c r="AA286" s="456" t="str">
        <f aca="false">IF(ABS(t-T_satellite)&lt;pas/2,"Satellite","")</f>
        <v/>
      </c>
      <c r="AB286" s="444"/>
      <c r="AC286" s="452" t="e">
        <f aca="false">IF(ABS(t-ROUND(t,0))&lt;0.001,t,NA())</f>
        <v>#N/A</v>
      </c>
      <c r="AD286" s="457" t="e">
        <f aca="false">IF(ABS(t-ROUND(t,0))&lt;0.001,pos_x,NA())</f>
        <v>#N/A</v>
      </c>
      <c r="AE286" s="458" t="n">
        <f aca="false">IF(t&lt;T_para, pos_z, NA())</f>
        <v>258.335381521598</v>
      </c>
      <c r="AF286" s="444"/>
      <c r="AG286" s="450" t="n">
        <f aca="false">IF(AND(L285&lt;L_rampe,Poussee&lt;Poids*SIN(M285)),0,(-W285+Poussee)/m-Poids*SIN(M285)/m)</f>
        <v>33.3020555682053</v>
      </c>
      <c r="AH286" s="449" t="n">
        <f aca="false">IF(AND(L285&lt;L_rampe,Poussee&lt;Poids*SIN(M285)), g*SIN(M285), (-W285+Poussee)/m)</f>
        <v>42.848816671867</v>
      </c>
    </row>
    <row r="287" customFormat="false" ht="12" hidden="false" customHeight="false" outlineLevel="0" collapsed="false">
      <c r="A287" s="448" t="n">
        <f aca="false">IF(B286+0.01&lt;=T_ini+ROUNDUP(Temps_fin_propu,0), 0.01, IF(K286&gt;0, 0.1, 0.0001))</f>
        <v>0.01</v>
      </c>
      <c r="B287" s="449" t="n">
        <f aca="false">B286+pas</f>
        <v>2.82999999999998</v>
      </c>
      <c r="C287" s="432"/>
      <c r="D287" s="450" t="n">
        <f aca="false">IF(AND(L286&lt;L_rampe,Poussee&lt;Poids*SIN(M286)),0,(-W286+Poussee)/m*COS(M286)-U286/m*SIN(M286))</f>
        <v>9.80653400271361</v>
      </c>
      <c r="E287" s="451" t="n">
        <f aca="false">IF(AND(L286&lt;L_rampe,Poussee&lt;Poids*SIN(M286)),0,(-W286+Poussee)/m*SIN(M286)+U286/m*COS(M286)-Poids/m)</f>
        <v>31.6394354504899</v>
      </c>
      <c r="F287" s="449" t="n">
        <f aca="false">SQRT(acc_x^2+acc_z^2)</f>
        <v>33.1243412730291</v>
      </c>
      <c r="G287" s="450" t="n">
        <f aca="false">G286+acc_x*pas</f>
        <v>38.6179449763685</v>
      </c>
      <c r="H287" s="451" t="n">
        <f aca="false">H286+acc_z*pas</f>
        <v>163.128990946263</v>
      </c>
      <c r="I287" s="449" t="n">
        <f aca="false">SQRT(vit_x^2+vit_z^2)</f>
        <v>167.637744441232</v>
      </c>
      <c r="J287" s="450" t="n">
        <f aca="false">J286+0.5*(vit_x+G286)*pas*(K286&gt;=0)</f>
        <v>57.009278333166</v>
      </c>
      <c r="K287" s="451" t="n">
        <f aca="false">K286+0.5*(vit_z+H286)*pas</f>
        <v>259.965089459288</v>
      </c>
      <c r="L287" s="449" t="n">
        <f aca="false">SQRT(pos_x^2+pos_z^2)</f>
        <v>266.1426413667</v>
      </c>
      <c r="M287" s="450" t="n">
        <f aca="false">IF(AND(L286&gt;L_rampe,G287&gt;0),ATAN2(G287,H287),$M$4)</f>
        <v>1.33834310655616</v>
      </c>
      <c r="N287" s="449" t="n">
        <f aca="false">DEGREES(Beta)</f>
        <v>76.6814115460955</v>
      </c>
      <c r="O287" s="438"/>
      <c r="P287" s="452" t="n">
        <f aca="false">MATCH(t-pas/2-T_ini,CdP_t)</f>
        <v>7</v>
      </c>
      <c r="Q287" s="449" t="n">
        <f aca="false">(INDEX(CdP,2,i_P+1)-INDEX(CdP,2,i_P+0))/(INDEX(CdP,1,i_P+1)-INDEX(CdP,1,i_P+0))*(t-pas/2-T_ini-INDEX(CdP,1,i_P+0))+INDEX(CdP,2,i_P+0)</f>
        <v>446.617021276599</v>
      </c>
      <c r="R287" s="450" t="n">
        <f aca="false">Poussee/(g*ISP)</f>
        <v>0.22413627432324</v>
      </c>
      <c r="S287" s="451" t="n">
        <f aca="false">S286-Débit*pas</f>
        <v>8.7411551121994</v>
      </c>
      <c r="T287" s="449" t="n">
        <f aca="false">m*g</f>
        <v>85.7507316506761</v>
      </c>
      <c r="U287" s="453" t="n">
        <f aca="false">IF(pos_xz&lt;L_rampe,Poids*COS(Beta),0)</f>
        <v>0</v>
      </c>
      <c r="V287" s="450" t="n">
        <f aca="false">Rho_moyen*(20000-Alt_rampe-pos_z)/(20000+Alt_rampe+pos_z)</f>
        <v>1.19356290391603</v>
      </c>
      <c r="W287" s="449" t="n">
        <f aca="false">1/2*Rho*Sref*Cx*vit_xz^2</f>
        <v>74.5804787639705</v>
      </c>
      <c r="X287" s="438"/>
      <c r="Y287" s="454" t="str">
        <f aca="false">IF(AND(pos_z&lt;=0,K286&gt;0),"Impact balistique","") &amp; IF(AND(H288&lt;0,vit_z&gt;=0),"Apogée","") &amp; IF(AND(Poussee=0,Q286&gt;0),"Fin de propulsion","") &amp; IF(AND(L288&gt;L_rampe,pos_xz&lt;=L_rampe),"Sortie de rampe","")</f>
        <v/>
      </c>
      <c r="Z287" s="455" t="str">
        <f aca="false">IF(ABS(t-T_para)&lt;pas/2,"Para","")</f>
        <v/>
      </c>
      <c r="AA287" s="456" t="str">
        <f aca="false">IF(ABS(t-T_satellite)&lt;pas/2,"Satellite","")</f>
        <v/>
      </c>
      <c r="AB287" s="444"/>
      <c r="AC287" s="452" t="e">
        <f aca="false">IF(ABS(t-ROUND(t,0))&lt;0.001,t,NA())</f>
        <v>#N/A</v>
      </c>
      <c r="AD287" s="457" t="e">
        <f aca="false">IF(ABS(t-ROUND(t,0))&lt;0.001,pos_x,NA())</f>
        <v>#N/A</v>
      </c>
      <c r="AE287" s="458" t="n">
        <f aca="false">IF(t&lt;T_para, pos_z, NA())</f>
        <v>259.965089459288</v>
      </c>
      <c r="AF287" s="444"/>
      <c r="AG287" s="450" t="n">
        <f aca="false">IF(AND(L286&lt;L_rampe,Poussee&lt;Poids*SIN(M286)),0,(-W286+Poussee)/m-Poids*SIN(M286)/m)</f>
        <v>33.0472497451612</v>
      </c>
      <c r="AH287" s="449" t="n">
        <f aca="false">IF(AND(L286&lt;L_rampe,Poussee&lt;Poids*SIN(M286)), g*SIN(M286), (-W286+Poussee)/m)</f>
        <v>42.5937062053857</v>
      </c>
    </row>
    <row r="288" customFormat="false" ht="12" hidden="false" customHeight="false" outlineLevel="0" collapsed="false">
      <c r="A288" s="448" t="n">
        <f aca="false">IF(B287+0.01&lt;=T_ini+ROUNDUP(Temps_fin_propu,0), 0.01, IF(K287&gt;0, 0.1, 0.0001))</f>
        <v>0.01</v>
      </c>
      <c r="B288" s="449" t="n">
        <f aca="false">B287+pas</f>
        <v>2.83999999999998</v>
      </c>
      <c r="C288" s="432"/>
      <c r="D288" s="450" t="n">
        <f aca="false">IF(AND(L287&lt;L_rampe,Poussee&lt;Poids*SIN(M287)),0,(-W287+Poussee)/m*COS(M287)-U287/m*SIN(M287))</f>
        <v>9.75335556653517</v>
      </c>
      <c r="E288" s="451" t="n">
        <f aca="false">IF(AND(L287&lt;L_rampe,Poussee&lt;Poids*SIN(M287)),0,(-W287+Poussee)/m*SIN(M287)+U287/m*COS(M287)-Poids/m)</f>
        <v>31.3898891417609</v>
      </c>
      <c r="F288" s="449" t="n">
        <f aca="false">SQRT(acc_x^2+acc_z^2)</f>
        <v>32.8702461983372</v>
      </c>
      <c r="G288" s="450" t="n">
        <f aca="false">G287+acc_x*pas</f>
        <v>38.7154785320339</v>
      </c>
      <c r="H288" s="451" t="n">
        <f aca="false">H287+acc_z*pas</f>
        <v>163.442889837681</v>
      </c>
      <c r="I288" s="449" t="n">
        <f aca="false">SQRT(vit_x^2+vit_z^2)</f>
        <v>167.965670648668</v>
      </c>
      <c r="J288" s="450" t="n">
        <f aca="false">J287+0.5*(vit_x+G287)*pas*(K287&gt;=0)</f>
        <v>57.395945450708</v>
      </c>
      <c r="K288" s="451" t="n">
        <f aca="false">K287+0.5*(vit_z+H287)*pas</f>
        <v>261.597948863208</v>
      </c>
      <c r="L288" s="449" t="n">
        <f aca="false">SQRT(pos_x^2+pos_z^2)</f>
        <v>267.820427532364</v>
      </c>
      <c r="M288" s="450" t="n">
        <f aca="false">IF(AND(L287&gt;L_rampe,G288&gt;0),ATAN2(G288,H288),$M$4)</f>
        <v>1.33820856209274</v>
      </c>
      <c r="N288" s="449" t="n">
        <f aca="false">DEGREES(Beta)</f>
        <v>76.6737027161848</v>
      </c>
      <c r="O288" s="438"/>
      <c r="P288" s="452" t="n">
        <f aca="false">MATCH(t-pas/2-T_ini,CdP_t)</f>
        <v>7</v>
      </c>
      <c r="Q288" s="449" t="n">
        <f aca="false">(INDEX(CdP,2,i_P+1)-INDEX(CdP,2,i_P+0))/(INDEX(CdP,1,i_P+1)-INDEX(CdP,1,i_P+0))*(t-pas/2-T_ini-INDEX(CdP,1,i_P+0))+INDEX(CdP,2,i_P+0)</f>
        <v>444.57446808511</v>
      </c>
      <c r="R288" s="450" t="n">
        <f aca="false">Poussee/(g*ISP)</f>
        <v>0.223111212042499</v>
      </c>
      <c r="S288" s="451" t="n">
        <f aca="false">S287-Débit*pas</f>
        <v>8.73892400007897</v>
      </c>
      <c r="T288" s="449" t="n">
        <f aca="false">m*g</f>
        <v>85.7288444407747</v>
      </c>
      <c r="U288" s="453" t="n">
        <f aca="false">IF(pos_xz&lt;L_rampe,Poids*COS(Beta),0)</f>
        <v>0</v>
      </c>
      <c r="V288" s="450" t="n">
        <f aca="false">Rho_moyen*(20000-Alt_rampe-pos_z)/(20000+Alt_rampe+pos_z)</f>
        <v>1.19336799465015</v>
      </c>
      <c r="W288" s="449" t="n">
        <f aca="false">1/2*Rho*Sref*Cx*vit_xz^2</f>
        <v>74.8603200966494</v>
      </c>
      <c r="X288" s="438"/>
      <c r="Y288" s="454" t="str">
        <f aca="false">IF(AND(pos_z&lt;=0,K287&gt;0),"Impact balistique","") &amp; IF(AND(H289&lt;0,vit_z&gt;=0),"Apogée","") &amp; IF(AND(Poussee=0,Q287&gt;0),"Fin de propulsion","") &amp; IF(AND(L289&gt;L_rampe,pos_xz&lt;=L_rampe),"Sortie de rampe","")</f>
        <v/>
      </c>
      <c r="Z288" s="455" t="str">
        <f aca="false">IF(ABS(t-T_para)&lt;pas/2,"Para","")</f>
        <v/>
      </c>
      <c r="AA288" s="456" t="str">
        <f aca="false">IF(ABS(t-T_satellite)&lt;pas/2,"Satellite","")</f>
        <v/>
      </c>
      <c r="AB288" s="444"/>
      <c r="AC288" s="452" t="e">
        <f aca="false">IF(ABS(t-ROUND(t,0))&lt;0.001,t,NA())</f>
        <v>#N/A</v>
      </c>
      <c r="AD288" s="457" t="e">
        <f aca="false">IF(ABS(t-ROUND(t,0))&lt;0.001,pos_x,NA())</f>
        <v>#N/A</v>
      </c>
      <c r="AE288" s="458" t="n">
        <f aca="false">IF(t&lt;T_para, pos_z, NA())</f>
        <v>261.597948863208</v>
      </c>
      <c r="AF288" s="444"/>
      <c r="AG288" s="450" t="n">
        <f aca="false">IF(AND(L287&lt;L_rampe,Poussee&lt;Poids*SIN(M287)),0,(-W287+Poussee)/m-Poids*SIN(M287)/m)</f>
        <v>32.792468716024</v>
      </c>
      <c r="AH288" s="449" t="n">
        <f aca="false">IF(AND(L287&lt;L_rampe,Poussee&lt;Poids*SIN(M287)), g*SIN(M287), (-W287+Poussee)/m)</f>
        <v>42.3386207864716</v>
      </c>
    </row>
    <row r="289" customFormat="false" ht="12" hidden="false" customHeight="false" outlineLevel="0" collapsed="false">
      <c r="A289" s="448" t="n">
        <f aca="false">IF(B288+0.01&lt;=T_ini+ROUNDUP(Temps_fin_propu,0), 0.01, IF(K288&gt;0, 0.1, 0.0001))</f>
        <v>0.01</v>
      </c>
      <c r="B289" s="449" t="n">
        <f aca="false">B288+pas</f>
        <v>2.84999999999998</v>
      </c>
      <c r="C289" s="432"/>
      <c r="D289" s="450" t="n">
        <f aca="false">IF(AND(L288&lt;L_rampe,Poussee&lt;Poids*SIN(M288)),0,(-W288+Poussee)/m*COS(M288)-U288/m*SIN(M288))</f>
        <v>9.70010874286457</v>
      </c>
      <c r="E289" s="451" t="n">
        <f aca="false">IF(AND(L288&lt;L_rampe,Poussee&lt;Poids*SIN(M288)),0,(-W288+Poussee)/m*SIN(M288)+U288/m*COS(M288)-Poids/m)</f>
        <v>31.1403863774212</v>
      </c>
      <c r="F289" s="449" t="n">
        <f aca="false">SQRT(acc_x^2+acc_z^2)</f>
        <v>32.6161888233202</v>
      </c>
      <c r="G289" s="450" t="n">
        <f aca="false">G288+acc_x*pas</f>
        <v>38.8124796194625</v>
      </c>
      <c r="H289" s="451" t="n">
        <f aca="false">H288+acc_z*pas</f>
        <v>163.754293701455</v>
      </c>
      <c r="I289" s="449" t="n">
        <f aca="false">SQRT(vit_x^2+vit_z^2)</f>
        <v>168.29104931598</v>
      </c>
      <c r="J289" s="450" t="n">
        <f aca="false">J288+0.5*(vit_x+G288)*pas*(K288&gt;=0)</f>
        <v>57.7835852414655</v>
      </c>
      <c r="K289" s="451" t="n">
        <f aca="false">K288+0.5*(vit_z+H288)*pas</f>
        <v>263.233934780904</v>
      </c>
      <c r="L289" s="449" t="n">
        <f aca="false">SQRT(pos_x^2+pos_z^2)</f>
        <v>269.501478926545</v>
      </c>
      <c r="M289" s="450" t="n">
        <f aca="false">IF(AND(L288&gt;L_rampe,G289&gt;0),ATAN2(G289,H289),$M$4)</f>
        <v>1.33807420144352</v>
      </c>
      <c r="N289" s="449" t="n">
        <f aca="false">DEGREES(Beta)</f>
        <v>76.6660044180518</v>
      </c>
      <c r="O289" s="438"/>
      <c r="P289" s="452" t="n">
        <f aca="false">MATCH(t-pas/2-T_ini,CdP_t)</f>
        <v>7</v>
      </c>
      <c r="Q289" s="449" t="n">
        <f aca="false">(INDEX(CdP,2,i_P+1)-INDEX(CdP,2,i_P+0))/(INDEX(CdP,1,i_P+1)-INDEX(CdP,1,i_P+0))*(t-pas/2-T_ini-INDEX(CdP,1,i_P+0))+INDEX(CdP,2,i_P+0)</f>
        <v>442.53191489362</v>
      </c>
      <c r="R289" s="450" t="n">
        <f aca="false">Poussee/(g*ISP)</f>
        <v>0.222086149761758</v>
      </c>
      <c r="S289" s="451" t="n">
        <f aca="false">S288-Débit*pas</f>
        <v>8.73670313858135</v>
      </c>
      <c r="T289" s="449" t="n">
        <f aca="false">m*g</f>
        <v>85.7070577894831</v>
      </c>
      <c r="U289" s="453" t="n">
        <f aca="false">IF(pos_xz&lt;L_rampe,Poids*COS(Beta),0)</f>
        <v>0</v>
      </c>
      <c r="V289" s="450" t="n">
        <f aca="false">Rho_moyen*(20000-Alt_rampe-pos_z)/(20000+Alt_rampe+pos_z)</f>
        <v>1.19317274368499</v>
      </c>
      <c r="W289" s="449" t="n">
        <f aca="false">1/2*Rho*Sref*Cx*vit_xz^2</f>
        <v>75.138340246939</v>
      </c>
      <c r="X289" s="438"/>
      <c r="Y289" s="454" t="str">
        <f aca="false">IF(AND(pos_z&lt;=0,K288&gt;0),"Impact balistique","") &amp; IF(AND(H290&lt;0,vit_z&gt;=0),"Apogée","") &amp; IF(AND(Poussee=0,Q288&gt;0),"Fin de propulsion","") &amp; IF(AND(L290&gt;L_rampe,pos_xz&lt;=L_rampe),"Sortie de rampe","")</f>
        <v/>
      </c>
      <c r="Z289" s="455" t="str">
        <f aca="false">IF(ABS(t-T_para)&lt;pas/2,"Para","")</f>
        <v/>
      </c>
      <c r="AA289" s="456" t="str">
        <f aca="false">IF(ABS(t-T_satellite)&lt;pas/2,"Satellite","")</f>
        <v/>
      </c>
      <c r="AB289" s="444"/>
      <c r="AC289" s="452" t="e">
        <f aca="false">IF(ABS(t-ROUND(t,0))&lt;0.001,t,NA())</f>
        <v>#N/A</v>
      </c>
      <c r="AD289" s="457" t="e">
        <f aca="false">IF(ABS(t-ROUND(t,0))&lt;0.001,pos_x,NA())</f>
        <v>#N/A</v>
      </c>
      <c r="AE289" s="458" t="n">
        <f aca="false">IF(t&lt;T_para, pos_z, NA())</f>
        <v>263.233934780904</v>
      </c>
      <c r="AF289" s="444"/>
      <c r="AG289" s="450" t="n">
        <f aca="false">IF(AND(L288&lt;L_rampe,Poussee&lt;Poids*SIN(M288)),0,(-W288+Poussee)/m-Poids*SIN(M288)/m)</f>
        <v>32.5377148251442</v>
      </c>
      <c r="AH289" s="449" t="n">
        <f aca="false">IF(AND(L288&lt;L_rampe,Poussee&lt;Poids*SIN(M288)), g*SIN(M288), (-W288+Poussee)/m)</f>
        <v>42.0835627541618</v>
      </c>
    </row>
    <row r="290" customFormat="false" ht="12" hidden="false" customHeight="false" outlineLevel="0" collapsed="false">
      <c r="A290" s="448" t="n">
        <f aca="false">IF(B289+0.01&lt;=T_ini+ROUNDUP(Temps_fin_propu,0), 0.01, IF(K289&gt;0, 0.1, 0.0001))</f>
        <v>0.01</v>
      </c>
      <c r="B290" s="449" t="n">
        <f aca="false">B289+pas</f>
        <v>2.85999999999998</v>
      </c>
      <c r="C290" s="432"/>
      <c r="D290" s="450" t="n">
        <f aca="false">IF(AND(L289&lt;L_rampe,Poussee&lt;Poids*SIN(M289)),0,(-W289+Poussee)/m*COS(M289)-U289/m*SIN(M289))</f>
        <v>9.64679432931622</v>
      </c>
      <c r="E290" s="451" t="n">
        <f aca="false">IF(AND(L289&lt;L_rampe,Poussee&lt;Poids*SIN(M289)),0,(-W289+Poussee)/m*SIN(M289)+U289/m*COS(M289)-Poids/m)</f>
        <v>30.8909293755156</v>
      </c>
      <c r="F290" s="449" t="n">
        <f aca="false">SQRT(acc_x^2+acc_z^2)</f>
        <v>32.362171721243</v>
      </c>
      <c r="G290" s="450" t="n">
        <f aca="false">G289+acc_x*pas</f>
        <v>38.9089475627557</v>
      </c>
      <c r="H290" s="451" t="n">
        <f aca="false">H289+acc_z*pas</f>
        <v>164.06320299521</v>
      </c>
      <c r="I290" s="449" t="n">
        <f aca="false">SQRT(vit_x^2+vit_z^2)</f>
        <v>168.613880737883</v>
      </c>
      <c r="J290" s="450" t="n">
        <f aca="false">J289+0.5*(vit_x+G289)*pas*(K289&gt;=0)</f>
        <v>58.1721923773766</v>
      </c>
      <c r="K290" s="451" t="n">
        <f aca="false">K289+0.5*(vit_z+H289)*pas</f>
        <v>264.873022264387</v>
      </c>
      <c r="L290" s="449" t="n">
        <f aca="false">SQRT(pos_x^2+pos_z^2)</f>
        <v>271.185770071847</v>
      </c>
      <c r="M290" s="450" t="n">
        <f aca="false">IF(AND(L289&gt;L_rampe,G290&gt;0),ATAN2(G290,H290),$M$4)</f>
        <v>1.33794002197856</v>
      </c>
      <c r="N290" s="449" t="n">
        <f aca="false">DEGREES(Beta)</f>
        <v>76.658316501012</v>
      </c>
      <c r="O290" s="438"/>
      <c r="P290" s="452" t="n">
        <f aca="false">MATCH(t-pas/2-T_ini,CdP_t)</f>
        <v>7</v>
      </c>
      <c r="Q290" s="449" t="n">
        <f aca="false">(INDEX(CdP,2,i_P+1)-INDEX(CdP,2,i_P+0))/(INDEX(CdP,1,i_P+1)-INDEX(CdP,1,i_P+0))*(t-pas/2-T_ini-INDEX(CdP,1,i_P+0))+INDEX(CdP,2,i_P+0)</f>
        <v>440.489361702131</v>
      </c>
      <c r="R290" s="450" t="n">
        <f aca="false">Poussee/(g*ISP)</f>
        <v>0.221061087481017</v>
      </c>
      <c r="S290" s="451" t="n">
        <f aca="false">S289-Débit*pas</f>
        <v>8.73449252770654</v>
      </c>
      <c r="T290" s="449" t="n">
        <f aca="false">m*g</f>
        <v>85.6853716968012</v>
      </c>
      <c r="U290" s="453" t="n">
        <f aca="false">IF(pos_xz&lt;L_rampe,Poids*COS(Beta),0)</f>
        <v>0</v>
      </c>
      <c r="V290" s="450" t="n">
        <f aca="false">Rho_moyen*(20000-Alt_rampe-pos_z)/(20000+Alt_rampe+pos_z)</f>
        <v>1.19297715417043</v>
      </c>
      <c r="W290" s="449" t="n">
        <f aca="false">1/2*Rho*Sref*Cx*vit_xz^2</f>
        <v>75.4145270722918</v>
      </c>
      <c r="X290" s="438"/>
      <c r="Y290" s="454" t="str">
        <f aca="false">IF(AND(pos_z&lt;=0,K289&gt;0),"Impact balistique","") &amp; IF(AND(H291&lt;0,vit_z&gt;=0),"Apogée","") &amp; IF(AND(Poussee=0,Q289&gt;0),"Fin de propulsion","") &amp; IF(AND(L291&gt;L_rampe,pos_xz&lt;=L_rampe),"Sortie de rampe","")</f>
        <v/>
      </c>
      <c r="Z290" s="455" t="str">
        <f aca="false">IF(ABS(t-T_para)&lt;pas/2,"Para","")</f>
        <v/>
      </c>
      <c r="AA290" s="456" t="str">
        <f aca="false">IF(ABS(t-T_satellite)&lt;pas/2,"Satellite","")</f>
        <v/>
      </c>
      <c r="AB290" s="444"/>
      <c r="AC290" s="452" t="e">
        <f aca="false">IF(ABS(t-ROUND(t,0))&lt;0.001,t,NA())</f>
        <v>#N/A</v>
      </c>
      <c r="AD290" s="457" t="e">
        <f aca="false">IF(ABS(t-ROUND(t,0))&lt;0.001,pos_x,NA())</f>
        <v>#N/A</v>
      </c>
      <c r="AE290" s="458" t="n">
        <f aca="false">IF(t&lt;T_para, pos_z, NA())</f>
        <v>264.873022264387</v>
      </c>
      <c r="AF290" s="444"/>
      <c r="AG290" s="450" t="n">
        <f aca="false">IF(AND(L289&lt;L_rampe,Poussee&lt;Poids*SIN(M289)),0,(-W289+Poussee)/m-Poids*SIN(M289)/m)</f>
        <v>32.282990402942</v>
      </c>
      <c r="AH290" s="449" t="n">
        <f aca="false">IF(AND(L289&lt;L_rampe,Poussee&lt;Poids*SIN(M289)), g*SIN(M289), (-W289+Poussee)/m)</f>
        <v>41.8285344335997</v>
      </c>
    </row>
    <row r="291" customFormat="false" ht="12" hidden="false" customHeight="false" outlineLevel="0" collapsed="false">
      <c r="A291" s="448" t="n">
        <f aca="false">IF(B290+0.01&lt;=T_ini+ROUNDUP(Temps_fin_propu,0), 0.01, IF(K290&gt;0, 0.1, 0.0001))</f>
        <v>0.01</v>
      </c>
      <c r="B291" s="449" t="n">
        <f aca="false">B290+pas</f>
        <v>2.86999999999998</v>
      </c>
      <c r="C291" s="432"/>
      <c r="D291" s="450" t="n">
        <f aca="false">IF(AND(L290&lt;L_rampe,Poussee&lt;Poids*SIN(M290)),0,(-W290+Poussee)/m*COS(M290)-U290/m*SIN(M290))</f>
        <v>9.59341311790563</v>
      </c>
      <c r="E291" s="451" t="n">
        <f aca="false">IF(AND(L290&lt;L_rampe,Poussee&lt;Poids*SIN(M290)),0,(-W290+Poussee)/m*SIN(M290)+U290/m*COS(M290)-Poids/m)</f>
        <v>30.6415203409525</v>
      </c>
      <c r="F291" s="449" t="n">
        <f aca="false">SQRT(acc_x^2+acc_z^2)</f>
        <v>32.1081974588393</v>
      </c>
      <c r="G291" s="450" t="n">
        <f aca="false">G290+acc_x*pas</f>
        <v>39.0048816939347</v>
      </c>
      <c r="H291" s="451" t="n">
        <f aca="false">H290+acc_z*pas</f>
        <v>164.36961819862</v>
      </c>
      <c r="I291" s="449" t="n">
        <f aca="false">SQRT(vit_x^2+vit_z^2)</f>
        <v>168.934165232252</v>
      </c>
      <c r="J291" s="450" t="n">
        <f aca="false">J290+0.5*(vit_x+G290)*pas*(K290&gt;=0)</f>
        <v>58.56176152366</v>
      </c>
      <c r="K291" s="451" t="n">
        <f aca="false">K290+0.5*(vit_z+H290)*pas</f>
        <v>266.515186370356</v>
      </c>
      <c r="L291" s="449" t="n">
        <f aca="false">SQRT(pos_x^2+pos_z^2)</f>
        <v>272.873275493918</v>
      </c>
      <c r="M291" s="450" t="n">
        <f aca="false">IF(AND(L290&gt;L_rampe,G291&gt;0),ATAN2(G291,H291),$M$4)</f>
        <v>1.33780602108994</v>
      </c>
      <c r="N291" s="449" t="n">
        <f aca="false">DEGREES(Beta)</f>
        <v>76.6506388156431</v>
      </c>
      <c r="O291" s="438"/>
      <c r="P291" s="452" t="n">
        <f aca="false">MATCH(t-pas/2-T_ini,CdP_t)</f>
        <v>7</v>
      </c>
      <c r="Q291" s="449" t="n">
        <f aca="false">(INDEX(CdP,2,i_P+1)-INDEX(CdP,2,i_P+0))/(INDEX(CdP,1,i_P+1)-INDEX(CdP,1,i_P+0))*(t-pas/2-T_ini-INDEX(CdP,1,i_P+0))+INDEX(CdP,2,i_P+0)</f>
        <v>438.446808510642</v>
      </c>
      <c r="R291" s="450" t="n">
        <f aca="false">Poussee/(g*ISP)</f>
        <v>0.220036025200276</v>
      </c>
      <c r="S291" s="451" t="n">
        <f aca="false">S290-Débit*pas</f>
        <v>8.73229216745454</v>
      </c>
      <c r="T291" s="449" t="n">
        <f aca="false">m*g</f>
        <v>85.663786162729</v>
      </c>
      <c r="U291" s="453" t="n">
        <f aca="false">IF(pos_xz&lt;L_rampe,Poids*COS(Beta),0)</f>
        <v>0</v>
      </c>
      <c r="V291" s="450" t="n">
        <f aca="false">Rho_moyen*(20000-Alt_rampe-pos_z)/(20000+Alt_rampe+pos_z)</f>
        <v>1.19278122925413</v>
      </c>
      <c r="W291" s="449" t="n">
        <f aca="false">1/2*Rho*Sref*Cx*vit_xz^2</f>
        <v>75.6888685705036</v>
      </c>
      <c r="X291" s="438"/>
      <c r="Y291" s="454" t="str">
        <f aca="false">IF(AND(pos_z&lt;=0,K290&gt;0),"Impact balistique","") &amp; IF(AND(H292&lt;0,vit_z&gt;=0),"Apogée","") &amp; IF(AND(Poussee=0,Q290&gt;0),"Fin de propulsion","") &amp; IF(AND(L292&gt;L_rampe,pos_xz&lt;=L_rampe),"Sortie de rampe","")</f>
        <v/>
      </c>
      <c r="Z291" s="455" t="str">
        <f aca="false">IF(ABS(t-T_para)&lt;pas/2,"Para","")</f>
        <v/>
      </c>
      <c r="AA291" s="456" t="str">
        <f aca="false">IF(ABS(t-T_satellite)&lt;pas/2,"Satellite","")</f>
        <v/>
      </c>
      <c r="AB291" s="444"/>
      <c r="AC291" s="452" t="e">
        <f aca="false">IF(ABS(t-ROUND(t,0))&lt;0.001,t,NA())</f>
        <v>#N/A</v>
      </c>
      <c r="AD291" s="457" t="e">
        <f aca="false">IF(ABS(t-ROUND(t,0))&lt;0.001,pos_x,NA())</f>
        <v>#N/A</v>
      </c>
      <c r="AE291" s="458" t="n">
        <f aca="false">IF(t&lt;T_para, pos_z, NA())</f>
        <v>266.515186370356</v>
      </c>
      <c r="AF291" s="444"/>
      <c r="AG291" s="450" t="n">
        <f aca="false">IF(AND(L290&lt;L_rampe,Poussee&lt;Poids*SIN(M290)),0,(-W290+Poussee)/m-Poids*SIN(M290)/m)</f>
        <v>32.0282977658713</v>
      </c>
      <c r="AH291" s="449" t="n">
        <f aca="false">IF(AND(L290&lt;L_rampe,Poussee&lt;Poids*SIN(M290)), g*SIN(M290), (-W290+Poussee)/m)</f>
        <v>41.5735381359982</v>
      </c>
    </row>
    <row r="292" customFormat="false" ht="12" hidden="false" customHeight="false" outlineLevel="0" collapsed="false">
      <c r="A292" s="448" t="n">
        <f aca="false">IF(B291+0.01&lt;=T_ini+ROUNDUP(Temps_fin_propu,0), 0.01, IF(K291&gt;0, 0.1, 0.0001))</f>
        <v>0.01</v>
      </c>
      <c r="B292" s="449" t="n">
        <f aca="false">B291+pas</f>
        <v>2.87999999999998</v>
      </c>
      <c r="C292" s="432"/>
      <c r="D292" s="450" t="n">
        <f aca="false">IF(AND(L291&lt;L_rampe,Poussee&lt;Poids*SIN(M291)),0,(-W291+Poussee)/m*COS(M291)-U291/m*SIN(M291))</f>
        <v>9.5399658950724</v>
      </c>
      <c r="E292" s="451" t="n">
        <f aca="false">IF(AND(L291&lt;L_rampe,Poussee&lt;Poids*SIN(M291)),0,(-W291+Poussee)/m*SIN(M291)+U291/m*COS(M291)-Poids/m)</f>
        <v>30.3921614654645</v>
      </c>
      <c r="F292" s="449" t="n">
        <f aca="false">SQRT(acc_x^2+acc_z^2)</f>
        <v>31.8542685965635</v>
      </c>
      <c r="G292" s="450" t="n">
        <f aca="false">G291+acc_x*pas</f>
        <v>39.1002813528855</v>
      </c>
      <c r="H292" s="451" t="n">
        <f aca="false">H291+acc_z*pas</f>
        <v>164.673539813275</v>
      </c>
      <c r="I292" s="449" t="n">
        <f aca="false">SQRT(vit_x^2+vit_z^2)</f>
        <v>169.251903139991</v>
      </c>
      <c r="J292" s="450" t="n">
        <f aca="false">J291+0.5*(vit_x+G291)*pas*(K291&gt;=0)</f>
        <v>58.9522873388941</v>
      </c>
      <c r="K292" s="451" t="n">
        <f aca="false">K291+0.5*(vit_z+H291)*pas</f>
        <v>268.160402160416</v>
      </c>
      <c r="L292" s="449" t="n">
        <f aca="false">SQRT(pos_x^2+pos_z^2)</f>
        <v>274.563969721672</v>
      </c>
      <c r="M292" s="450" t="n">
        <f aca="false">IF(AND(L291&gt;L_rampe,G292&gt;0),ATAN2(G292,H292),$M$4)</f>
        <v>1.33767219619141</v>
      </c>
      <c r="N292" s="449" t="n">
        <f aca="false">DEGREES(Beta)</f>
        <v>76.6429712137639</v>
      </c>
      <c r="O292" s="438"/>
      <c r="P292" s="452" t="n">
        <f aca="false">MATCH(t-pas/2-T_ini,CdP_t)</f>
        <v>7</v>
      </c>
      <c r="Q292" s="449" t="n">
        <f aca="false">(INDEX(CdP,2,i_P+1)-INDEX(CdP,2,i_P+0))/(INDEX(CdP,1,i_P+1)-INDEX(CdP,1,i_P+0))*(t-pas/2-T_ini-INDEX(CdP,1,i_P+0))+INDEX(CdP,2,i_P+0)</f>
        <v>436.404255319153</v>
      </c>
      <c r="R292" s="450" t="n">
        <f aca="false">Poussee/(g*ISP)</f>
        <v>0.219010962919536</v>
      </c>
      <c r="S292" s="451" t="n">
        <f aca="false">S291-Débit*pas</f>
        <v>8.73010205782535</v>
      </c>
      <c r="T292" s="449" t="n">
        <f aca="false">m*g</f>
        <v>85.6423011872666</v>
      </c>
      <c r="U292" s="453" t="n">
        <f aca="false">IF(pos_xz&lt;L_rampe,Poids*COS(Beta),0)</f>
        <v>0</v>
      </c>
      <c r="V292" s="450" t="n">
        <f aca="false">Rho_moyen*(20000-Alt_rampe-pos_z)/(20000+Alt_rampe+pos_z)</f>
        <v>1.19258497208148</v>
      </c>
      <c r="W292" s="449" t="n">
        <f aca="false">1/2*Rho*Sref*Cx*vit_xz^2</f>
        <v>75.9613528796253</v>
      </c>
      <c r="X292" s="438"/>
      <c r="Y292" s="454" t="str">
        <f aca="false">IF(AND(pos_z&lt;=0,K291&gt;0),"Impact balistique","") &amp; IF(AND(H293&lt;0,vit_z&gt;=0),"Apogée","") &amp; IF(AND(Poussee=0,Q291&gt;0),"Fin de propulsion","") &amp; IF(AND(L293&gt;L_rampe,pos_xz&lt;=L_rampe),"Sortie de rampe","")</f>
        <v/>
      </c>
      <c r="Z292" s="455" t="str">
        <f aca="false">IF(ABS(t-T_para)&lt;pas/2,"Para","")</f>
        <v/>
      </c>
      <c r="AA292" s="456" t="str">
        <f aca="false">IF(ABS(t-T_satellite)&lt;pas/2,"Satellite","")</f>
        <v/>
      </c>
      <c r="AB292" s="444"/>
      <c r="AC292" s="452" t="e">
        <f aca="false">IF(ABS(t-ROUND(t,0))&lt;0.001,t,NA())</f>
        <v>#N/A</v>
      </c>
      <c r="AD292" s="457" t="e">
        <f aca="false">IF(ABS(t-ROUND(t,0))&lt;0.001,pos_x,NA())</f>
        <v>#N/A</v>
      </c>
      <c r="AE292" s="458" t="n">
        <f aca="false">IF(t&lt;T_para, pos_z, NA())</f>
        <v>268.160402160416</v>
      </c>
      <c r="AF292" s="444"/>
      <c r="AG292" s="450" t="n">
        <f aca="false">IF(AND(L291&lt;L_rampe,Poussee&lt;Poids*SIN(M291)),0,(-W291+Poussee)/m-Poids*SIN(M291)/m)</f>
        <v>31.7736392163846</v>
      </c>
      <c r="AH292" s="449" t="n">
        <f aca="false">IF(AND(L291&lt;L_rampe,Poussee&lt;Poids*SIN(M291)), g*SIN(M291), (-W291+Poussee)/m)</f>
        <v>41.3185761586048</v>
      </c>
    </row>
    <row r="293" customFormat="false" ht="12" hidden="false" customHeight="false" outlineLevel="0" collapsed="false">
      <c r="A293" s="448" t="n">
        <f aca="false">IF(B292+0.01&lt;=T_ini+ROUNDUP(Temps_fin_propu,0), 0.01, IF(K292&gt;0, 0.1, 0.0001))</f>
        <v>0.01</v>
      </c>
      <c r="B293" s="449" t="n">
        <f aca="false">B292+pas</f>
        <v>2.88999999999998</v>
      </c>
      <c r="C293" s="432"/>
      <c r="D293" s="450" t="n">
        <f aca="false">IF(AND(L292&lt;L_rampe,Poussee&lt;Poids*SIN(M292)),0,(-W292+Poussee)/m*COS(M292)-U292/m*SIN(M292))</f>
        <v>9.48645344170261</v>
      </c>
      <c r="E293" s="451" t="n">
        <f aca="false">IF(AND(L292&lt;L_rampe,Poussee&lt;Poids*SIN(M292)),0,(-W292+Poussee)/m*SIN(M292)+U292/m*COS(M292)-Poids/m)</f>
        <v>30.1428549275697</v>
      </c>
      <c r="F293" s="449" t="n">
        <f aca="false">SQRT(acc_x^2+acc_z^2)</f>
        <v>31.6003876888576</v>
      </c>
      <c r="G293" s="450" t="n">
        <f aca="false">G292+acc_x*pas</f>
        <v>39.1951458873025</v>
      </c>
      <c r="H293" s="451" t="n">
        <f aca="false">H292+acc_z*pas</f>
        <v>164.97496836255</v>
      </c>
      <c r="I293" s="449" t="n">
        <f aca="false">SQRT(vit_x^2+vit_z^2)</f>
        <v>169.567094824885</v>
      </c>
      <c r="J293" s="450" t="n">
        <f aca="false">J292+0.5*(vit_x+G292)*pas*(K292&gt;=0)</f>
        <v>59.343764475095</v>
      </c>
      <c r="K293" s="451" t="n">
        <f aca="false">K292+0.5*(vit_z+H292)*pas</f>
        <v>269.808644701295</v>
      </c>
      <c r="L293" s="449" t="n">
        <f aca="false">SQRT(pos_x^2+pos_z^2)</f>
        <v>276.257827287527</v>
      </c>
      <c r="M293" s="450" t="n">
        <f aca="false">IF(AND(L292&gt;L_rampe,G293&gt;0),ATAN2(G293,H293),$M$4)</f>
        <v>1.33753854471802</v>
      </c>
      <c r="N293" s="449" t="n">
        <f aca="false">DEGREES(Beta)</f>
        <v>76.6353135484129</v>
      </c>
      <c r="O293" s="438"/>
      <c r="P293" s="452" t="n">
        <f aca="false">MATCH(t-pas/2-T_ini,CdP_t)</f>
        <v>7</v>
      </c>
      <c r="Q293" s="449" t="n">
        <f aca="false">(INDEX(CdP,2,i_P+1)-INDEX(CdP,2,i_P+0))/(INDEX(CdP,1,i_P+1)-INDEX(CdP,1,i_P+0))*(t-pas/2-T_ini-INDEX(CdP,1,i_P+0))+INDEX(CdP,2,i_P+0)</f>
        <v>434.361702127663</v>
      </c>
      <c r="R293" s="450" t="n">
        <f aca="false">Poussee/(g*ISP)</f>
        <v>0.217985900638795</v>
      </c>
      <c r="S293" s="451" t="n">
        <f aca="false">S292-Débit*pas</f>
        <v>8.72792219881896</v>
      </c>
      <c r="T293" s="449" t="n">
        <f aca="false">m*g</f>
        <v>85.620916770414</v>
      </c>
      <c r="U293" s="453" t="n">
        <f aca="false">IF(pos_xz&lt;L_rampe,Poids*COS(Beta),0)</f>
        <v>0</v>
      </c>
      <c r="V293" s="450" t="n">
        <f aca="false">Rho_moyen*(20000-Alt_rampe-pos_z)/(20000+Alt_rampe+pos_z)</f>
        <v>1.19238838579559</v>
      </c>
      <c r="W293" s="449" t="n">
        <f aca="false">1/2*Rho*Sref*Cx*vit_xz^2</f>
        <v>76.2319682778677</v>
      </c>
      <c r="X293" s="438"/>
      <c r="Y293" s="454" t="str">
        <f aca="false">IF(AND(pos_z&lt;=0,K292&gt;0),"Impact balistique","") &amp; IF(AND(H294&lt;0,vit_z&gt;=0),"Apogée","") &amp; IF(AND(Poussee=0,Q292&gt;0),"Fin de propulsion","") &amp; IF(AND(L294&gt;L_rampe,pos_xz&lt;=L_rampe),"Sortie de rampe","")</f>
        <v/>
      </c>
      <c r="Z293" s="455" t="str">
        <f aca="false">IF(ABS(t-T_para)&lt;pas/2,"Para","")</f>
        <v/>
      </c>
      <c r="AA293" s="456" t="str">
        <f aca="false">IF(ABS(t-T_satellite)&lt;pas/2,"Satellite","")</f>
        <v/>
      </c>
      <c r="AB293" s="444"/>
      <c r="AC293" s="452" t="e">
        <f aca="false">IF(ABS(t-ROUND(t,0))&lt;0.001,t,NA())</f>
        <v>#N/A</v>
      </c>
      <c r="AD293" s="457" t="e">
        <f aca="false">IF(ABS(t-ROUND(t,0))&lt;0.001,pos_x,NA())</f>
        <v>#N/A</v>
      </c>
      <c r="AE293" s="458" t="n">
        <f aca="false">IF(t&lt;T_para, pos_z, NA())</f>
        <v>269.808644701295</v>
      </c>
      <c r="AF293" s="444"/>
      <c r="AG293" s="450" t="n">
        <f aca="false">IF(AND(L292&lt;L_rampe,Poussee&lt;Poids*SIN(M292)),0,(-W292+Poussee)/m-Poids*SIN(M292)/m)</f>
        <v>31.5190170428993</v>
      </c>
      <c r="AH293" s="449" t="n">
        <f aca="false">IF(AND(L292&lt;L_rampe,Poussee&lt;Poids*SIN(M292)), g*SIN(M292), (-W292+Poussee)/m)</f>
        <v>41.0636507846662</v>
      </c>
    </row>
    <row r="294" customFormat="false" ht="12" hidden="false" customHeight="false" outlineLevel="0" collapsed="false">
      <c r="A294" s="448" t="n">
        <f aca="false">IF(B293+0.01&lt;=T_ini+ROUNDUP(Temps_fin_propu,0), 0.01, IF(K293&gt;0, 0.1, 0.0001))</f>
        <v>0.01</v>
      </c>
      <c r="B294" s="449" t="n">
        <f aca="false">B293+pas</f>
        <v>2.89999999999998</v>
      </c>
      <c r="C294" s="432"/>
      <c r="D294" s="450" t="n">
        <f aca="false">IF(AND(L293&lt;L_rampe,Poussee&lt;Poids*SIN(M293)),0,(-W293+Poussee)/m*COS(M293)-U293/m*SIN(M293))</f>
        <v>9.43287653315092</v>
      </c>
      <c r="E294" s="451" t="n">
        <f aca="false">IF(AND(L293&lt;L_rampe,Poussee&lt;Poids*SIN(M293)),0,(-W293+Poussee)/m*SIN(M293)+U293/m*COS(M293)-Poids/m)</f>
        <v>29.8936028925346</v>
      </c>
      <c r="F294" s="449" t="n">
        <f aca="false">SQRT(acc_x^2+acc_z^2)</f>
        <v>31.3465572844327</v>
      </c>
      <c r="G294" s="450" t="n">
        <f aca="false">G293+acc_x*pas</f>
        <v>39.289474652634</v>
      </c>
      <c r="H294" s="451" t="n">
        <f aca="false">H293+acc_z*pas</f>
        <v>165.273904391476</v>
      </c>
      <c r="I294" s="449" t="n">
        <f aca="false">SQRT(vit_x^2+vit_z^2)</f>
        <v>169.879740673462</v>
      </c>
      <c r="J294" s="450" t="n">
        <f aca="false">J293+0.5*(vit_x+G293)*pas*(K293&gt;=0)</f>
        <v>59.7361875777947</v>
      </c>
      <c r="K294" s="451" t="n">
        <f aca="false">K293+0.5*(vit_z+H293)*pas</f>
        <v>271.459889065065</v>
      </c>
      <c r="L294" s="449" t="n">
        <f aca="false">SQRT(pos_x^2+pos_z^2)</f>
        <v>277.954822727627</v>
      </c>
      <c r="M294" s="450" t="n">
        <f aca="false">IF(AND(L293&gt;L_rampe,G294&gt;0),ATAN2(G294,H294),$M$4)</f>
        <v>1.33740506412573</v>
      </c>
      <c r="N294" s="449" t="n">
        <f aca="false">DEGREES(Beta)</f>
        <v>76.6276656738278</v>
      </c>
      <c r="O294" s="438"/>
      <c r="P294" s="452" t="n">
        <f aca="false">MATCH(t-pas/2-T_ini,CdP_t)</f>
        <v>7</v>
      </c>
      <c r="Q294" s="449" t="n">
        <f aca="false">(INDEX(CdP,2,i_P+1)-INDEX(CdP,2,i_P+0))/(INDEX(CdP,1,i_P+1)-INDEX(CdP,1,i_P+0))*(t-pas/2-T_ini-INDEX(CdP,1,i_P+0))+INDEX(CdP,2,i_P+0)</f>
        <v>432.319148936174</v>
      </c>
      <c r="R294" s="450" t="n">
        <f aca="false">Poussee/(g*ISP)</f>
        <v>0.216960838358054</v>
      </c>
      <c r="S294" s="451" t="n">
        <f aca="false">S293-Débit*pas</f>
        <v>8.72575259043538</v>
      </c>
      <c r="T294" s="449" t="n">
        <f aca="false">m*g</f>
        <v>85.5996329121711</v>
      </c>
      <c r="U294" s="453" t="n">
        <f aca="false">IF(pos_xz&lt;L_rampe,Poids*COS(Beta),0)</f>
        <v>0</v>
      </c>
      <c r="V294" s="450" t="n">
        <f aca="false">Rho_moyen*(20000-Alt_rampe-pos_z)/(20000+Alt_rampe+pos_z)</f>
        <v>1.19219147353723</v>
      </c>
      <c r="W294" s="449" t="n">
        <f aca="false">1/2*Rho*Sref*Cx*vit_xz^2</f>
        <v>76.5007031834986</v>
      </c>
      <c r="X294" s="438"/>
      <c r="Y294" s="454" t="str">
        <f aca="false">IF(AND(pos_z&lt;=0,K293&gt;0),"Impact balistique","") &amp; IF(AND(H295&lt;0,vit_z&gt;=0),"Apogée","") &amp; IF(AND(Poussee=0,Q293&gt;0),"Fin de propulsion","") &amp; IF(AND(L295&gt;L_rampe,pos_xz&lt;=L_rampe),"Sortie de rampe","")</f>
        <v/>
      </c>
      <c r="Z294" s="455" t="str">
        <f aca="false">IF(ABS(t-T_para)&lt;pas/2,"Para","")</f>
        <v/>
      </c>
      <c r="AA294" s="456" t="str">
        <f aca="false">IF(ABS(t-T_satellite)&lt;pas/2,"Satellite","")</f>
        <v/>
      </c>
      <c r="AB294" s="444"/>
      <c r="AC294" s="452" t="e">
        <f aca="false">IF(ABS(t-ROUND(t,0))&lt;0.001,t,NA())</f>
        <v>#N/A</v>
      </c>
      <c r="AD294" s="457" t="e">
        <f aca="false">IF(ABS(t-ROUND(t,0))&lt;0.001,pos_x,NA())</f>
        <v>#N/A</v>
      </c>
      <c r="AE294" s="458" t="n">
        <f aca="false">IF(t&lt;T_para, pos_z, NA())</f>
        <v>271.459889065065</v>
      </c>
      <c r="AF294" s="444"/>
      <c r="AG294" s="450" t="n">
        <f aca="false">IF(AND(L293&lt;L_rampe,Poussee&lt;Poids*SIN(M293)),0,(-W293+Poussee)/m-Poids*SIN(M293)/m)</f>
        <v>31.264433519765</v>
      </c>
      <c r="AH294" s="449" t="n">
        <f aca="false">IF(AND(L293&lt;L_rampe,Poussee&lt;Poids*SIN(M293)), g*SIN(M293), (-W293+Poussee)/m)</f>
        <v>40.8087642833956</v>
      </c>
    </row>
    <row r="295" customFormat="false" ht="12" hidden="false" customHeight="false" outlineLevel="0" collapsed="false">
      <c r="A295" s="448" t="n">
        <f aca="false">IF(B294+0.01&lt;=T_ini+ROUNDUP(Temps_fin_propu,0), 0.01, IF(K294&gt;0, 0.1, 0.0001))</f>
        <v>0.01</v>
      </c>
      <c r="B295" s="449" t="n">
        <f aca="false">B294+pas</f>
        <v>2.90999999999998</v>
      </c>
      <c r="C295" s="432"/>
      <c r="D295" s="450" t="n">
        <f aca="false">IF(AND(L294&lt;L_rampe,Poussee&lt;Poids*SIN(M294)),0,(-W294+Poussee)/m*COS(M294)-U294/m*SIN(M294))</f>
        <v>9.3792359392621</v>
      </c>
      <c r="E295" s="451" t="n">
        <f aca="false">IF(AND(L294&lt;L_rampe,Poussee&lt;Poids*SIN(M294)),0,(-W294+Poussee)/m*SIN(M294)+U294/m*COS(M294)-Poids/m)</f>
        <v>29.644407512338</v>
      </c>
      <c r="F295" s="449" t="n">
        <f aca="false">SQRT(acc_x^2+acc_z^2)</f>
        <v>31.0927799265666</v>
      </c>
      <c r="G295" s="450" t="n">
        <f aca="false">G294+acc_x*pas</f>
        <v>39.3832670120266</v>
      </c>
      <c r="H295" s="451" t="n">
        <f aca="false">H294+acc_z*pas</f>
        <v>165.570348466599</v>
      </c>
      <c r="I295" s="449" t="n">
        <f aca="false">SQRT(vit_x^2+vit_z^2)</f>
        <v>170.189841094854</v>
      </c>
      <c r="J295" s="450" t="n">
        <f aca="false">J294+0.5*(vit_x+G294)*pas*(K294&gt;=0)</f>
        <v>60.129551286118</v>
      </c>
      <c r="K295" s="451" t="n">
        <f aca="false">K294+0.5*(vit_z+H294)*pas</f>
        <v>273.114110329355</v>
      </c>
      <c r="L295" s="449" t="n">
        <f aca="false">SQRT(pos_x^2+pos_z^2)</f>
        <v>279.654930582075</v>
      </c>
      <c r="M295" s="450" t="n">
        <f aca="false">IF(AND(L294&gt;L_rampe,G295&gt;0),ATAN2(G295,H295),$M$4)</f>
        <v>1.33727175189109</v>
      </c>
      <c r="N295" s="449" t="n">
        <f aca="false">DEGREES(Beta)</f>
        <v>76.6200274454253</v>
      </c>
      <c r="O295" s="438"/>
      <c r="P295" s="452" t="n">
        <f aca="false">MATCH(t-pas/2-T_ini,CdP_t)</f>
        <v>7</v>
      </c>
      <c r="Q295" s="449" t="n">
        <f aca="false">(INDEX(CdP,2,i_P+1)-INDEX(CdP,2,i_P+0))/(INDEX(CdP,1,i_P+1)-INDEX(CdP,1,i_P+0))*(t-pas/2-T_ini-INDEX(CdP,1,i_P+0))+INDEX(CdP,2,i_P+0)</f>
        <v>430.276595744685</v>
      </c>
      <c r="R295" s="450" t="n">
        <f aca="false">Poussee/(g*ISP)</f>
        <v>0.215935776077313</v>
      </c>
      <c r="S295" s="451" t="n">
        <f aca="false">S294-Débit*pas</f>
        <v>8.7235932326746</v>
      </c>
      <c r="T295" s="449" t="n">
        <f aca="false">m*g</f>
        <v>85.5784496125379</v>
      </c>
      <c r="U295" s="453" t="n">
        <f aca="false">IF(pos_xz&lt;L_rampe,Poids*COS(Beta),0)</f>
        <v>0</v>
      </c>
      <c r="V295" s="450" t="n">
        <f aca="false">Rho_moyen*(20000-Alt_rampe-pos_z)/(20000+Alt_rampe+pos_z)</f>
        <v>1.1919942384448</v>
      </c>
      <c r="W295" s="449" t="n">
        <f aca="false">1/2*Rho*Sref*Cx*vit_xz^2</f>
        <v>76.7675461547323</v>
      </c>
      <c r="X295" s="438"/>
      <c r="Y295" s="454" t="str">
        <f aca="false">IF(AND(pos_z&lt;=0,K294&gt;0),"Impact balistique","") &amp; IF(AND(H296&lt;0,vit_z&gt;=0),"Apogée","") &amp; IF(AND(Poussee=0,Q294&gt;0),"Fin de propulsion","") &amp; IF(AND(L296&gt;L_rampe,pos_xz&lt;=L_rampe),"Sortie de rampe","")</f>
        <v/>
      </c>
      <c r="Z295" s="455" t="str">
        <f aca="false">IF(ABS(t-T_para)&lt;pas/2,"Para","")</f>
        <v/>
      </c>
      <c r="AA295" s="456" t="str">
        <f aca="false">IF(ABS(t-T_satellite)&lt;pas/2,"Satellite","")</f>
        <v/>
      </c>
      <c r="AB295" s="444"/>
      <c r="AC295" s="452" t="e">
        <f aca="false">IF(ABS(t-ROUND(t,0))&lt;0.001,t,NA())</f>
        <v>#N/A</v>
      </c>
      <c r="AD295" s="457" t="e">
        <f aca="false">IF(ABS(t-ROUND(t,0))&lt;0.001,pos_x,NA())</f>
        <v>#N/A</v>
      </c>
      <c r="AE295" s="458" t="n">
        <f aca="false">IF(t&lt;T_para, pos_z, NA())</f>
        <v>273.114110329355</v>
      </c>
      <c r="AF295" s="444"/>
      <c r="AG295" s="450" t="n">
        <f aca="false">IF(AND(L294&lt;L_rampe,Poussee&lt;Poids*SIN(M294)),0,(-W294+Poussee)/m-Poids*SIN(M294)/m)</f>
        <v>31.0098909072314</v>
      </c>
      <c r="AH295" s="449" t="n">
        <f aca="false">IF(AND(L294&lt;L_rampe,Poussee&lt;Poids*SIN(M294)), g*SIN(M294), (-W294+Poussee)/m)</f>
        <v>40.5539189099398</v>
      </c>
    </row>
    <row r="296" customFormat="false" ht="12" hidden="false" customHeight="false" outlineLevel="0" collapsed="false">
      <c r="A296" s="448" t="n">
        <f aca="false">IF(B295+0.01&lt;=T_ini+ROUNDUP(Temps_fin_propu,0), 0.01, IF(K295&gt;0, 0.1, 0.0001))</f>
        <v>0.01</v>
      </c>
      <c r="B296" s="449" t="n">
        <f aca="false">B295+pas</f>
        <v>2.91999999999998</v>
      </c>
      <c r="C296" s="432"/>
      <c r="D296" s="450" t="n">
        <f aca="false">IF(AND(L295&lt;L_rampe,Poussee&lt;Poids*SIN(M295)),0,(-W295+Poussee)/m*COS(M295)-U295/m*SIN(M295))</f>
        <v>9.32553242439212</v>
      </c>
      <c r="E296" s="451" t="n">
        <f aca="false">IF(AND(L295&lt;L_rampe,Poussee&lt;Poids*SIN(M295)),0,(-W295+Poussee)/m*SIN(M295)+U295/m*COS(M295)-Poids/m)</f>
        <v>29.3952709256361</v>
      </c>
      <c r="F296" s="449" t="n">
        <f aca="false">SQRT(acc_x^2+acc_z^2)</f>
        <v>30.8390581534186</v>
      </c>
      <c r="G296" s="450" t="n">
        <f aca="false">G295+acc_x*pas</f>
        <v>39.4765223362705</v>
      </c>
      <c r="H296" s="451" t="n">
        <f aca="false">H295+acc_z*pas</f>
        <v>165.864301175855</v>
      </c>
      <c r="I296" s="449" t="n">
        <f aca="false">SQRT(vit_x^2+vit_z^2)</f>
        <v>170.497396520653</v>
      </c>
      <c r="J296" s="450" t="n">
        <f aca="false">J295+0.5*(vit_x+G295)*pas*(K295&gt;=0)</f>
        <v>60.5238502328595</v>
      </c>
      <c r="K296" s="451" t="n">
        <f aca="false">K295+0.5*(vit_z+H295)*pas</f>
        <v>274.771283577567</v>
      </c>
      <c r="L296" s="449" t="n">
        <f aca="false">SQRT(pos_x^2+pos_z^2)</f>
        <v>281.358125395151</v>
      </c>
      <c r="M296" s="450" t="n">
        <f aca="false">IF(AND(L295&gt;L_rampe,G296&gt;0),ATAN2(G296,H296),$M$4)</f>
        <v>1.33713860551086</v>
      </c>
      <c r="N296" s="449" t="n">
        <f aca="false">DEGREES(Beta)</f>
        <v>76.6123987197807</v>
      </c>
      <c r="O296" s="438"/>
      <c r="P296" s="452" t="n">
        <f aca="false">MATCH(t-pas/2-T_ini,CdP_t)</f>
        <v>7</v>
      </c>
      <c r="Q296" s="449" t="n">
        <f aca="false">(INDEX(CdP,2,i_P+1)-INDEX(CdP,2,i_P+0))/(INDEX(CdP,1,i_P+1)-INDEX(CdP,1,i_P+0))*(t-pas/2-T_ini-INDEX(CdP,1,i_P+0))+INDEX(CdP,2,i_P+0)</f>
        <v>428.234042553195</v>
      </c>
      <c r="R296" s="450" t="n">
        <f aca="false">Poussee/(g*ISP)</f>
        <v>0.214910713796572</v>
      </c>
      <c r="S296" s="451" t="n">
        <f aca="false">S295-Débit*pas</f>
        <v>8.72144412553664</v>
      </c>
      <c r="T296" s="449" t="n">
        <f aca="false">m*g</f>
        <v>85.5573668715144</v>
      </c>
      <c r="U296" s="453" t="n">
        <f aca="false">IF(pos_xz&lt;L_rampe,Poids*COS(Beta),0)</f>
        <v>0</v>
      </c>
      <c r="V296" s="450" t="n">
        <f aca="false">Rho_moyen*(20000-Alt_rampe-pos_z)/(20000+Alt_rampe+pos_z)</f>
        <v>1.19179668365431</v>
      </c>
      <c r="W296" s="449" t="n">
        <f aca="false">1/2*Rho*Sref*Cx*vit_xz^2</f>
        <v>77.0324858896117</v>
      </c>
      <c r="X296" s="438"/>
      <c r="Y296" s="454" t="str">
        <f aca="false">IF(AND(pos_z&lt;=0,K295&gt;0),"Impact balistique","") &amp; IF(AND(H297&lt;0,vit_z&gt;=0),"Apogée","") &amp; IF(AND(Poussee=0,Q295&gt;0),"Fin de propulsion","") &amp; IF(AND(L297&gt;L_rampe,pos_xz&lt;=L_rampe),"Sortie de rampe","")</f>
        <v/>
      </c>
      <c r="Z296" s="455" t="str">
        <f aca="false">IF(ABS(t-T_para)&lt;pas/2,"Para","")</f>
        <v/>
      </c>
      <c r="AA296" s="456" t="str">
        <f aca="false">IF(ABS(t-T_satellite)&lt;pas/2,"Satellite","")</f>
        <v/>
      </c>
      <c r="AB296" s="444"/>
      <c r="AC296" s="452" t="e">
        <f aca="false">IF(ABS(t-ROUND(t,0))&lt;0.001,t,NA())</f>
        <v>#N/A</v>
      </c>
      <c r="AD296" s="457" t="e">
        <f aca="false">IF(ABS(t-ROUND(t,0))&lt;0.001,pos_x,NA())</f>
        <v>#N/A</v>
      </c>
      <c r="AE296" s="458" t="n">
        <f aca="false">IF(t&lt;T_para, pos_z, NA())</f>
        <v>274.771283577567</v>
      </c>
      <c r="AF296" s="444"/>
      <c r="AG296" s="450" t="n">
        <f aca="false">IF(AND(L295&lt;L_rampe,Poussee&lt;Poids*SIN(M295)),0,(-W295+Poussee)/m-Poids*SIN(M295)/m)</f>
        <v>30.7553914514177</v>
      </c>
      <c r="AH296" s="449" t="n">
        <f aca="false">IF(AND(L295&lt;L_rampe,Poussee&lt;Poids*SIN(M295)), g*SIN(M295), (-W295+Poussee)/m)</f>
        <v>40.2991169053482</v>
      </c>
    </row>
    <row r="297" customFormat="false" ht="12" hidden="false" customHeight="false" outlineLevel="0" collapsed="false">
      <c r="A297" s="448" t="n">
        <f aca="false">IF(B296+0.01&lt;=T_ini+ROUNDUP(Temps_fin_propu,0), 0.01, IF(K296&gt;0, 0.1, 0.0001))</f>
        <v>0.01</v>
      </c>
      <c r="B297" s="449" t="n">
        <f aca="false">B296+pas</f>
        <v>2.92999999999998</v>
      </c>
      <c r="C297" s="432"/>
      <c r="D297" s="450" t="n">
        <f aca="false">IF(AND(L296&lt;L_rampe,Poussee&lt;Poids*SIN(M296)),0,(-W296+Poussee)/m*COS(M296)-U296/m*SIN(M296))</f>
        <v>9.27176674742899</v>
      </c>
      <c r="E297" s="451" t="n">
        <f aca="false">IF(AND(L296&lt;L_rampe,Poussee&lt;Poids*SIN(M296)),0,(-W296+Poussee)/m*SIN(M296)+U296/m*COS(M296)-Poids/m)</f>
        <v>29.1461952577287</v>
      </c>
      <c r="F297" s="449" t="n">
        <f aca="false">SQRT(acc_x^2+acc_z^2)</f>
        <v>30.5853944983611</v>
      </c>
      <c r="G297" s="450" t="n">
        <f aca="false">G296+acc_x*pas</f>
        <v>39.5692400037448</v>
      </c>
      <c r="H297" s="451" t="n">
        <f aca="false">H296+acc_z*pas</f>
        <v>166.155763128433</v>
      </c>
      <c r="I297" s="449" t="n">
        <f aca="false">SQRT(vit_x^2+vit_z^2)</f>
        <v>170.802407404772</v>
      </c>
      <c r="J297" s="450" t="n">
        <f aca="false">J296+0.5*(vit_x+G296)*pas*(K296&gt;=0)</f>
        <v>60.9190790445596</v>
      </c>
      <c r="K297" s="451" t="n">
        <f aca="false">K296+0.5*(vit_z+H296)*pas</f>
        <v>276.431383899089</v>
      </c>
      <c r="L297" s="449" t="n">
        <f aca="false">SQRT(pos_x^2+pos_z^2)</f>
        <v>283.064381715543</v>
      </c>
      <c r="M297" s="450" t="n">
        <f aca="false">IF(AND(L296&gt;L_rampe,G297&gt;0),ATAN2(G297,H297),$M$4)</f>
        <v>1.3370056225017</v>
      </c>
      <c r="N297" s="449" t="n">
        <f aca="false">DEGREES(Beta)</f>
        <v>76.6047793546087</v>
      </c>
      <c r="O297" s="438"/>
      <c r="P297" s="452" t="n">
        <f aca="false">MATCH(t-pas/2-T_ini,CdP_t)</f>
        <v>7</v>
      </c>
      <c r="Q297" s="449" t="n">
        <f aca="false">(INDEX(CdP,2,i_P+1)-INDEX(CdP,2,i_P+0))/(INDEX(CdP,1,i_P+1)-INDEX(CdP,1,i_P+0))*(t-pas/2-T_ini-INDEX(CdP,1,i_P+0))+INDEX(CdP,2,i_P+0)</f>
        <v>426.191489361706</v>
      </c>
      <c r="R297" s="450" t="n">
        <f aca="false">Poussee/(g*ISP)</f>
        <v>0.213885651515832</v>
      </c>
      <c r="S297" s="451" t="n">
        <f aca="false">S296-Débit*pas</f>
        <v>8.71930526902148</v>
      </c>
      <c r="T297" s="449" t="n">
        <f aca="false">m*g</f>
        <v>85.5363846891007</v>
      </c>
      <c r="U297" s="453" t="n">
        <f aca="false">IF(pos_xz&lt;L_rampe,Poids*COS(Beta),0)</f>
        <v>0</v>
      </c>
      <c r="V297" s="450" t="n">
        <f aca="false">Rho_moyen*(20000-Alt_rampe-pos_z)/(20000+Alt_rampe+pos_z)</f>
        <v>1.19159881229936</v>
      </c>
      <c r="W297" s="449" t="n">
        <f aca="false">1/2*Rho*Sref*Cx*vit_xz^2</f>
        <v>77.2955112258829</v>
      </c>
      <c r="X297" s="438"/>
      <c r="Y297" s="454" t="str">
        <f aca="false">IF(AND(pos_z&lt;=0,K296&gt;0),"Impact balistique","") &amp; IF(AND(H298&lt;0,vit_z&gt;=0),"Apogée","") &amp; IF(AND(Poussee=0,Q296&gt;0),"Fin de propulsion","") &amp; IF(AND(L298&gt;L_rampe,pos_xz&lt;=L_rampe),"Sortie de rampe","")</f>
        <v/>
      </c>
      <c r="Z297" s="455" t="str">
        <f aca="false">IF(ABS(t-T_para)&lt;pas/2,"Para","")</f>
        <v/>
      </c>
      <c r="AA297" s="456" t="str">
        <f aca="false">IF(ABS(t-T_satellite)&lt;pas/2,"Satellite","")</f>
        <v/>
      </c>
      <c r="AB297" s="444"/>
      <c r="AC297" s="452" t="e">
        <f aca="false">IF(ABS(t-ROUND(t,0))&lt;0.001,t,NA())</f>
        <v>#N/A</v>
      </c>
      <c r="AD297" s="457" t="e">
        <f aca="false">IF(ABS(t-ROUND(t,0))&lt;0.001,pos_x,NA())</f>
        <v>#N/A</v>
      </c>
      <c r="AE297" s="458" t="n">
        <f aca="false">IF(t&lt;T_para, pos_z, NA())</f>
        <v>276.431383899089</v>
      </c>
      <c r="AF297" s="444"/>
      <c r="AG297" s="450" t="n">
        <f aca="false">IF(AND(L296&lt;L_rampe,Poussee&lt;Poids*SIN(M296)),0,(-W296+Poussee)/m-Poids*SIN(M296)/m)</f>
        <v>30.5009373842833</v>
      </c>
      <c r="AH297" s="449" t="n">
        <f aca="false">IF(AND(L296&lt;L_rampe,Poussee&lt;Poids*SIN(M296)), g*SIN(M296), (-W296+Poussee)/m)</f>
        <v>40.044360496542</v>
      </c>
    </row>
    <row r="298" customFormat="false" ht="12" hidden="false" customHeight="false" outlineLevel="0" collapsed="false">
      <c r="A298" s="448" t="n">
        <f aca="false">IF(B297+0.01&lt;=T_ini+ROUNDUP(Temps_fin_propu,0), 0.01, IF(K297&gt;0, 0.1, 0.0001))</f>
        <v>0.01</v>
      </c>
      <c r="B298" s="449" t="n">
        <f aca="false">B297+pas</f>
        <v>2.93999999999998</v>
      </c>
      <c r="C298" s="432"/>
      <c r="D298" s="450" t="n">
        <f aca="false">IF(AND(L297&lt;L_rampe,Poussee&lt;Poids*SIN(M297)),0,(-W297+Poussee)/m*COS(M297)-U297/m*SIN(M297))</f>
        <v>9.21793966181299</v>
      </c>
      <c r="E298" s="451" t="n">
        <f aca="false">IF(AND(L297&lt;L_rampe,Poussee&lt;Poids*SIN(M297)),0,(-W297+Poussee)/m*SIN(M297)+U297/m*COS(M297)-Poids/m)</f>
        <v>28.8971826205262</v>
      </c>
      <c r="F298" s="449" t="n">
        <f aca="false">SQRT(acc_x^2+acc_z^2)</f>
        <v>30.3317914903302</v>
      </c>
      <c r="G298" s="450" t="n">
        <f aca="false">G297+acc_x*pas</f>
        <v>39.661419400363</v>
      </c>
      <c r="H298" s="451" t="n">
        <f aca="false">H297+acc_z*pas</f>
        <v>166.444734954638</v>
      </c>
      <c r="I298" s="449" t="n">
        <f aca="false">SQRT(vit_x^2+vit_z^2)</f>
        <v>171.1048742233</v>
      </c>
      <c r="J298" s="450" t="n">
        <f aca="false">J297+0.5*(vit_x+G297)*pas*(K297&gt;=0)</f>
        <v>61.3152323415801</v>
      </c>
      <c r="K298" s="451" t="n">
        <f aca="false">K297+0.5*(vit_z+H297)*pas</f>
        <v>278.094386389504</v>
      </c>
      <c r="L298" s="449" t="n">
        <f aca="false">SQRT(pos_x^2+pos_z^2)</f>
        <v>284.773674096565</v>
      </c>
      <c r="M298" s="450" t="n">
        <f aca="false">IF(AND(L297&gt;L_rampe,G298&gt;0),ATAN2(G298,H298),$M$4)</f>
        <v>1.3368728003998</v>
      </c>
      <c r="N298" s="449" t="n">
        <f aca="false">DEGREES(Beta)</f>
        <v>76.597169208744</v>
      </c>
      <c r="O298" s="438"/>
      <c r="P298" s="452" t="n">
        <f aca="false">MATCH(t-pas/2-T_ini,CdP_t)</f>
        <v>7</v>
      </c>
      <c r="Q298" s="449" t="n">
        <f aca="false">(INDEX(CdP,2,i_P+1)-INDEX(CdP,2,i_P+0))/(INDEX(CdP,1,i_P+1)-INDEX(CdP,1,i_P+0))*(t-pas/2-T_ini-INDEX(CdP,1,i_P+0))+INDEX(CdP,2,i_P+0)</f>
        <v>424.148936170217</v>
      </c>
      <c r="R298" s="450" t="n">
        <f aca="false">Poussee/(g*ISP)</f>
        <v>0.212860589235091</v>
      </c>
      <c r="S298" s="451" t="n">
        <f aca="false">S297-Débit*pas</f>
        <v>8.71717666312913</v>
      </c>
      <c r="T298" s="449" t="n">
        <f aca="false">m*g</f>
        <v>85.5155030652968</v>
      </c>
      <c r="U298" s="453" t="n">
        <f aca="false">IF(pos_xz&lt;L_rampe,Poids*COS(Beta),0)</f>
        <v>0</v>
      </c>
      <c r="V298" s="450" t="n">
        <f aca="false">Rho_moyen*(20000-Alt_rampe-pos_z)/(20000+Alt_rampe+pos_z)</f>
        <v>1.19140062751106</v>
      </c>
      <c r="W298" s="449" t="n">
        <f aca="false">1/2*Rho*Sref*Cx*vit_xz^2</f>
        <v>77.5566111408633</v>
      </c>
      <c r="X298" s="438"/>
      <c r="Y298" s="454" t="str">
        <f aca="false">IF(AND(pos_z&lt;=0,K297&gt;0),"Impact balistique","") &amp; IF(AND(H299&lt;0,vit_z&gt;=0),"Apogée","") &amp; IF(AND(Poussee=0,Q297&gt;0),"Fin de propulsion","") &amp; IF(AND(L299&gt;L_rampe,pos_xz&lt;=L_rampe),"Sortie de rampe","")</f>
        <v/>
      </c>
      <c r="Z298" s="455" t="str">
        <f aca="false">IF(ABS(t-T_para)&lt;pas/2,"Para","")</f>
        <v/>
      </c>
      <c r="AA298" s="456" t="str">
        <f aca="false">IF(ABS(t-T_satellite)&lt;pas/2,"Satellite","")</f>
        <v/>
      </c>
      <c r="AB298" s="444"/>
      <c r="AC298" s="452" t="e">
        <f aca="false">IF(ABS(t-ROUND(t,0))&lt;0.001,t,NA())</f>
        <v>#N/A</v>
      </c>
      <c r="AD298" s="457" t="e">
        <f aca="false">IF(ABS(t-ROUND(t,0))&lt;0.001,pos_x,NA())</f>
        <v>#N/A</v>
      </c>
      <c r="AE298" s="458" t="n">
        <f aca="false">IF(t&lt;T_para, pos_z, NA())</f>
        <v>278.094386389504</v>
      </c>
      <c r="AF298" s="444"/>
      <c r="AG298" s="450" t="n">
        <f aca="false">IF(AND(L297&lt;L_rampe,Poussee&lt;Poids*SIN(M297)),0,(-W297+Poussee)/m-Poids*SIN(M297)/m)</f>
        <v>30.2465309235986</v>
      </c>
      <c r="AH298" s="449" t="n">
        <f aca="false">IF(AND(L297&lt;L_rampe,Poussee&lt;Poids*SIN(M297)), g*SIN(M297), (-W297+Poussee)/m)</f>
        <v>39.7896518962857</v>
      </c>
    </row>
    <row r="299" customFormat="false" ht="12" hidden="false" customHeight="false" outlineLevel="0" collapsed="false">
      <c r="A299" s="448" t="n">
        <f aca="false">IF(B298+0.01&lt;=T_ini+ROUNDUP(Temps_fin_propu,0), 0.01, IF(K298&gt;0, 0.1, 0.0001))</f>
        <v>0.01</v>
      </c>
      <c r="B299" s="449" t="n">
        <f aca="false">B298+pas</f>
        <v>2.94999999999998</v>
      </c>
      <c r="C299" s="432"/>
      <c r="D299" s="450" t="n">
        <f aca="false">IF(AND(L298&lt;L_rampe,Poussee&lt;Poids*SIN(M298)),0,(-W298+Poussee)/m*COS(M298)-U298/m*SIN(M298))</f>
        <v>9.16405191555665</v>
      </c>
      <c r="E299" s="451" t="n">
        <f aca="false">IF(AND(L298&lt;L_rampe,Poussee&lt;Poids*SIN(M298)),0,(-W298+Poussee)/m*SIN(M298)+U298/m*COS(M298)-Poids/m)</f>
        <v>28.6482351125187</v>
      </c>
      <c r="F299" s="449" t="n">
        <f aca="false">SQRT(acc_x^2+acc_z^2)</f>
        <v>30.0782516541964</v>
      </c>
      <c r="G299" s="450" t="n">
        <f aca="false">G298+acc_x*pas</f>
        <v>39.7530599195185</v>
      </c>
      <c r="H299" s="451" t="n">
        <f aca="false">H298+acc_z*pas</f>
        <v>166.731217305763</v>
      </c>
      <c r="I299" s="449" t="n">
        <f aca="false">SQRT(vit_x^2+vit_z^2)</f>
        <v>171.40479747436</v>
      </c>
      <c r="J299" s="450" t="n">
        <f aca="false">J298+0.5*(vit_x+G298)*pas*(K298&gt;=0)</f>
        <v>61.7123047381795</v>
      </c>
      <c r="K299" s="451" t="n">
        <f aca="false">K298+0.5*(vit_z+H298)*pas</f>
        <v>279.760266150806</v>
      </c>
      <c r="L299" s="449" t="n">
        <f aca="false">SQRT(pos_x^2+pos_z^2)</f>
        <v>286.48597709638</v>
      </c>
      <c r="M299" s="450" t="n">
        <f aca="false">IF(AND(L298&gt;L_rampe,G299&gt;0),ATAN2(G299,H299),$M$4)</f>
        <v>1.33674013676059</v>
      </c>
      <c r="N299" s="449" t="n">
        <f aca="false">DEGREES(Beta)</f>
        <v>76.589568142122</v>
      </c>
      <c r="O299" s="438"/>
      <c r="P299" s="452" t="n">
        <f aca="false">MATCH(t-pas/2-T_ini,CdP_t)</f>
        <v>7</v>
      </c>
      <c r="Q299" s="449" t="n">
        <f aca="false">(INDEX(CdP,2,i_P+1)-INDEX(CdP,2,i_P+0))/(INDEX(CdP,1,i_P+1)-INDEX(CdP,1,i_P+0))*(t-pas/2-T_ini-INDEX(CdP,1,i_P+0))+INDEX(CdP,2,i_P+0)</f>
        <v>422.106382978727</v>
      </c>
      <c r="R299" s="450" t="n">
        <f aca="false">Poussee/(g*ISP)</f>
        <v>0.21183552695435</v>
      </c>
      <c r="S299" s="451" t="n">
        <f aca="false">S298-Débit*pas</f>
        <v>8.71505830785959</v>
      </c>
      <c r="T299" s="449" t="n">
        <f aca="false">m*g</f>
        <v>85.4947220001026</v>
      </c>
      <c r="U299" s="453" t="n">
        <f aca="false">IF(pos_xz&lt;L_rampe,Poids*COS(Beta),0)</f>
        <v>0</v>
      </c>
      <c r="V299" s="450" t="n">
        <f aca="false">Rho_moyen*(20000-Alt_rampe-pos_z)/(20000+Alt_rampe+pos_z)</f>
        <v>1.19120213241803</v>
      </c>
      <c r="W299" s="449" t="n">
        <f aca="false">1/2*Rho*Sref*Cx*vit_xz^2</f>
        <v>77.8157747513014</v>
      </c>
      <c r="X299" s="438"/>
      <c r="Y299" s="454" t="str">
        <f aca="false">IF(AND(pos_z&lt;=0,K298&gt;0),"Impact balistique","") &amp; IF(AND(H300&lt;0,vit_z&gt;=0),"Apogée","") &amp; IF(AND(Poussee=0,Q298&gt;0),"Fin de propulsion","") &amp; IF(AND(L300&gt;L_rampe,pos_xz&lt;=L_rampe),"Sortie de rampe","")</f>
        <v/>
      </c>
      <c r="Z299" s="455" t="str">
        <f aca="false">IF(ABS(t-T_para)&lt;pas/2,"Para","")</f>
        <v/>
      </c>
      <c r="AA299" s="456" t="str">
        <f aca="false">IF(ABS(t-T_satellite)&lt;pas/2,"Satellite","")</f>
        <v/>
      </c>
      <c r="AB299" s="444"/>
      <c r="AC299" s="452" t="e">
        <f aca="false">IF(ABS(t-ROUND(t,0))&lt;0.001,t,NA())</f>
        <v>#N/A</v>
      </c>
      <c r="AD299" s="457" t="e">
        <f aca="false">IF(ABS(t-ROUND(t,0))&lt;0.001,pos_x,NA())</f>
        <v>#N/A</v>
      </c>
      <c r="AE299" s="458" t="n">
        <f aca="false">IF(t&lt;T_para, pos_z, NA())</f>
        <v>279.760266150806</v>
      </c>
      <c r="AF299" s="444"/>
      <c r="AG299" s="450" t="n">
        <f aca="false">IF(AND(L298&lt;L_rampe,Poussee&lt;Poids*SIN(M298)),0,(-W298+Poussee)/m-Poids*SIN(M298)/m)</f>
        <v>29.992174272918</v>
      </c>
      <c r="AH299" s="449" t="n">
        <f aca="false">IF(AND(L298&lt;L_rampe,Poussee&lt;Poids*SIN(M298)), g*SIN(M298), (-W298+Poussee)/m)</f>
        <v>39.5349933031584</v>
      </c>
    </row>
    <row r="300" customFormat="false" ht="12" hidden="false" customHeight="false" outlineLevel="0" collapsed="false">
      <c r="A300" s="448" t="n">
        <f aca="false">IF(B299+0.01&lt;=T_ini+ROUNDUP(Temps_fin_propu,0), 0.01, IF(K299&gt;0, 0.1, 0.0001))</f>
        <v>0.01</v>
      </c>
      <c r="B300" s="449" t="n">
        <f aca="false">B299+pas</f>
        <v>2.95999999999998</v>
      </c>
      <c r="C300" s="432"/>
      <c r="D300" s="450" t="n">
        <f aca="false">IF(AND(L299&lt;L_rampe,Poussee&lt;Poids*SIN(M299)),0,(-W299+Poussee)/m*COS(M299)-U299/m*SIN(M299))</f>
        <v>9.11010425126428</v>
      </c>
      <c r="E300" s="451" t="n">
        <f aca="false">IF(AND(L299&lt;L_rampe,Poussee&lt;Poids*SIN(M299)),0,(-W299+Poussee)/m*SIN(M299)+U299/m*COS(M299)-Poids/m)</f>
        <v>28.3993548187447</v>
      </c>
      <c r="F300" s="449" t="n">
        <f aca="false">SQRT(acc_x^2+acc_z^2)</f>
        <v>29.8247775111544</v>
      </c>
      <c r="G300" s="450" t="n">
        <f aca="false">G299+acc_x*pas</f>
        <v>39.8441609620312</v>
      </c>
      <c r="H300" s="451" t="n">
        <f aca="false">H299+acc_z*pas</f>
        <v>167.015210853951</v>
      </c>
      <c r="I300" s="449" t="n">
        <f aca="false">SQRT(vit_x^2+vit_z^2)</f>
        <v>171.702177677972</v>
      </c>
      <c r="J300" s="450" t="n">
        <f aca="false">J299+0.5*(vit_x+G299)*pas*(K299&gt;=0)</f>
        <v>62.1102908425873</v>
      </c>
      <c r="K300" s="451" t="n">
        <f aca="false">K299+0.5*(vit_z+H299)*pas</f>
        <v>281.428998291605</v>
      </c>
      <c r="L300" s="449" t="n">
        <f aca="false">SQRT(pos_x^2+pos_z^2)</f>
        <v>288.20126527822</v>
      </c>
      <c r="M300" s="450" t="n">
        <f aca="false">IF(AND(L299&gt;L_rampe,G300&gt;0),ATAN2(G300,H300),$M$4)</f>
        <v>1.33660762915835</v>
      </c>
      <c r="N300" s="449" t="n">
        <f aca="false">DEGREES(Beta)</f>
        <v>76.5819760157604</v>
      </c>
      <c r="O300" s="438"/>
      <c r="P300" s="452" t="n">
        <f aca="false">MATCH(t-pas/2-T_ini,CdP_t)</f>
        <v>7</v>
      </c>
      <c r="Q300" s="449" t="n">
        <f aca="false">(INDEX(CdP,2,i_P+1)-INDEX(CdP,2,i_P+0))/(INDEX(CdP,1,i_P+1)-INDEX(CdP,1,i_P+0))*(t-pas/2-T_ini-INDEX(CdP,1,i_P+0))+INDEX(CdP,2,i_P+0)</f>
        <v>420.063829787238</v>
      </c>
      <c r="R300" s="450" t="n">
        <f aca="false">Poussee/(g*ISP)</f>
        <v>0.210810464673609</v>
      </c>
      <c r="S300" s="451" t="n">
        <f aca="false">S299-Débit*pas</f>
        <v>8.71295020321285</v>
      </c>
      <c r="T300" s="449" t="n">
        <f aca="false">m*g</f>
        <v>85.4740414935181</v>
      </c>
      <c r="U300" s="453" t="n">
        <f aca="false">IF(pos_xz&lt;L_rampe,Poids*COS(Beta),0)</f>
        <v>0</v>
      </c>
      <c r="V300" s="450" t="n">
        <f aca="false">Rho_moyen*(20000-Alt_rampe-pos_z)/(20000+Alt_rampe+pos_z)</f>
        <v>1.19100333014639</v>
      </c>
      <c r="W300" s="449" t="n">
        <f aca="false">1/2*Rho*Sref*Cx*vit_xz^2</f>
        <v>78.0729913132302</v>
      </c>
      <c r="X300" s="438"/>
      <c r="Y300" s="454" t="str">
        <f aca="false">IF(AND(pos_z&lt;=0,K299&gt;0),"Impact balistique","") &amp; IF(AND(H301&lt;0,vit_z&gt;=0),"Apogée","") &amp; IF(AND(Poussee=0,Q299&gt;0),"Fin de propulsion","") &amp; IF(AND(L301&gt;L_rampe,pos_xz&lt;=L_rampe),"Sortie de rampe","")</f>
        <v/>
      </c>
      <c r="Z300" s="455" t="str">
        <f aca="false">IF(ABS(t-T_para)&lt;pas/2,"Para","")</f>
        <v/>
      </c>
      <c r="AA300" s="456" t="str">
        <f aca="false">IF(ABS(t-T_satellite)&lt;pas/2,"Satellite","")</f>
        <v/>
      </c>
      <c r="AB300" s="444"/>
      <c r="AC300" s="452" t="e">
        <f aca="false">IF(ABS(t-ROUND(t,0))&lt;0.001,t,NA())</f>
        <v>#N/A</v>
      </c>
      <c r="AD300" s="457" t="e">
        <f aca="false">IF(ABS(t-ROUND(t,0))&lt;0.001,pos_x,NA())</f>
        <v>#N/A</v>
      </c>
      <c r="AE300" s="458" t="n">
        <f aca="false">IF(t&lt;T_para, pos_z, NA())</f>
        <v>281.428998291605</v>
      </c>
      <c r="AF300" s="444"/>
      <c r="AG300" s="450" t="n">
        <f aca="false">IF(AND(L299&lt;L_rampe,Poussee&lt;Poids*SIN(M299)),0,(-W299+Poussee)/m-Poids*SIN(M299)/m)</f>
        <v>29.7378696215527</v>
      </c>
      <c r="AH300" s="449" t="n">
        <f aca="false">IF(AND(L299&lt;L_rampe,Poussee&lt;Poids*SIN(M299)), g*SIN(M299), (-W299+Poussee)/m)</f>
        <v>39.2803869015267</v>
      </c>
    </row>
    <row r="301" customFormat="false" ht="12" hidden="false" customHeight="false" outlineLevel="0" collapsed="false">
      <c r="A301" s="448" t="n">
        <f aca="false">IF(B300+0.01&lt;=T_ini+ROUNDUP(Temps_fin_propu,0), 0.01, IF(K300&gt;0, 0.1, 0.0001))</f>
        <v>0.01</v>
      </c>
      <c r="B301" s="449" t="n">
        <f aca="false">B300+pas</f>
        <v>2.96999999999998</v>
      </c>
      <c r="C301" s="432"/>
      <c r="D301" s="450" t="n">
        <f aca="false">IF(AND(L300&lt;L_rampe,Poussee&lt;Poids*SIN(M300)),0,(-W300+Poussee)/m*COS(M300)-U300/m*SIN(M300))</f>
        <v>9.05609740615121</v>
      </c>
      <c r="E301" s="451" t="n">
        <f aca="false">IF(AND(L300&lt;L_rampe,Poussee&lt;Poids*SIN(M300)),0,(-W300+Poussee)/m*SIN(M300)+U300/m*COS(M300)-Poids/m)</f>
        <v>28.1505438107626</v>
      </c>
      <c r="F301" s="449" t="n">
        <f aca="false">SQRT(acc_x^2+acc_z^2)</f>
        <v>29.5713715791365</v>
      </c>
      <c r="G301" s="450" t="n">
        <f aca="false">G300+acc_x*pas</f>
        <v>39.9347219360927</v>
      </c>
      <c r="H301" s="451" t="n">
        <f aca="false">H300+acc_z*pas</f>
        <v>167.296716292058</v>
      </c>
      <c r="I301" s="449" t="n">
        <f aca="false">SQRT(vit_x^2+vit_z^2)</f>
        <v>171.997015375902</v>
      </c>
      <c r="J301" s="450" t="n">
        <f aca="false">J300+0.5*(vit_x+G300)*pas*(K300&gt;=0)</f>
        <v>62.5091852570779</v>
      </c>
      <c r="K301" s="451" t="n">
        <f aca="false">K300+0.5*(vit_z+H300)*pas</f>
        <v>283.100557927335</v>
      </c>
      <c r="L301" s="449" t="n">
        <f aca="false">SQRT(pos_x^2+pos_z^2)</f>
        <v>289.919513210601</v>
      </c>
      <c r="M301" s="450" t="n">
        <f aca="false">IF(AND(L300&gt;L_rampe,G301&gt;0),ATAN2(G301,H301),$M$4)</f>
        <v>1.33647527518596</v>
      </c>
      <c r="N301" s="449" t="n">
        <f aca="false">DEGREES(Beta)</f>
        <v>76.5743926917407</v>
      </c>
      <c r="O301" s="438"/>
      <c r="P301" s="452" t="n">
        <f aca="false">MATCH(t-pas/2-T_ini,CdP_t)</f>
        <v>7</v>
      </c>
      <c r="Q301" s="449" t="n">
        <f aca="false">(INDEX(CdP,2,i_P+1)-INDEX(CdP,2,i_P+0))/(INDEX(CdP,1,i_P+1)-INDEX(CdP,1,i_P+0))*(t-pas/2-T_ini-INDEX(CdP,1,i_P+0))+INDEX(CdP,2,i_P+0)</f>
        <v>418.021276595749</v>
      </c>
      <c r="R301" s="450" t="n">
        <f aca="false">Poussee/(g*ISP)</f>
        <v>0.209785402392868</v>
      </c>
      <c r="S301" s="451" t="n">
        <f aca="false">S300-Débit*pas</f>
        <v>8.71085234918892</v>
      </c>
      <c r="T301" s="449" t="n">
        <f aca="false">m*g</f>
        <v>85.4534615455434</v>
      </c>
      <c r="U301" s="453" t="n">
        <f aca="false">IF(pos_xz&lt;L_rampe,Poids*COS(Beta),0)</f>
        <v>0</v>
      </c>
      <c r="V301" s="450" t="n">
        <f aca="false">Rho_moyen*(20000-Alt_rampe-pos_z)/(20000+Alt_rampe+pos_z)</f>
        <v>1.19080422381967</v>
      </c>
      <c r="W301" s="449" t="n">
        <f aca="false">1/2*Rho*Sref*Cx*vit_xz^2</f>
        <v>78.3282502218137</v>
      </c>
      <c r="X301" s="438"/>
      <c r="Y301" s="454" t="str">
        <f aca="false">IF(AND(pos_z&lt;=0,K300&gt;0),"Impact balistique","") &amp; IF(AND(H302&lt;0,vit_z&gt;=0),"Apogée","") &amp; IF(AND(Poussee=0,Q300&gt;0),"Fin de propulsion","") &amp; IF(AND(L302&gt;L_rampe,pos_xz&lt;=L_rampe),"Sortie de rampe","")</f>
        <v/>
      </c>
      <c r="Z301" s="455" t="str">
        <f aca="false">IF(ABS(t-T_para)&lt;pas/2,"Para","")</f>
        <v/>
      </c>
      <c r="AA301" s="456" t="str">
        <f aca="false">IF(ABS(t-T_satellite)&lt;pas/2,"Satellite","")</f>
        <v/>
      </c>
      <c r="AB301" s="444"/>
      <c r="AC301" s="452" t="e">
        <f aca="false">IF(ABS(t-ROUND(t,0))&lt;0.001,t,NA())</f>
        <v>#N/A</v>
      </c>
      <c r="AD301" s="457" t="e">
        <f aca="false">IF(ABS(t-ROUND(t,0))&lt;0.001,pos_x,NA())</f>
        <v>#N/A</v>
      </c>
      <c r="AE301" s="458" t="n">
        <f aca="false">IF(t&lt;T_para, pos_z, NA())</f>
        <v>283.100557927335</v>
      </c>
      <c r="AF301" s="444"/>
      <c r="AG301" s="450" t="n">
        <f aca="false">IF(AND(L300&lt;L_rampe,Poussee&lt;Poids*SIN(M300)),0,(-W300+Poussee)/m-Poids*SIN(M300)/m)</f>
        <v>29.4836191445455</v>
      </c>
      <c r="AH301" s="449" t="n">
        <f aca="false">IF(AND(L300&lt;L_rampe,Poussee&lt;Poids*SIN(M300)), g*SIN(M300), (-W300+Poussee)/m)</f>
        <v>39.0258348615186</v>
      </c>
    </row>
    <row r="302" customFormat="false" ht="12" hidden="false" customHeight="false" outlineLevel="0" collapsed="false">
      <c r="A302" s="448" t="n">
        <f aca="false">IF(B301+0.01&lt;=T_ini+ROUNDUP(Temps_fin_propu,0), 0.01, IF(K301&gt;0, 0.1, 0.0001))</f>
        <v>0.01</v>
      </c>
      <c r="B302" s="449" t="n">
        <f aca="false">B301+pas</f>
        <v>2.97999999999998</v>
      </c>
      <c r="C302" s="432"/>
      <c r="D302" s="450" t="n">
        <f aca="false">IF(AND(L301&lt;L_rampe,Poussee&lt;Poids*SIN(M301)),0,(-W301+Poussee)/m*COS(M301)-U301/m*SIN(M301))</f>
        <v>8.91796409706494</v>
      </c>
      <c r="E302" s="451" t="n">
        <f aca="false">IF(AND(L301&lt;L_rampe,Poussee&lt;Poids*SIN(M301)),0,(-W301+Poussee)/m*SIN(M301)+U301/m*COS(M301)-Poids/m)</f>
        <v>27.5496218307714</v>
      </c>
      <c r="F302" s="449" t="n">
        <f aca="false">SQRT(acc_x^2+acc_z^2)</f>
        <v>28.9570673006618</v>
      </c>
      <c r="G302" s="450" t="n">
        <f aca="false">G301+acc_x*pas</f>
        <v>40.0239015770633</v>
      </c>
      <c r="H302" s="451" t="n">
        <f aca="false">H301+acc_z*pas</f>
        <v>167.572212510366</v>
      </c>
      <c r="I302" s="449" t="n">
        <f aca="false">SQRT(vit_x^2+vit_z^2)</f>
        <v>172.285690360719</v>
      </c>
      <c r="J302" s="450" t="n">
        <f aca="false">J301+0.5*(vit_x+G301)*pas*(K301&gt;=0)</f>
        <v>62.9089783746437</v>
      </c>
      <c r="K302" s="451" t="n">
        <f aca="false">K301+0.5*(vit_z+H301)*pas</f>
        <v>284.774902571347</v>
      </c>
      <c r="L302" s="449" t="n">
        <f aca="false">SQRT(pos_x^2+pos_z^2)</f>
        <v>291.640677366278</v>
      </c>
      <c r="M302" s="450" t="n">
        <f aca="false">IF(AND(L301&gt;L_rampe,G302&gt;0),ATAN2(G302,H302),$M$4)</f>
        <v>1.33634306967616</v>
      </c>
      <c r="N302" s="449" t="n">
        <f aca="false">DEGREES(Beta)</f>
        <v>76.5668178740006</v>
      </c>
      <c r="O302" s="438"/>
      <c r="P302" s="452" t="n">
        <f aca="false">MATCH(t-pas/2-T_ini,CdP_t)</f>
        <v>8</v>
      </c>
      <c r="Q302" s="449" t="n">
        <f aca="false">(INDEX(CdP,2,i_P+1)-INDEX(CdP,2,i_P+0))/(INDEX(CdP,1,i_P+1)-INDEX(CdP,1,i_P+0))*(t-pas/2-T_ini-INDEX(CdP,1,i_P+0))+INDEX(CdP,2,i_P+0)</f>
        <v>412.826086956538</v>
      </c>
      <c r="R302" s="450" t="n">
        <f aca="false">Poussee/(g*ISP)</f>
        <v>0.207178178765773</v>
      </c>
      <c r="S302" s="451" t="n">
        <f aca="false">S301-Débit*pas</f>
        <v>8.70878056740127</v>
      </c>
      <c r="T302" s="449" t="n">
        <f aca="false">m*g</f>
        <v>85.4331373662064</v>
      </c>
      <c r="U302" s="453" t="n">
        <f aca="false">IF(pos_xz&lt;L_rampe,Poids*COS(Beta),0)</f>
        <v>0</v>
      </c>
      <c r="V302" s="450" t="n">
        <f aca="false">Rho_moyen*(20000-Alt_rampe-pos_z)/(20000+Alt_rampe+pos_z)</f>
        <v>1.19060481865582</v>
      </c>
      <c r="W302" s="449" t="n">
        <f aca="false">1/2*Rho*Sref*Cx*vit_xz^2</f>
        <v>78.578238300925</v>
      </c>
      <c r="X302" s="438"/>
      <c r="Y302" s="454" t="str">
        <f aca="false">IF(AND(pos_z&lt;=0,K301&gt;0),"Impact balistique","") &amp; IF(AND(H303&lt;0,vit_z&gt;=0),"Apogée","") &amp; IF(AND(Poussee=0,Q301&gt;0),"Fin de propulsion","") &amp; IF(AND(L303&gt;L_rampe,pos_xz&lt;=L_rampe),"Sortie de rampe","")</f>
        <v/>
      </c>
      <c r="Z302" s="455" t="str">
        <f aca="false">IF(ABS(t-T_para)&lt;pas/2,"Para","")</f>
        <v/>
      </c>
      <c r="AA302" s="456" t="str">
        <f aca="false">IF(ABS(t-T_satellite)&lt;pas/2,"Satellite","")</f>
        <v/>
      </c>
      <c r="AB302" s="444"/>
      <c r="AC302" s="452" t="e">
        <f aca="false">IF(ABS(t-ROUND(t,0))&lt;0.001,t,NA())</f>
        <v>#N/A</v>
      </c>
      <c r="AD302" s="457" t="e">
        <f aca="false">IF(ABS(t-ROUND(t,0))&lt;0.001,pos_x,NA())</f>
        <v>#N/A</v>
      </c>
      <c r="AE302" s="458" t="n">
        <f aca="false">IF(t&lt;T_para, pos_z, NA())</f>
        <v>284.774902571347</v>
      </c>
      <c r="AF302" s="444"/>
      <c r="AG302" s="450" t="n">
        <f aca="false">IF(AND(L301&lt;L_rampe,Poussee&lt;Poids*SIN(M301)),0,(-W301+Poussee)/m-Poids*SIN(M301)/m)</f>
        <v>28.8673479186665</v>
      </c>
      <c r="AH302" s="449" t="n">
        <f aca="false">IF(AND(L301&lt;L_rampe,Poussee&lt;Poids*SIN(M301)), g*SIN(M301), (-W301+Poussee)/m)</f>
        <v>38.4092622550186</v>
      </c>
    </row>
    <row r="303" customFormat="false" ht="12" hidden="false" customHeight="false" outlineLevel="0" collapsed="false">
      <c r="A303" s="448" t="n">
        <f aca="false">IF(B302+0.01&lt;=T_ini+ROUNDUP(Temps_fin_propu,0), 0.01, IF(K302&gt;0, 0.1, 0.0001))</f>
        <v>0.01</v>
      </c>
      <c r="B303" s="449" t="n">
        <f aca="false">B302+pas</f>
        <v>2.98999999999998</v>
      </c>
      <c r="C303" s="432"/>
      <c r="D303" s="450" t="n">
        <f aca="false">IF(AND(L302&lt;L_rampe,Poussee&lt;Poids*SIN(M302)),0,(-W302+Poussee)/m*COS(M302)-U302/m*SIN(M302))</f>
        <v>8.69557882859906</v>
      </c>
      <c r="E303" s="451" t="n">
        <f aca="false">IF(AND(L302&lt;L_rampe,Poussee&lt;Poids*SIN(M302)),0,(-W302+Poussee)/m*SIN(M302)+U302/m*COS(M302)-Poids/m)</f>
        <v>26.596680157381</v>
      </c>
      <c r="F303" s="449" t="n">
        <f aca="false">SQRT(acc_x^2+acc_z^2)</f>
        <v>27.9820743791164</v>
      </c>
      <c r="G303" s="450" t="n">
        <f aca="false">G302+acc_x*pas</f>
        <v>40.1108573653493</v>
      </c>
      <c r="H303" s="451" t="n">
        <f aca="false">H302+acc_z*pas</f>
        <v>167.83817931194</v>
      </c>
      <c r="I303" s="449" t="n">
        <f aca="false">SQRT(vit_x^2+vit_z^2)</f>
        <v>172.564583021344</v>
      </c>
      <c r="J303" s="450" t="n">
        <f aca="false">J302+0.5*(vit_x+G302)*pas*(K302&gt;=0)</f>
        <v>63.3096521693557</v>
      </c>
      <c r="K303" s="451" t="n">
        <f aca="false">K302+0.5*(vit_z+H302)*pas</f>
        <v>286.451954530458</v>
      </c>
      <c r="L303" s="449" t="n">
        <f aca="false">SQRT(pos_x^2+pos_z^2)</f>
        <v>293.364678023999</v>
      </c>
      <c r="M303" s="450" t="n">
        <f aca="false">IF(AND(L302&gt;L_rampe,G303&gt;0),ATAN2(G303,H303),$M$4)</f>
        <v>1.33621100473059</v>
      </c>
      <c r="N303" s="449" t="n">
        <f aca="false">DEGREES(Beta)</f>
        <v>76.559251109998</v>
      </c>
      <c r="O303" s="438"/>
      <c r="P303" s="452" t="n">
        <f aca="false">MATCH(t-pas/2-T_ini,CdP_t)</f>
        <v>8</v>
      </c>
      <c r="Q303" s="449" t="n">
        <f aca="false">(INDEX(CdP,2,i_P+1)-INDEX(CdP,2,i_P+0))/(INDEX(CdP,1,i_P+1)-INDEX(CdP,1,i_P+0))*(t-pas/2-T_ini-INDEX(CdP,1,i_P+0))+INDEX(CdP,2,i_P+0)</f>
        <v>404.478260869582</v>
      </c>
      <c r="R303" s="450" t="n">
        <f aca="false">Poussee/(g*ISP)</f>
        <v>0.20298879379231</v>
      </c>
      <c r="S303" s="451" t="n">
        <f aca="false">S302-Débit*pas</f>
        <v>8.70675067946334</v>
      </c>
      <c r="T303" s="449" t="n">
        <f aca="false">m*g</f>
        <v>85.4132241655354</v>
      </c>
      <c r="U303" s="453" t="n">
        <f aca="false">IF(pos_xz&lt;L_rampe,Poids*COS(Beta),0)</f>
        <v>0</v>
      </c>
      <c r="V303" s="450" t="n">
        <f aca="false">Rho_moyen*(20000-Alt_rampe-pos_z)/(20000+Alt_rampe+pos_z)</f>
        <v>1.19040512406149</v>
      </c>
      <c r="W303" s="449" t="n">
        <f aca="false">1/2*Rho*Sref*Cx*vit_xz^2</f>
        <v>78.8196237348296</v>
      </c>
      <c r="X303" s="438"/>
      <c r="Y303" s="454" t="str">
        <f aca="false">IF(AND(pos_z&lt;=0,K302&gt;0),"Impact balistique","") &amp; IF(AND(H304&lt;0,vit_z&gt;=0),"Apogée","") &amp; IF(AND(Poussee=0,Q302&gt;0),"Fin de propulsion","") &amp; IF(AND(L304&gt;L_rampe,pos_xz&lt;=L_rampe),"Sortie de rampe","")</f>
        <v/>
      </c>
      <c r="Z303" s="455" t="str">
        <f aca="false">IF(ABS(t-T_para)&lt;pas/2,"Para","")</f>
        <v/>
      </c>
      <c r="AA303" s="456" t="str">
        <f aca="false">IF(ABS(t-T_satellite)&lt;pas/2,"Satellite","")</f>
        <v/>
      </c>
      <c r="AB303" s="444"/>
      <c r="AC303" s="452" t="e">
        <f aca="false">IF(ABS(t-ROUND(t,0))&lt;0.001,t,NA())</f>
        <v>#N/A</v>
      </c>
      <c r="AD303" s="457" t="e">
        <f aca="false">IF(ABS(t-ROUND(t,0))&lt;0.001,pos_x,NA())</f>
        <v>#N/A</v>
      </c>
      <c r="AE303" s="458" t="n">
        <f aca="false">IF(t&lt;T_para, pos_z, NA())</f>
        <v>286.451954530458</v>
      </c>
      <c r="AF303" s="444"/>
      <c r="AG303" s="450" t="n">
        <f aca="false">IF(AND(L302&lt;L_rampe,Poussee&lt;Poids*SIN(M302)),0,(-W302+Poussee)/m-Poids*SIN(M302)/m)</f>
        <v>27.8891155761931</v>
      </c>
      <c r="AH303" s="449" t="n">
        <f aca="false">IF(AND(L302&lt;L_rampe,Poussee&lt;Poids*SIN(M302)), g*SIN(M302), (-W302+Poussee)/m)</f>
        <v>37.4307287031153</v>
      </c>
    </row>
    <row r="304" customFormat="false" ht="12" hidden="false" customHeight="false" outlineLevel="0" collapsed="false">
      <c r="A304" s="448" t="n">
        <f aca="false">IF(B303+0.01&lt;=T_ini+ROUNDUP(Temps_fin_propu,0), 0.01, IF(K303&gt;0, 0.1, 0.0001))</f>
        <v>0.01</v>
      </c>
      <c r="B304" s="449" t="n">
        <f aca="false">B303+pas</f>
        <v>2.99999999999998</v>
      </c>
      <c r="C304" s="432"/>
      <c r="D304" s="450" t="n">
        <f aca="false">IF(AND(L303&lt;L_rampe,Poussee&lt;Poids*SIN(M303)),0,(-W303+Poussee)/m*COS(M303)-U303/m*SIN(M303))</f>
        <v>8.47301962350053</v>
      </c>
      <c r="E304" s="451" t="n">
        <f aca="false">IF(AND(L303&lt;L_rampe,Poussee&lt;Poids*SIN(M303)),0,(-W303+Poussee)/m*SIN(M303)+U303/m*COS(M303)-Poids/m)</f>
        <v>25.6441458420975</v>
      </c>
      <c r="F304" s="449" t="n">
        <f aca="false">SQRT(acc_x^2+acc_z^2)</f>
        <v>27.0076707161316</v>
      </c>
      <c r="G304" s="450" t="n">
        <f aca="false">G303+acc_x*pas</f>
        <v>40.1955875615843</v>
      </c>
      <c r="H304" s="451" t="n">
        <f aca="false">H303+acc_z*pas</f>
        <v>168.094620770361</v>
      </c>
      <c r="I304" s="449" t="n">
        <f aca="false">SQRT(vit_x^2+vit_z^2)</f>
        <v>172.83369692092</v>
      </c>
      <c r="J304" s="450" t="n">
        <f aca="false">J303+0.5*(vit_x+G303)*pas*(K303&gt;=0)</f>
        <v>63.7111843939904</v>
      </c>
      <c r="K304" s="451" t="n">
        <f aca="false">K303+0.5*(vit_z+H303)*pas</f>
        <v>288.13161853087</v>
      </c>
      <c r="L304" s="449" t="n">
        <f aca="false">SQRT(pos_x^2+pos_z^2)</f>
        <v>295.091417384687</v>
      </c>
      <c r="M304" s="450" t="n">
        <f aca="false">IF(AND(L303&gt;L_rampe,G304&gt;0),ATAN2(G304,H304),$M$4)</f>
        <v>1.33607907251137</v>
      </c>
      <c r="N304" s="449" t="n">
        <f aca="false">DEGREES(Beta)</f>
        <v>76.551691950655</v>
      </c>
      <c r="O304" s="438"/>
      <c r="P304" s="452" t="n">
        <f aca="false">MATCH(t-pas/2-T_ini,CdP_t)</f>
        <v>8</v>
      </c>
      <c r="Q304" s="449" t="n">
        <f aca="false">(INDEX(CdP,2,i_P+1)-INDEX(CdP,2,i_P+0))/(INDEX(CdP,1,i_P+1)-INDEX(CdP,1,i_P+0))*(t-pas/2-T_ini-INDEX(CdP,1,i_P+0))+INDEX(CdP,2,i_P+0)</f>
        <v>396.130434782625</v>
      </c>
      <c r="R304" s="450" t="n">
        <f aca="false">Poussee/(g*ISP)</f>
        <v>0.198799408818848</v>
      </c>
      <c r="S304" s="451" t="n">
        <f aca="false">S303-Débit*pas</f>
        <v>8.70476268537516</v>
      </c>
      <c r="T304" s="449" t="n">
        <f aca="false">m*g</f>
        <v>85.3937219435303</v>
      </c>
      <c r="U304" s="453" t="n">
        <f aca="false">IF(pos_xz&lt;L_rampe,Poids*COS(Beta),0)</f>
        <v>0</v>
      </c>
      <c r="V304" s="450" t="n">
        <f aca="false">Rho_moyen*(20000-Alt_rampe-pos_z)/(20000+Alt_rampe+pos_z)</f>
        <v>1.19020515153027</v>
      </c>
      <c r="W304" s="449" t="n">
        <f aca="false">1/2*Rho*Sref*Cx*vit_xz^2</f>
        <v>79.0523713161055</v>
      </c>
      <c r="X304" s="438"/>
      <c r="Y304" s="454" t="str">
        <f aca="false">IF(AND(pos_z&lt;=0,K303&gt;0),"Impact balistique","") &amp; IF(AND(H305&lt;0,vit_z&gt;=0),"Apogée","") &amp; IF(AND(Poussee=0,Q303&gt;0),"Fin de propulsion","") &amp; IF(AND(L305&gt;L_rampe,pos_xz&lt;=L_rampe),"Sortie de rampe","")</f>
        <v/>
      </c>
      <c r="Z304" s="455" t="str">
        <f aca="false">IF(ABS(t-T_para)&lt;pas/2,"Para","")</f>
        <v/>
      </c>
      <c r="AA304" s="456" t="str">
        <f aca="false">IF(ABS(t-T_satellite)&lt;pas/2,"Satellite","")</f>
        <v/>
      </c>
      <c r="AB304" s="444"/>
      <c r="AC304" s="452" t="n">
        <f aca="false">IF(ABS(t-ROUND(t,0))&lt;0.001,t,NA())</f>
        <v>2.99999999999998</v>
      </c>
      <c r="AD304" s="457" t="n">
        <f aca="false">IF(ABS(t-ROUND(t,0))&lt;0.001,pos_x,NA())</f>
        <v>63.7111843939904</v>
      </c>
      <c r="AE304" s="458" t="n">
        <f aca="false">IF(t&lt;T_para, pos_z, NA())</f>
        <v>288.13161853087</v>
      </c>
      <c r="AF304" s="444"/>
      <c r="AG304" s="450" t="n">
        <f aca="false">IF(AND(L303&lt;L_rampe,Poussee&lt;Poids*SIN(M303)),0,(-W303+Poussee)/m-Poids*SIN(M303)/m)</f>
        <v>26.9112395394897</v>
      </c>
      <c r="AH304" s="449" t="n">
        <f aca="false">IF(AND(L303&lt;L_rampe,Poussee&lt;Poids*SIN(M303)), g*SIN(M303), (-W303+Poussee)/m)</f>
        <v>36.4525516107302</v>
      </c>
    </row>
    <row r="305" customFormat="false" ht="12" hidden="false" customHeight="false" outlineLevel="0" collapsed="false">
      <c r="A305" s="448" t="n">
        <f aca="false">IF(B304+0.01&lt;=T_ini+ROUNDUP(Temps_fin_propu,0), 0.01, IF(K304&gt;0, 0.1, 0.0001))</f>
        <v>0.01</v>
      </c>
      <c r="B305" s="449" t="n">
        <f aca="false">B304+pas</f>
        <v>3.00999999999998</v>
      </c>
      <c r="C305" s="432"/>
      <c r="D305" s="450" t="n">
        <f aca="false">IF(AND(L304&lt;L_rampe,Poussee&lt;Poids*SIN(M304)),0,(-W304+Poussee)/m*COS(M304)-U304/m*SIN(M304))</f>
        <v>8.25029158604253</v>
      </c>
      <c r="E305" s="451" t="n">
        <f aca="false">IF(AND(L304&lt;L_rampe,Poussee&lt;Poids*SIN(M304)),0,(-W304+Poussee)/m*SIN(M304)+U304/m*COS(M304)-Poids/m)</f>
        <v>24.6920366545441</v>
      </c>
      <c r="F305" s="449" t="n">
        <f aca="false">SQRT(acc_x^2+acc_z^2)</f>
        <v>26.0339006951335</v>
      </c>
      <c r="G305" s="450" t="n">
        <f aca="false">G304+acc_x*pas</f>
        <v>40.2780904774447</v>
      </c>
      <c r="H305" s="451" t="n">
        <f aca="false">H304+acc_z*pas</f>
        <v>168.341541136906</v>
      </c>
      <c r="I305" s="449" t="n">
        <f aca="false">SQRT(vit_x^2+vit_z^2)</f>
        <v>173.093035806926</v>
      </c>
      <c r="J305" s="450" t="n">
        <f aca="false">J304+0.5*(vit_x+G304)*pas*(K304&gt;=0)</f>
        <v>64.1135527841856</v>
      </c>
      <c r="K305" s="451" t="n">
        <f aca="false">K304+0.5*(vit_z+H304)*pas</f>
        <v>289.813799340406</v>
      </c>
      <c r="L305" s="449" t="n">
        <f aca="false">SQRT(pos_x^2+pos_z^2)</f>
        <v>296.820797685627</v>
      </c>
      <c r="M305" s="450" t="n">
        <f aca="false">IF(AND(L304&gt;L_rampe,G305&gt;0),ATAN2(G305,H305),$M$4)</f>
        <v>1.33594726523819</v>
      </c>
      <c r="N305" s="449" t="n">
        <f aca="false">DEGREES(Beta)</f>
        <v>76.5441399501924</v>
      </c>
      <c r="O305" s="438"/>
      <c r="P305" s="452" t="n">
        <f aca="false">MATCH(t-pas/2-T_ini,CdP_t)</f>
        <v>8</v>
      </c>
      <c r="Q305" s="449" t="n">
        <f aca="false">(INDEX(CdP,2,i_P+1)-INDEX(CdP,2,i_P+0))/(INDEX(CdP,1,i_P+1)-INDEX(CdP,1,i_P+0))*(t-pas/2-T_ini-INDEX(CdP,1,i_P+0))+INDEX(CdP,2,i_P+0)</f>
        <v>387.782608695669</v>
      </c>
      <c r="R305" s="450" t="n">
        <f aca="false">Poussee/(g*ISP)</f>
        <v>0.194610023845386</v>
      </c>
      <c r="S305" s="451" t="n">
        <f aca="false">S304-Débit*pas</f>
        <v>8.7028165851367</v>
      </c>
      <c r="T305" s="449" t="n">
        <f aca="false">m*g</f>
        <v>85.374630700191</v>
      </c>
      <c r="U305" s="453" t="n">
        <f aca="false">IF(pos_xz&lt;L_rampe,Poids*COS(Beta),0)</f>
        <v>0</v>
      </c>
      <c r="V305" s="450" t="n">
        <f aca="false">Rho_moyen*(20000-Alt_rampe-pos_z)/(20000+Alt_rampe+pos_z)</f>
        <v>1.1900049125435</v>
      </c>
      <c r="W305" s="449" t="n">
        <f aca="false">1/2*Rho*Sref*Cx*vit_xz^2</f>
        <v>79.2764475926679</v>
      </c>
      <c r="X305" s="438"/>
      <c r="Y305" s="454" t="str">
        <f aca="false">IF(AND(pos_z&lt;=0,K304&gt;0),"Impact balistique","") &amp; IF(AND(H306&lt;0,vit_z&gt;=0),"Apogée","") &amp; IF(AND(Poussee=0,Q304&gt;0),"Fin de propulsion","") &amp; IF(AND(L306&gt;L_rampe,pos_xz&lt;=L_rampe),"Sortie de rampe","")</f>
        <v/>
      </c>
      <c r="Z305" s="455" t="str">
        <f aca="false">IF(ABS(t-T_para)&lt;pas/2,"Para","")</f>
        <v/>
      </c>
      <c r="AA305" s="456" t="str">
        <f aca="false">IF(ABS(t-T_satellite)&lt;pas/2,"Satellite","")</f>
        <v/>
      </c>
      <c r="AB305" s="444"/>
      <c r="AC305" s="452" t="e">
        <f aca="false">IF(ABS(t-ROUND(t,0))&lt;0.001,t,NA())</f>
        <v>#N/A</v>
      </c>
      <c r="AD305" s="457" t="e">
        <f aca="false">IF(ABS(t-ROUND(t,0))&lt;0.001,pos_x,NA())</f>
        <v>#N/A</v>
      </c>
      <c r="AE305" s="458" t="n">
        <f aca="false">IF(t&lt;T_para, pos_z, NA())</f>
        <v>289.813799340406</v>
      </c>
      <c r="AF305" s="444"/>
      <c r="AG305" s="450" t="n">
        <f aca="false">IF(AND(L304&lt;L_rampe,Poussee&lt;Poids*SIN(M304)),0,(-W304+Poussee)/m-Poids*SIN(M304)/m)</f>
        <v>25.9337382420261</v>
      </c>
      <c r="AH305" s="449" t="n">
        <f aca="false">IF(AND(L304&lt;L_rampe,Poussee&lt;Poids*SIN(M304)), g*SIN(M304), (-W304+Poussee)/m)</f>
        <v>35.4747493939876</v>
      </c>
    </row>
    <row r="306" customFormat="false" ht="12" hidden="false" customHeight="false" outlineLevel="0" collapsed="false">
      <c r="A306" s="448" t="n">
        <f aca="false">IF(B305+0.01&lt;=T_ini+ROUNDUP(Temps_fin_propu,0), 0.01, IF(K305&gt;0, 0.1, 0.0001))</f>
        <v>0.01</v>
      </c>
      <c r="B306" s="449" t="n">
        <f aca="false">B305+pas</f>
        <v>3.01999999999998</v>
      </c>
      <c r="C306" s="432"/>
      <c r="D306" s="450" t="n">
        <f aca="false">IF(AND(L305&lt;L_rampe,Poussee&lt;Poids*SIN(M305)),0,(-W305+Poussee)/m*COS(M305)-U305/m*SIN(M305))</f>
        <v>8.02739975223935</v>
      </c>
      <c r="E306" s="451" t="n">
        <f aca="false">IF(AND(L305&lt;L_rampe,Poussee&lt;Poids*SIN(M305)),0,(-W305+Poussee)/m*SIN(M305)+U305/m*COS(M305)-Poids/m)</f>
        <v>23.7403701788129</v>
      </c>
      <c r="F306" s="449" t="n">
        <f aca="false">SQRT(acc_x^2+acc_z^2)</f>
        <v>25.0608124969907</v>
      </c>
      <c r="G306" s="450" t="n">
        <f aca="false">G305+acc_x*pas</f>
        <v>40.3583644749671</v>
      </c>
      <c r="H306" s="451" t="n">
        <f aca="false">H305+acc_z*pas</f>
        <v>168.578944838694</v>
      </c>
      <c r="I306" s="449" t="n">
        <f aca="false">SQRT(vit_x^2+vit_z^2)</f>
        <v>173.342603609216</v>
      </c>
      <c r="J306" s="450" t="n">
        <f aca="false">J305+0.5*(vit_x+G305)*pas*(K305&gt;=0)</f>
        <v>64.5167350589476</v>
      </c>
      <c r="K306" s="451" t="n">
        <f aca="false">K305+0.5*(vit_z+H305)*pas</f>
        <v>291.498401770284</v>
      </c>
      <c r="L306" s="449" t="n">
        <f aca="false">SQRT(pos_x^2+pos_z^2)</f>
        <v>298.552721202297</v>
      </c>
      <c r="M306" s="450" t="n">
        <f aca="false">IF(AND(L305&gt;L_rampe,G306&gt;0),ATAN2(G306,H306),$M$4)</f>
        <v>1.33581557518548</v>
      </c>
      <c r="N306" s="449" t="n">
        <f aca="false">DEGREES(Beta)</f>
        <v>76.5365946659686</v>
      </c>
      <c r="O306" s="438"/>
      <c r="P306" s="452" t="n">
        <f aca="false">MATCH(t-pas/2-T_ini,CdP_t)</f>
        <v>8</v>
      </c>
      <c r="Q306" s="449" t="n">
        <f aca="false">(INDEX(CdP,2,i_P+1)-INDEX(CdP,2,i_P+0))/(INDEX(CdP,1,i_P+1)-INDEX(CdP,1,i_P+0))*(t-pas/2-T_ini-INDEX(CdP,1,i_P+0))+INDEX(CdP,2,i_P+0)</f>
        <v>379.434782608713</v>
      </c>
      <c r="R306" s="450" t="n">
        <f aca="false">Poussee/(g*ISP)</f>
        <v>0.190420638871923</v>
      </c>
      <c r="S306" s="451" t="n">
        <f aca="false">S305-Débit*pas</f>
        <v>8.70091237874798</v>
      </c>
      <c r="T306" s="449" t="n">
        <f aca="false">m*g</f>
        <v>85.3559504355177</v>
      </c>
      <c r="U306" s="453" t="n">
        <f aca="false">IF(pos_xz&lt;L_rampe,Poids*COS(Beta),0)</f>
        <v>0</v>
      </c>
      <c r="V306" s="450" t="n">
        <f aca="false">Rho_moyen*(20000-Alt_rampe-pos_z)/(20000+Alt_rampe+pos_z)</f>
        <v>1.18980441856995</v>
      </c>
      <c r="W306" s="449" t="n">
        <f aca="false">1/2*Rho*Sref*Cx*vit_xz^2</f>
        <v>79.4918208631447</v>
      </c>
      <c r="X306" s="438"/>
      <c r="Y306" s="454" t="str">
        <f aca="false">IF(AND(pos_z&lt;=0,K305&gt;0),"Impact balistique","") &amp; IF(AND(H307&lt;0,vit_z&gt;=0),"Apogée","") &amp; IF(AND(Poussee=0,Q305&gt;0),"Fin de propulsion","") &amp; IF(AND(L307&gt;L_rampe,pos_xz&lt;=L_rampe),"Sortie de rampe","")</f>
        <v/>
      </c>
      <c r="Z306" s="455" t="str">
        <f aca="false">IF(ABS(t-T_para)&lt;pas/2,"Para","")</f>
        <v/>
      </c>
      <c r="AA306" s="456" t="str">
        <f aca="false">IF(ABS(t-T_satellite)&lt;pas/2,"Satellite","")</f>
        <v/>
      </c>
      <c r="AB306" s="444"/>
      <c r="AC306" s="452" t="e">
        <f aca="false">IF(ABS(t-ROUND(t,0))&lt;0.001,t,NA())</f>
        <v>#N/A</v>
      </c>
      <c r="AD306" s="457" t="e">
        <f aca="false">IF(ABS(t-ROUND(t,0))&lt;0.001,pos_x,NA())</f>
        <v>#N/A</v>
      </c>
      <c r="AE306" s="458" t="n">
        <f aca="false">IF(t&lt;T_para, pos_z, NA())</f>
        <v>291.498401770284</v>
      </c>
      <c r="AF306" s="444"/>
      <c r="AG306" s="450" t="n">
        <f aca="false">IF(AND(L305&lt;L_rampe,Poussee&lt;Poids*SIN(M305)),0,(-W305+Poussee)/m-Poids*SIN(M305)/m)</f>
        <v>24.9566299212627</v>
      </c>
      <c r="AH306" s="449" t="n">
        <f aca="false">IF(AND(L305&lt;L_rampe,Poussee&lt;Poids*SIN(M305)), g*SIN(M305), (-W305+Poussee)/m)</f>
        <v>34.497340273094</v>
      </c>
    </row>
    <row r="307" customFormat="false" ht="12" hidden="false" customHeight="false" outlineLevel="0" collapsed="false">
      <c r="A307" s="448" t="n">
        <f aca="false">IF(B306+0.01&lt;=T_ini+ROUNDUP(Temps_fin_propu,0), 0.01, IF(K306&gt;0, 0.1, 0.0001))</f>
        <v>0.01</v>
      </c>
      <c r="B307" s="449" t="n">
        <f aca="false">B306+pas</f>
        <v>3.02999999999998</v>
      </c>
      <c r="C307" s="432"/>
      <c r="D307" s="450" t="n">
        <f aca="false">IF(AND(L306&lt;L_rampe,Poussee&lt;Poids*SIN(M306)),0,(-W306+Poussee)/m*COS(M306)-U306/m*SIN(M306))</f>
        <v>7.80434908996557</v>
      </c>
      <c r="E307" s="451" t="n">
        <f aca="false">IF(AND(L306&lt;L_rampe,Poussee&lt;Poids*SIN(M306)),0,(-W306+Poussee)/m*SIN(M306)+U306/m*COS(M306)-Poids/m)</f>
        <v>22.7891638128762</v>
      </c>
      <c r="F307" s="449" t="n">
        <f aca="false">SQRT(acc_x^2+acc_z^2)</f>
        <v>24.0884588964955</v>
      </c>
      <c r="G307" s="450" t="n">
        <f aca="false">G306+acc_x*pas</f>
        <v>40.4364079658668</v>
      </c>
      <c r="H307" s="451" t="n">
        <f aca="false">H306+acc_z*pas</f>
        <v>168.806836476823</v>
      </c>
      <c r="I307" s="449" t="n">
        <f aca="false">SQRT(vit_x^2+vit_z^2)</f>
        <v>173.58240443805</v>
      </c>
      <c r="J307" s="450" t="n">
        <f aca="false">J306+0.5*(vit_x+G306)*pas*(K306&gt;=0)</f>
        <v>64.9207089211518</v>
      </c>
      <c r="K307" s="451" t="n">
        <f aca="false">K306+0.5*(vit_z+H306)*pas</f>
        <v>293.185330676862</v>
      </c>
      <c r="L307" s="449" t="n">
        <f aca="false">SQRT(pos_x^2+pos_z^2)</f>
        <v>300.28709025019</v>
      </c>
      <c r="M307" s="450" t="n">
        <f aca="false">IF(AND(L306&gt;L_rampe,G307&gt;0),ATAN2(G307,H307),$M$4)</f>
        <v>1.33568399467968</v>
      </c>
      <c r="N307" s="449" t="n">
        <f aca="false">DEGREES(Beta)</f>
        <v>76.5290556583202</v>
      </c>
      <c r="O307" s="438"/>
      <c r="P307" s="452" t="n">
        <f aca="false">MATCH(t-pas/2-T_ini,CdP_t)</f>
        <v>8</v>
      </c>
      <c r="Q307" s="449" t="n">
        <f aca="false">(INDEX(CdP,2,i_P+1)-INDEX(CdP,2,i_P+0))/(INDEX(CdP,1,i_P+1)-INDEX(CdP,1,i_P+0))*(t-pas/2-T_ini-INDEX(CdP,1,i_P+0))+INDEX(CdP,2,i_P+0)</f>
        <v>371.086956521756</v>
      </c>
      <c r="R307" s="450" t="n">
        <f aca="false">Poussee/(g*ISP)</f>
        <v>0.186231253898461</v>
      </c>
      <c r="S307" s="451" t="n">
        <f aca="false">S306-Débit*pas</f>
        <v>8.699050066209</v>
      </c>
      <c r="T307" s="449" t="n">
        <f aca="false">m*g</f>
        <v>85.3376811495103</v>
      </c>
      <c r="U307" s="453" t="n">
        <f aca="false">IF(pos_xz&lt;L_rampe,Poids*COS(Beta),0)</f>
        <v>0</v>
      </c>
      <c r="V307" s="450" t="n">
        <f aca="false">Rho_moyen*(20000-Alt_rampe-pos_z)/(20000+Alt_rampe+pos_z)</f>
        <v>1.18960368106566</v>
      </c>
      <c r="W307" s="449" t="n">
        <f aca="false">1/2*Rho*Sref*Cx*vit_xz^2</f>
        <v>79.6984611720809</v>
      </c>
      <c r="X307" s="438"/>
      <c r="Y307" s="454" t="str">
        <f aca="false">IF(AND(pos_z&lt;=0,K306&gt;0),"Impact balistique","") &amp; IF(AND(H308&lt;0,vit_z&gt;=0),"Apogée","") &amp; IF(AND(Poussee=0,Q306&gt;0),"Fin de propulsion","") &amp; IF(AND(L308&gt;L_rampe,pos_xz&lt;=L_rampe),"Sortie de rampe","")</f>
        <v/>
      </c>
      <c r="Z307" s="455" t="str">
        <f aca="false">IF(ABS(t-T_para)&lt;pas/2,"Para","")</f>
        <v/>
      </c>
      <c r="AA307" s="456" t="str">
        <f aca="false">IF(ABS(t-T_satellite)&lt;pas/2,"Satellite","")</f>
        <v/>
      </c>
      <c r="AB307" s="444"/>
      <c r="AC307" s="452" t="e">
        <f aca="false">IF(ABS(t-ROUND(t,0))&lt;0.001,t,NA())</f>
        <v>#N/A</v>
      </c>
      <c r="AD307" s="457" t="e">
        <f aca="false">IF(ABS(t-ROUND(t,0))&lt;0.001,pos_x,NA())</f>
        <v>#N/A</v>
      </c>
      <c r="AE307" s="458" t="n">
        <f aca="false">IF(t&lt;T_para, pos_z, NA())</f>
        <v>293.185330676862</v>
      </c>
      <c r="AF307" s="444"/>
      <c r="AG307" s="450" t="n">
        <f aca="false">IF(AND(L306&lt;L_rampe,Poussee&lt;Poids*SIN(M306)),0,(-W306+Poussee)/m-Poids*SIN(M306)/m)</f>
        <v>23.9799326180915</v>
      </c>
      <c r="AH307" s="449" t="n">
        <f aca="false">IF(AND(L306&lt;L_rampe,Poussee&lt;Poids*SIN(M306)), g*SIN(M306), (-W306+Poussee)/m)</f>
        <v>33.5203422717726</v>
      </c>
    </row>
    <row r="308" customFormat="false" ht="12" hidden="false" customHeight="false" outlineLevel="0" collapsed="false">
      <c r="A308" s="448" t="n">
        <f aca="false">IF(B307+0.01&lt;=T_ini+ROUNDUP(Temps_fin_propu,0), 0.01, IF(K307&gt;0, 0.1, 0.0001))</f>
        <v>0.01</v>
      </c>
      <c r="B308" s="449" t="n">
        <f aca="false">B307+pas</f>
        <v>3.03999999999998</v>
      </c>
      <c r="C308" s="432"/>
      <c r="D308" s="450" t="n">
        <f aca="false">IF(AND(L307&lt;L_rampe,Poussee&lt;Poids*SIN(M307)),0,(-W307+Poussee)/m*COS(M307)-U307/m*SIN(M307))</f>
        <v>7.5811444990674</v>
      </c>
      <c r="E308" s="451" t="n">
        <f aca="false">IF(AND(L307&lt;L_rampe,Poussee&lt;Poids*SIN(M307)),0,(-W307+Poussee)/m*SIN(M307)+U307/m*COS(M307)-Poids/m)</f>
        <v>21.8384347680313</v>
      </c>
      <c r="F308" s="449" t="n">
        <f aca="false">SQRT(acc_x^2+acc_z^2)</f>
        <v>23.1168982571905</v>
      </c>
      <c r="G308" s="450" t="n">
        <f aca="false">G307+acc_x*pas</f>
        <v>40.5122194108575</v>
      </c>
      <c r="H308" s="451" t="n">
        <f aca="false">H307+acc_z*pas</f>
        <v>169.025220824503</v>
      </c>
      <c r="I308" s="449" t="n">
        <f aca="false">SQRT(vit_x^2+vit_z^2)</f>
        <v>173.812442582128</v>
      </c>
      <c r="J308" s="450" t="n">
        <f aca="false">J307+0.5*(vit_x+G307)*pas*(K307&gt;=0)</f>
        <v>65.3254520580354</v>
      </c>
      <c r="K308" s="451" t="n">
        <f aca="false">K307+0.5*(vit_z+H307)*pas</f>
        <v>294.874490963368</v>
      </c>
      <c r="L308" s="449" t="n">
        <f aca="false">SQRT(pos_x^2+pos_z^2)</f>
        <v>302.023807186606</v>
      </c>
      <c r="M308" s="450" t="n">
        <f aca="false">IF(AND(L307&gt;L_rampe,G308&gt;0),ATAN2(G308,H308),$M$4)</f>
        <v>1.33555251609647</v>
      </c>
      <c r="N308" s="449" t="n">
        <f aca="false">DEGREES(Beta)</f>
        <v>76.5215224904059</v>
      </c>
      <c r="O308" s="438"/>
      <c r="P308" s="452" t="n">
        <f aca="false">MATCH(t-pas/2-T_ini,CdP_t)</f>
        <v>8</v>
      </c>
      <c r="Q308" s="449" t="n">
        <f aca="false">(INDEX(CdP,2,i_P+1)-INDEX(CdP,2,i_P+0))/(INDEX(CdP,1,i_P+1)-INDEX(CdP,1,i_P+0))*(t-pas/2-T_ini-INDEX(CdP,1,i_P+0))+INDEX(CdP,2,i_P+0)</f>
        <v>362.7391304348</v>
      </c>
      <c r="R308" s="450" t="n">
        <f aca="false">Poussee/(g*ISP)</f>
        <v>0.182041868924998</v>
      </c>
      <c r="S308" s="451" t="n">
        <f aca="false">S307-Débit*pas</f>
        <v>8.69722964751975</v>
      </c>
      <c r="T308" s="449" t="n">
        <f aca="false">m*g</f>
        <v>85.3198228421687</v>
      </c>
      <c r="U308" s="453" t="n">
        <f aca="false">IF(pos_xz&lt;L_rampe,Poids*COS(Beta),0)</f>
        <v>0</v>
      </c>
      <c r="V308" s="450" t="n">
        <f aca="false">Rho_moyen*(20000-Alt_rampe-pos_z)/(20000+Alt_rampe+pos_z)</f>
        <v>1.18940271147368</v>
      </c>
      <c r="W308" s="449" t="n">
        <f aca="false">1/2*Rho*Sref*Cx*vit_xz^2</f>
        <v>79.8963403049756</v>
      </c>
      <c r="X308" s="438"/>
      <c r="Y308" s="454" t="str">
        <f aca="false">IF(AND(pos_z&lt;=0,K307&gt;0),"Impact balistique","") &amp; IF(AND(H309&lt;0,vit_z&gt;=0),"Apogée","") &amp; IF(AND(Poussee=0,Q307&gt;0),"Fin de propulsion","") &amp; IF(AND(L309&gt;L_rampe,pos_xz&lt;=L_rampe),"Sortie de rampe","")</f>
        <v/>
      </c>
      <c r="Z308" s="455" t="str">
        <f aca="false">IF(ABS(t-T_para)&lt;pas/2,"Para","")</f>
        <v/>
      </c>
      <c r="AA308" s="456" t="str">
        <f aca="false">IF(ABS(t-T_satellite)&lt;pas/2,"Satellite","")</f>
        <v/>
      </c>
      <c r="AB308" s="444"/>
      <c r="AC308" s="452" t="e">
        <f aca="false">IF(ABS(t-ROUND(t,0))&lt;0.001,t,NA())</f>
        <v>#N/A</v>
      </c>
      <c r="AD308" s="457" t="e">
        <f aca="false">IF(ABS(t-ROUND(t,0))&lt;0.001,pos_x,NA())</f>
        <v>#N/A</v>
      </c>
      <c r="AE308" s="458" t="n">
        <f aca="false">IF(t&lt;T_para, pos_z, NA())</f>
        <v>294.874490963368</v>
      </c>
      <c r="AF308" s="444"/>
      <c r="AG308" s="450" t="n">
        <f aca="false">IF(AND(L307&lt;L_rampe,Poussee&lt;Poids*SIN(M307)),0,(-W307+Poussee)/m-Poids*SIN(M307)/m)</f>
        <v>23.0036641763098</v>
      </c>
      <c r="AH308" s="449" t="n">
        <f aca="false">IF(AND(L307&lt;L_rampe,Poussee&lt;Poids*SIN(M307)), g*SIN(M307), (-W307+Poussee)/m)</f>
        <v>32.5437732167318</v>
      </c>
    </row>
    <row r="309" customFormat="false" ht="12" hidden="false" customHeight="false" outlineLevel="0" collapsed="false">
      <c r="A309" s="448" t="n">
        <f aca="false">IF(B308+0.01&lt;=T_ini+ROUNDUP(Temps_fin_propu,0), 0.01, IF(K308&gt;0, 0.1, 0.0001))</f>
        <v>0.01</v>
      </c>
      <c r="B309" s="449" t="n">
        <f aca="false">B308+pas</f>
        <v>3.04999999999998</v>
      </c>
      <c r="C309" s="432"/>
      <c r="D309" s="450" t="n">
        <f aca="false">IF(AND(L308&lt;L_rampe,Poussee&lt;Poids*SIN(M308)),0,(-W308+Poussee)/m*COS(M308)-U308/m*SIN(M308))</f>
        <v>7.35779081146684</v>
      </c>
      <c r="E309" s="451" t="n">
        <f aca="false">IF(AND(L308&lt;L_rampe,Poussee&lt;Poids*SIN(M308)),0,(-W308+Poussee)/m*SIN(M308)+U308/m*COS(M308)-Poids/m)</f>
        <v>20.8882000683818</v>
      </c>
      <c r="F309" s="449" t="n">
        <f aca="false">SQRT(acc_x^2+acc_z^2)</f>
        <v>22.1461957844243</v>
      </c>
      <c r="G309" s="450" t="n">
        <f aca="false">G308+acc_x*pas</f>
        <v>40.5857973189721</v>
      </c>
      <c r="H309" s="451" t="n">
        <f aca="false">H308+acc_z*pas</f>
        <v>169.234102825187</v>
      </c>
      <c r="I309" s="449" t="n">
        <f aca="false">SQRT(vit_x^2+vit_z^2)</f>
        <v>174.03272250661</v>
      </c>
      <c r="J309" s="450" t="n">
        <f aca="false">J308+0.5*(vit_x+G308)*pas*(K308&gt;=0)</f>
        <v>65.7309421416846</v>
      </c>
      <c r="K309" s="451" t="n">
        <f aca="false">K308+0.5*(vit_z+H308)*pas</f>
        <v>296.565787581617</v>
      </c>
      <c r="L309" s="449" t="n">
        <f aca="false">SQRT(pos_x^2+pos_z^2)</f>
        <v>303.762774412432</v>
      </c>
      <c r="M309" s="450" t="n">
        <f aca="false">IF(AND(L308&gt;L_rampe,G309&gt;0),ATAN2(G309,H309),$M$4)</f>
        <v>1.33542113185811</v>
      </c>
      <c r="N309" s="449" t="n">
        <f aca="false">DEGREES(Beta)</f>
        <v>76.5139947280529</v>
      </c>
      <c r="O309" s="438"/>
      <c r="P309" s="452" t="n">
        <f aca="false">MATCH(t-pas/2-T_ini,CdP_t)</f>
        <v>8</v>
      </c>
      <c r="Q309" s="449" t="n">
        <f aca="false">(INDEX(CdP,2,i_P+1)-INDEX(CdP,2,i_P+0))/(INDEX(CdP,1,i_P+1)-INDEX(CdP,1,i_P+0))*(t-pas/2-T_ini-INDEX(CdP,1,i_P+0))+INDEX(CdP,2,i_P+0)</f>
        <v>354.391304347844</v>
      </c>
      <c r="R309" s="450" t="n">
        <f aca="false">Poussee/(g*ISP)</f>
        <v>0.177852483951536</v>
      </c>
      <c r="S309" s="451" t="n">
        <f aca="false">S308-Débit*pas</f>
        <v>8.69545112268023</v>
      </c>
      <c r="T309" s="449" t="n">
        <f aca="false">m*g</f>
        <v>85.3023755134931</v>
      </c>
      <c r="U309" s="453" t="n">
        <f aca="false">IF(pos_xz&lt;L_rampe,Poids*COS(Beta),0)</f>
        <v>0</v>
      </c>
      <c r="V309" s="450" t="n">
        <f aca="false">Rho_moyen*(20000-Alt_rampe-pos_z)/(20000+Alt_rampe+pos_z)</f>
        <v>1.18920152122388</v>
      </c>
      <c r="W309" s="449" t="n">
        <f aca="false">1/2*Rho*Sref*Cx*vit_xz^2</f>
        <v>80.0854317831529</v>
      </c>
      <c r="X309" s="438"/>
      <c r="Y309" s="454" t="str">
        <f aca="false">IF(AND(pos_z&lt;=0,K308&gt;0),"Impact balistique","") &amp; IF(AND(H310&lt;0,vit_z&gt;=0),"Apogée","") &amp; IF(AND(Poussee=0,Q308&gt;0),"Fin de propulsion","") &amp; IF(AND(L310&gt;L_rampe,pos_xz&lt;=L_rampe),"Sortie de rampe","")</f>
        <v/>
      </c>
      <c r="Z309" s="455" t="str">
        <f aca="false">IF(ABS(t-T_para)&lt;pas/2,"Para","")</f>
        <v/>
      </c>
      <c r="AA309" s="456" t="str">
        <f aca="false">IF(ABS(t-T_satellite)&lt;pas/2,"Satellite","")</f>
        <v/>
      </c>
      <c r="AB309" s="444"/>
      <c r="AC309" s="452" t="e">
        <f aca="false">IF(ABS(t-ROUND(t,0))&lt;0.001,t,NA())</f>
        <v>#N/A</v>
      </c>
      <c r="AD309" s="457" t="e">
        <f aca="false">IF(ABS(t-ROUND(t,0))&lt;0.001,pos_x,NA())</f>
        <v>#N/A</v>
      </c>
      <c r="AE309" s="458" t="n">
        <f aca="false">IF(t&lt;T_para, pos_z, NA())</f>
        <v>296.565787581617</v>
      </c>
      <c r="AF309" s="444"/>
      <c r="AG309" s="450" t="n">
        <f aca="false">IF(AND(L308&lt;L_rampe,Poussee&lt;Poids*SIN(M308)),0,(-W308+Poussee)/m-Poids*SIN(M308)/m)</f>
        <v>22.0278422421276</v>
      </c>
      <c r="AH309" s="449" t="n">
        <f aca="false">IF(AND(L308&lt;L_rampe,Poussee&lt;Poids*SIN(M308)), g*SIN(M308), (-W308+Poussee)/m)</f>
        <v>31.5676507371661</v>
      </c>
    </row>
    <row r="310" customFormat="false" ht="12" hidden="false" customHeight="false" outlineLevel="0" collapsed="false">
      <c r="A310" s="448" t="n">
        <f aca="false">IF(B309+0.01&lt;=T_ini+ROUNDUP(Temps_fin_propu,0), 0.01, IF(K309&gt;0, 0.1, 0.0001))</f>
        <v>0.01</v>
      </c>
      <c r="B310" s="449" t="n">
        <f aca="false">B309+pas</f>
        <v>3.05999999999998</v>
      </c>
      <c r="C310" s="432"/>
      <c r="D310" s="450" t="n">
        <f aca="false">IF(AND(L309&lt;L_rampe,Poussee&lt;Poids*SIN(M309)),0,(-W309+Poussee)/m*COS(M309)-U309/m*SIN(M309))</f>
        <v>7.13429279125857</v>
      </c>
      <c r="E310" s="451" t="n">
        <f aca="false">IF(AND(L309&lt;L_rampe,Poussee&lt;Poids*SIN(M309)),0,(-W309+Poussee)/m*SIN(M309)+U309/m*COS(M309)-Poids/m)</f>
        <v>19.9384765503536</v>
      </c>
      <c r="F310" s="449" t="n">
        <f aca="false">SQRT(acc_x^2+acc_z^2)</f>
        <v>21.1764251180506</v>
      </c>
      <c r="G310" s="450" t="n">
        <f aca="false">G309+acc_x*pas</f>
        <v>40.6571402468847</v>
      </c>
      <c r="H310" s="451" t="n">
        <f aca="false">H309+acc_z*pas</f>
        <v>169.433487590691</v>
      </c>
      <c r="I310" s="449" t="n">
        <f aca="false">SQRT(vit_x^2+vit_z^2)</f>
        <v>174.243248851138</v>
      </c>
      <c r="J310" s="450" t="n">
        <f aca="false">J309+0.5*(vit_x+G309)*pas*(K309&gt;=0)</f>
        <v>66.1371568295138</v>
      </c>
      <c r="K310" s="451" t="n">
        <f aca="false">K309+0.5*(vit_z+H309)*pas</f>
        <v>298.259125533696</v>
      </c>
      <c r="L310" s="449" t="n">
        <f aca="false">SQRT(pos_x^2+pos_z^2)</f>
        <v>305.503894373896</v>
      </c>
      <c r="M310" s="450" t="n">
        <f aca="false">IF(AND(L309&gt;L_rampe,G310&gt;0),ATAN2(G310,H310),$M$4)</f>
        <v>1.33528983443077</v>
      </c>
      <c r="N310" s="449" t="n">
        <f aca="false">DEGREES(Beta)</f>
        <v>76.5064719396056</v>
      </c>
      <c r="O310" s="438"/>
      <c r="P310" s="452" t="n">
        <f aca="false">MATCH(t-pas/2-T_ini,CdP_t)</f>
        <v>8</v>
      </c>
      <c r="Q310" s="449" t="n">
        <f aca="false">(INDEX(CdP,2,i_P+1)-INDEX(CdP,2,i_P+0))/(INDEX(CdP,1,i_P+1)-INDEX(CdP,1,i_P+0))*(t-pas/2-T_ini-INDEX(CdP,1,i_P+0))+INDEX(CdP,2,i_P+0)</f>
        <v>346.043478260887</v>
      </c>
      <c r="R310" s="450" t="n">
        <f aca="false">Poussee/(g*ISP)</f>
        <v>0.173663098978073</v>
      </c>
      <c r="S310" s="451" t="n">
        <f aca="false">S309-Débit*pas</f>
        <v>8.69371449169045</v>
      </c>
      <c r="T310" s="449" t="n">
        <f aca="false">m*g</f>
        <v>85.2853391634833</v>
      </c>
      <c r="U310" s="453" t="n">
        <f aca="false">IF(pos_xz&lt;L_rampe,Poids*COS(Beta),0)</f>
        <v>0</v>
      </c>
      <c r="V310" s="450" t="n">
        <f aca="false">Rho_moyen*(20000-Alt_rampe-pos_z)/(20000+Alt_rampe+pos_z)</f>
        <v>1.18900012173269</v>
      </c>
      <c r="W310" s="449" t="n">
        <f aca="false">1/2*Rho*Sref*Cx*vit_xz^2</f>
        <v>80.2657108584726</v>
      </c>
      <c r="X310" s="438"/>
      <c r="Y310" s="454" t="str">
        <f aca="false">IF(AND(pos_z&lt;=0,K309&gt;0),"Impact balistique","") &amp; IF(AND(H311&lt;0,vit_z&gt;=0),"Apogée","") &amp; IF(AND(Poussee=0,Q309&gt;0),"Fin de propulsion","") &amp; IF(AND(L311&gt;L_rampe,pos_xz&lt;=L_rampe),"Sortie de rampe","")</f>
        <v/>
      </c>
      <c r="Z310" s="455" t="str">
        <f aca="false">IF(ABS(t-T_para)&lt;pas/2,"Para","")</f>
        <v/>
      </c>
      <c r="AA310" s="456" t="str">
        <f aca="false">IF(ABS(t-T_satellite)&lt;pas/2,"Satellite","")</f>
        <v/>
      </c>
      <c r="AB310" s="444"/>
      <c r="AC310" s="452" t="e">
        <f aca="false">IF(ABS(t-ROUND(t,0))&lt;0.001,t,NA())</f>
        <v>#N/A</v>
      </c>
      <c r="AD310" s="457" t="e">
        <f aca="false">IF(ABS(t-ROUND(t,0))&lt;0.001,pos_x,NA())</f>
        <v>#N/A</v>
      </c>
      <c r="AE310" s="458" t="n">
        <f aca="false">IF(t&lt;T_para, pos_z, NA())</f>
        <v>298.259125533696</v>
      </c>
      <c r="AF310" s="444"/>
      <c r="AG310" s="450" t="n">
        <f aca="false">IF(AND(L309&lt;L_rampe,Poussee&lt;Poids*SIN(M309)),0,(-W309+Poussee)/m-Poids*SIN(M309)/m)</f>
        <v>21.0524842637061</v>
      </c>
      <c r="AH310" s="449" t="n">
        <f aca="false">IF(AND(L309&lt;L_rampe,Poussee&lt;Poids*SIN(M309)), g*SIN(M309), (-W309+Poussee)/m)</f>
        <v>30.5919922642894</v>
      </c>
    </row>
    <row r="311" customFormat="false" ht="12" hidden="false" customHeight="false" outlineLevel="0" collapsed="false">
      <c r="A311" s="448" t="n">
        <f aca="false">IF(B310+0.01&lt;=T_ini+ROUNDUP(Temps_fin_propu,0), 0.01, IF(K310&gt;0, 0.1, 0.0001))</f>
        <v>0.01</v>
      </c>
      <c r="B311" s="449" t="n">
        <f aca="false">B310+pas</f>
        <v>3.06999999999998</v>
      </c>
      <c r="C311" s="432"/>
      <c r="D311" s="450" t="n">
        <f aca="false">IF(AND(L310&lt;L_rampe,Poussee&lt;Poids*SIN(M310)),0,(-W310+Poussee)/m*COS(M310)-U310/m*SIN(M310))</f>
        <v>6.91065513480024</v>
      </c>
      <c r="E311" s="451" t="n">
        <f aca="false">IF(AND(L310&lt;L_rampe,Poussee&lt;Poids*SIN(M310)),0,(-W310+Poussee)/m*SIN(M310)+U310/m*COS(M310)-Poids/m)</f>
        <v>18.989280862245</v>
      </c>
      <c r="F311" s="449" t="n">
        <f aca="false">SQRT(acc_x^2+acc_z^2)</f>
        <v>20.2076703767992</v>
      </c>
      <c r="G311" s="450" t="n">
        <f aca="false">G310+acc_x*pas</f>
        <v>40.7262467982327</v>
      </c>
      <c r="H311" s="451" t="n">
        <f aca="false">H310+acc_z*pas</f>
        <v>169.623380399313</v>
      </c>
      <c r="I311" s="449" t="n">
        <f aca="false">SQRT(vit_x^2+vit_z^2)</f>
        <v>174.444026427851</v>
      </c>
      <c r="J311" s="450" t="n">
        <f aca="false">J310+0.5*(vit_x+G310)*pas*(K310&gt;=0)</f>
        <v>66.5440737647394</v>
      </c>
      <c r="K311" s="451" t="n">
        <f aca="false">K310+0.5*(vit_z+H310)*pas</f>
        <v>299.954409873646</v>
      </c>
      <c r="L311" s="449" t="n">
        <f aca="false">SQRT(pos_x^2+pos_z^2)</f>
        <v>307.247069564308</v>
      </c>
      <c r="M311" s="450" t="n">
        <f aca="false">IF(AND(L310&gt;L_rampe,G311&gt;0),ATAN2(G311,H311),$M$4)</f>
        <v>1.33515861632199</v>
      </c>
      <c r="N311" s="449" t="n">
        <f aca="false">DEGREES(Beta)</f>
        <v>76.4989536957766</v>
      </c>
      <c r="O311" s="438"/>
      <c r="P311" s="452" t="n">
        <f aca="false">MATCH(t-pas/2-T_ini,CdP_t)</f>
        <v>8</v>
      </c>
      <c r="Q311" s="449" t="n">
        <f aca="false">(INDEX(CdP,2,i_P+1)-INDEX(CdP,2,i_P+0))/(INDEX(CdP,1,i_P+1)-INDEX(CdP,1,i_P+0))*(t-pas/2-T_ini-INDEX(CdP,1,i_P+0))+INDEX(CdP,2,i_P+0)</f>
        <v>337.695652173931</v>
      </c>
      <c r="R311" s="450" t="n">
        <f aca="false">Poussee/(g*ISP)</f>
        <v>0.169473714004611</v>
      </c>
      <c r="S311" s="451" t="n">
        <f aca="false">S310-Débit*pas</f>
        <v>8.69201975455041</v>
      </c>
      <c r="T311" s="449" t="n">
        <f aca="false">m*g</f>
        <v>85.2687137921395</v>
      </c>
      <c r="U311" s="453" t="n">
        <f aca="false">IF(pos_xz&lt;L_rampe,Poids*COS(Beta),0)</f>
        <v>0</v>
      </c>
      <c r="V311" s="450" t="n">
        <f aca="false">Rho_moyen*(20000-Alt_rampe-pos_z)/(20000+Alt_rampe+pos_z)</f>
        <v>1.18879852440294</v>
      </c>
      <c r="W311" s="449" t="n">
        <f aca="false">1/2*Rho*Sref*Cx*vit_xz^2</f>
        <v>80.4371545078819</v>
      </c>
      <c r="X311" s="438"/>
      <c r="Y311" s="454" t="str">
        <f aca="false">IF(AND(pos_z&lt;=0,K310&gt;0),"Impact balistique","") &amp; IF(AND(H312&lt;0,vit_z&gt;=0),"Apogée","") &amp; IF(AND(Poussee=0,Q310&gt;0),"Fin de propulsion","") &amp; IF(AND(L312&gt;L_rampe,pos_xz&lt;=L_rampe),"Sortie de rampe","")</f>
        <v/>
      </c>
      <c r="Z311" s="455" t="str">
        <f aca="false">IF(ABS(t-T_para)&lt;pas/2,"Para","")</f>
        <v/>
      </c>
      <c r="AA311" s="456" t="str">
        <f aca="false">IF(ABS(t-T_satellite)&lt;pas/2,"Satellite","")</f>
        <v/>
      </c>
      <c r="AB311" s="444"/>
      <c r="AC311" s="452" t="e">
        <f aca="false">IF(ABS(t-ROUND(t,0))&lt;0.001,t,NA())</f>
        <v>#N/A</v>
      </c>
      <c r="AD311" s="457" t="e">
        <f aca="false">IF(ABS(t-ROUND(t,0))&lt;0.001,pos_x,NA())</f>
        <v>#N/A</v>
      </c>
      <c r="AE311" s="458" t="n">
        <f aca="false">IF(t&lt;T_para, pos_z, NA())</f>
        <v>299.954409873646</v>
      </c>
      <c r="AF311" s="444"/>
      <c r="AG311" s="450" t="n">
        <f aca="false">IF(AND(L310&lt;L_rampe,Poussee&lt;Poids*SIN(M310)),0,(-W310+Poussee)/m-Poids*SIN(M310)/m)</f>
        <v>20.0776074907301</v>
      </c>
      <c r="AH311" s="449" t="n">
        <f aca="false">IF(AND(L310&lt;L_rampe,Poussee&lt;Poids*SIN(M310)), g*SIN(M310), (-W310+Poussee)/m)</f>
        <v>29.6168150309012</v>
      </c>
    </row>
    <row r="312" customFormat="false" ht="12" hidden="false" customHeight="false" outlineLevel="0" collapsed="false">
      <c r="A312" s="448" t="n">
        <f aca="false">IF(B311+0.01&lt;=T_ini+ROUNDUP(Temps_fin_propu,0), 0.01, IF(K311&gt;0, 0.1, 0.0001))</f>
        <v>0.01</v>
      </c>
      <c r="B312" s="449" t="n">
        <f aca="false">B311+pas</f>
        <v>3.07999999999998</v>
      </c>
      <c r="C312" s="432"/>
      <c r="D312" s="450" t="n">
        <f aca="false">IF(AND(L311&lt;L_rampe,Poussee&lt;Poids*SIN(M311)),0,(-W311+Poussee)/m*COS(M311)-U311/m*SIN(M311))</f>
        <v>6.68688247079605</v>
      </c>
      <c r="E312" s="451" t="n">
        <f aca="false">IF(AND(L311&lt;L_rampe,Poussee&lt;Poids*SIN(M311)),0,(-W311+Poussee)/m*SIN(M311)+U311/m*COS(M311)-Poids/m)</f>
        <v>18.040629463812</v>
      </c>
      <c r="F312" s="449" t="n">
        <f aca="false">SQRT(acc_x^2+acc_z^2)</f>
        <v>19.2400288104982</v>
      </c>
      <c r="G312" s="450" t="n">
        <f aca="false">G311+acc_x*pas</f>
        <v>40.7931156229407</v>
      </c>
      <c r="H312" s="451" t="n">
        <f aca="false">H311+acc_z*pas</f>
        <v>169.803786693951</v>
      </c>
      <c r="I312" s="449" t="n">
        <f aca="false">SQRT(vit_x^2+vit_z^2)</f>
        <v>174.635060219394</v>
      </c>
      <c r="J312" s="450" t="n">
        <f aca="false">J311+0.5*(vit_x+G311)*pas*(K311&gt;=0)</f>
        <v>66.9516705768453</v>
      </c>
      <c r="K312" s="451" t="n">
        <f aca="false">K311+0.5*(vit_z+H311)*pas</f>
        <v>301.651545709113</v>
      </c>
      <c r="L312" s="449" t="n">
        <f aca="false">SQRT(pos_x^2+pos_z^2)</f>
        <v>308.992202525771</v>
      </c>
      <c r="M312" s="450" t="n">
        <f aca="false">IF(AND(L311&gt;L_rampe,G312&gt;0),ATAN2(G312,H312),$M$4)</f>
        <v>1.33502747007805</v>
      </c>
      <c r="N312" s="449" t="n">
        <f aca="false">DEGREES(Beta)</f>
        <v>76.4914395695003</v>
      </c>
      <c r="O312" s="438"/>
      <c r="P312" s="452" t="n">
        <f aca="false">MATCH(t-pas/2-T_ini,CdP_t)</f>
        <v>8</v>
      </c>
      <c r="Q312" s="449" t="n">
        <f aca="false">(INDEX(CdP,2,i_P+1)-INDEX(CdP,2,i_P+0))/(INDEX(CdP,1,i_P+1)-INDEX(CdP,1,i_P+0))*(t-pas/2-T_ini-INDEX(CdP,1,i_P+0))+INDEX(CdP,2,i_P+0)</f>
        <v>329.347826086975</v>
      </c>
      <c r="R312" s="450" t="n">
        <f aca="false">Poussee/(g*ISP)</f>
        <v>0.165284329031148</v>
      </c>
      <c r="S312" s="451" t="n">
        <f aca="false">S311-Débit*pas</f>
        <v>8.69036691126009</v>
      </c>
      <c r="T312" s="449" t="n">
        <f aca="false">m*g</f>
        <v>85.2524993994615</v>
      </c>
      <c r="U312" s="453" t="n">
        <f aca="false">IF(pos_xz&lt;L_rampe,Poids*COS(Beta),0)</f>
        <v>0</v>
      </c>
      <c r="V312" s="450" t="n">
        <f aca="false">Rho_moyen*(20000-Alt_rampe-pos_z)/(20000+Alt_rampe+pos_z)</f>
        <v>1.18859674062362</v>
      </c>
      <c r="W312" s="449" t="n">
        <f aca="false">1/2*Rho*Sref*Cx*vit_xz^2</f>
        <v>80.5997414278136</v>
      </c>
      <c r="X312" s="438"/>
      <c r="Y312" s="454" t="str">
        <f aca="false">IF(AND(pos_z&lt;=0,K311&gt;0),"Impact balistique","") &amp; IF(AND(H313&lt;0,vit_z&gt;=0),"Apogée","") &amp; IF(AND(Poussee=0,Q311&gt;0),"Fin de propulsion","") &amp; IF(AND(L313&gt;L_rampe,pos_xz&lt;=L_rampe),"Sortie de rampe","")</f>
        <v/>
      </c>
      <c r="Z312" s="455" t="str">
        <f aca="false">IF(ABS(t-T_para)&lt;pas/2,"Para","")</f>
        <v/>
      </c>
      <c r="AA312" s="456" t="str">
        <f aca="false">IF(ABS(t-T_satellite)&lt;pas/2,"Satellite","")</f>
        <v/>
      </c>
      <c r="AB312" s="444"/>
      <c r="AC312" s="452" t="e">
        <f aca="false">IF(ABS(t-ROUND(t,0))&lt;0.001,t,NA())</f>
        <v>#N/A</v>
      </c>
      <c r="AD312" s="457" t="e">
        <f aca="false">IF(ABS(t-ROUND(t,0))&lt;0.001,pos_x,NA())</f>
        <v>#N/A</v>
      </c>
      <c r="AE312" s="458" t="n">
        <f aca="false">IF(t&lt;T_para, pos_z, NA())</f>
        <v>301.651545709113</v>
      </c>
      <c r="AF312" s="444"/>
      <c r="AG312" s="450" t="n">
        <f aca="false">IF(AND(L311&lt;L_rampe,Poussee&lt;Poids*SIN(M311)),0,(-W311+Poussee)/m-Poids*SIN(M311)/m)</f>
        <v>19.103228974011</v>
      </c>
      <c r="AH312" s="449" t="n">
        <f aca="false">IF(AND(L311&lt;L_rampe,Poussee&lt;Poids*SIN(M311)), g*SIN(M311), (-W311+Poussee)/m)</f>
        <v>28.6421360709845</v>
      </c>
    </row>
    <row r="313" customFormat="false" ht="12" hidden="false" customHeight="false" outlineLevel="0" collapsed="false">
      <c r="A313" s="448" t="n">
        <f aca="false">IF(B312+0.01&lt;=T_ini+ROUNDUP(Temps_fin_propu,0), 0.01, IF(K312&gt;0, 0.1, 0.0001))</f>
        <v>0.01</v>
      </c>
      <c r="B313" s="449" t="n">
        <f aca="false">B312+pas</f>
        <v>3.08999999999998</v>
      </c>
      <c r="C313" s="432"/>
      <c r="D313" s="450" t="n">
        <f aca="false">IF(AND(L312&lt;L_rampe,Poussee&lt;Poids*SIN(M312)),0,(-W312+Poussee)/m*COS(M312)-U312/m*SIN(M312))</f>
        <v>6.46297936037418</v>
      </c>
      <c r="E313" s="451" t="n">
        <f aca="false">IF(AND(L312&lt;L_rampe,Poussee&lt;Poids*SIN(M312)),0,(-W312+Poussee)/m*SIN(M312)+U312/m*COS(M312)-Poids/m)</f>
        <v>17.0925386258858</v>
      </c>
      <c r="F313" s="449" t="n">
        <f aca="false">SQRT(acc_x^2+acc_z^2)</f>
        <v>18.2736142809796</v>
      </c>
      <c r="G313" s="450" t="n">
        <f aca="false">G312+acc_x*pas</f>
        <v>40.8577454165444</v>
      </c>
      <c r="H313" s="451" t="n">
        <f aca="false">H312+acc_z*pas</f>
        <v>169.97471208021</v>
      </c>
      <c r="I313" s="449" t="n">
        <f aca="false">SQRT(vit_x^2+vit_z^2)</f>
        <v>174.816355376931</v>
      </c>
      <c r="J313" s="450" t="n">
        <f aca="false">J312+0.5*(vit_x+G312)*pas*(K312&gt;=0)</f>
        <v>67.3599248820427</v>
      </c>
      <c r="K313" s="451" t="n">
        <f aca="false">K312+0.5*(vit_z+H312)*pas</f>
        <v>303.350438202983</v>
      </c>
      <c r="L313" s="449" t="n">
        <f aca="false">SQRT(pos_x^2+pos_z^2)</f>
        <v>310.739195850888</v>
      </c>
      <c r="M313" s="450" t="n">
        <f aca="false">IF(AND(L312&gt;L_rampe,G313&gt;0),ATAN2(G313,H313),$M$4)</f>
        <v>1.33489638828151</v>
      </c>
      <c r="N313" s="449" t="n">
        <f aca="false">DEGREES(Beta)</f>
        <v>76.4839291357873</v>
      </c>
      <c r="O313" s="438"/>
      <c r="P313" s="452" t="n">
        <f aca="false">MATCH(t-pas/2-T_ini,CdP_t)</f>
        <v>8</v>
      </c>
      <c r="Q313" s="449" t="n">
        <f aca="false">(INDEX(CdP,2,i_P+1)-INDEX(CdP,2,i_P+0))/(INDEX(CdP,1,i_P+1)-INDEX(CdP,1,i_P+0))*(t-pas/2-T_ini-INDEX(CdP,1,i_P+0))+INDEX(CdP,2,i_P+0)</f>
        <v>321.000000000018</v>
      </c>
      <c r="R313" s="450" t="n">
        <f aca="false">Poussee/(g*ISP)</f>
        <v>0.161094944057686</v>
      </c>
      <c r="S313" s="451" t="n">
        <f aca="false">S312-Débit*pas</f>
        <v>8.68875596181952</v>
      </c>
      <c r="T313" s="449" t="n">
        <f aca="false">m*g</f>
        <v>85.2366959854494</v>
      </c>
      <c r="U313" s="453" t="n">
        <f aca="false">IF(pos_xz&lt;L_rampe,Poids*COS(Beta),0)</f>
        <v>0</v>
      </c>
      <c r="V313" s="450" t="n">
        <f aca="false">Rho_moyen*(20000-Alt_rampe-pos_z)/(20000+Alt_rampe+pos_z)</f>
        <v>1.18839478176967</v>
      </c>
      <c r="W313" s="449" t="n">
        <f aca="false">1/2*Rho*Sref*Cx*vit_xz^2</f>
        <v>80.7534520284317</v>
      </c>
      <c r="X313" s="438"/>
      <c r="Y313" s="454" t="str">
        <f aca="false">IF(AND(pos_z&lt;=0,K312&gt;0),"Impact balistique","") &amp; IF(AND(H314&lt;0,vit_z&gt;=0),"Apogée","") &amp; IF(AND(Poussee=0,Q312&gt;0),"Fin de propulsion","") &amp; IF(AND(L314&gt;L_rampe,pos_xz&lt;=L_rampe),"Sortie de rampe","")</f>
        <v/>
      </c>
      <c r="Z313" s="455" t="str">
        <f aca="false">IF(ABS(t-T_para)&lt;pas/2,"Para","")</f>
        <v/>
      </c>
      <c r="AA313" s="456" t="str">
        <f aca="false">IF(ABS(t-T_satellite)&lt;pas/2,"Satellite","")</f>
        <v/>
      </c>
      <c r="AB313" s="444"/>
      <c r="AC313" s="452" t="e">
        <f aca="false">IF(ABS(t-ROUND(t,0))&lt;0.001,t,NA())</f>
        <v>#N/A</v>
      </c>
      <c r="AD313" s="457" t="e">
        <f aca="false">IF(ABS(t-ROUND(t,0))&lt;0.001,pos_x,NA())</f>
        <v>#N/A</v>
      </c>
      <c r="AE313" s="458" t="n">
        <f aca="false">IF(t&lt;T_para, pos_z, NA())</f>
        <v>303.350438202983</v>
      </c>
      <c r="AF313" s="444"/>
      <c r="AG313" s="450" t="n">
        <f aca="false">IF(AND(L312&lt;L_rampe,Poussee&lt;Poids*SIN(M312)),0,(-W312+Poussee)/m-Poids*SIN(M312)/m)</f>
        <v>18.1293655651218</v>
      </c>
      <c r="AH313" s="449" t="n">
        <f aca="false">IF(AND(L312&lt;L_rampe,Poussee&lt;Poids*SIN(M312)), g*SIN(M312), (-W312+Poussee)/m)</f>
        <v>27.6679722193351</v>
      </c>
    </row>
    <row r="314" customFormat="false" ht="12" hidden="false" customHeight="false" outlineLevel="0" collapsed="false">
      <c r="A314" s="448" t="n">
        <f aca="false">IF(B313+0.01&lt;=T_ini+ROUNDUP(Temps_fin_propu,0), 0.01, IF(K313&gt;0, 0.1, 0.0001))</f>
        <v>0.01</v>
      </c>
      <c r="B314" s="449" t="n">
        <f aca="false">B313+pas</f>
        <v>3.09999999999998</v>
      </c>
      <c r="C314" s="432"/>
      <c r="D314" s="450" t="n">
        <f aca="false">IF(AND(L313&lt;L_rampe,Poussee&lt;Poids*SIN(M313)),0,(-W313+Poussee)/m*COS(M313)-U313/m*SIN(M313))</f>
        <v>6.23895029715807</v>
      </c>
      <c r="E314" s="451" t="n">
        <f aca="false">IF(AND(L313&lt;L_rampe,Poussee&lt;Poids*SIN(M313)),0,(-W313+Poussee)/m*SIN(M313)+U313/m*COS(M313)-Poids/m)</f>
        <v>16.1450244300258</v>
      </c>
      <c r="F314" s="449" t="n">
        <f aca="false">SQRT(acc_x^2+acc_z^2)</f>
        <v>17.3085618887456</v>
      </c>
      <c r="G314" s="450" t="n">
        <f aca="false">G313+acc_x*pas</f>
        <v>40.920134919516</v>
      </c>
      <c r="H314" s="451" t="n">
        <f aca="false">H313+acc_z*pas</f>
        <v>170.13616232451</v>
      </c>
      <c r="I314" s="449" t="n">
        <f aca="false">SQRT(vit_x^2+vit_z^2)</f>
        <v>174.987917218143</v>
      </c>
      <c r="J314" s="450" t="n">
        <f aca="false">J313+0.5*(vit_x+G313)*pas*(K313&gt;=0)</f>
        <v>67.768814283723</v>
      </c>
      <c r="K314" s="451" t="n">
        <f aca="false">K313+0.5*(vit_z+H313)*pas</f>
        <v>305.050992575007</v>
      </c>
      <c r="L314" s="449" t="n">
        <f aca="false">SQRT(pos_x^2+pos_z^2)</f>
        <v>312.48795218443</v>
      </c>
      <c r="M314" s="450" t="n">
        <f aca="false">IF(AND(L313&gt;L_rampe,G314&gt;0),ATAN2(G314,H314),$M$4)</f>
        <v>1.33476536354864</v>
      </c>
      <c r="N314" s="449" t="n">
        <f aca="false">DEGREES(Beta)</f>
        <v>76.4764219715822</v>
      </c>
      <c r="O314" s="438"/>
      <c r="P314" s="452" t="n">
        <f aca="false">MATCH(t-pas/2-T_ini,CdP_t)</f>
        <v>8</v>
      </c>
      <c r="Q314" s="449" t="n">
        <f aca="false">(INDEX(CdP,2,i_P+1)-INDEX(CdP,2,i_P+0))/(INDEX(CdP,1,i_P+1)-INDEX(CdP,1,i_P+0))*(t-pas/2-T_ini-INDEX(CdP,1,i_P+0))+INDEX(CdP,2,i_P+0)</f>
        <v>312.652173913062</v>
      </c>
      <c r="R314" s="450" t="n">
        <f aca="false">Poussee/(g*ISP)</f>
        <v>0.156905559084223</v>
      </c>
      <c r="S314" s="451" t="n">
        <f aca="false">S313-Débit*pas</f>
        <v>8.68718690622867</v>
      </c>
      <c r="T314" s="449" t="n">
        <f aca="false">m*g</f>
        <v>85.2213035501033</v>
      </c>
      <c r="U314" s="453" t="n">
        <f aca="false">IF(pos_xz&lt;L_rampe,Poids*COS(Beta),0)</f>
        <v>0</v>
      </c>
      <c r="V314" s="450" t="n">
        <f aca="false">Rho_moyen*(20000-Alt_rampe-pos_z)/(20000+Alt_rampe+pos_z)</f>
        <v>1.18819265920179</v>
      </c>
      <c r="W314" s="449" t="n">
        <f aca="false">1/2*Rho*Sref*Cx*vit_xz^2</f>
        <v>80.8982684277299</v>
      </c>
      <c r="X314" s="438"/>
      <c r="Y314" s="454" t="str">
        <f aca="false">IF(AND(pos_z&lt;=0,K313&gt;0),"Impact balistique","") &amp; IF(AND(H315&lt;0,vit_z&gt;=0),"Apogée","") &amp; IF(AND(Poussee=0,Q313&gt;0),"Fin de propulsion","") &amp; IF(AND(L315&gt;L_rampe,pos_xz&lt;=L_rampe),"Sortie de rampe","")</f>
        <v/>
      </c>
      <c r="Z314" s="455" t="str">
        <f aca="false">IF(ABS(t-T_para)&lt;pas/2,"Para","")</f>
        <v/>
      </c>
      <c r="AA314" s="456" t="str">
        <f aca="false">IF(ABS(t-T_satellite)&lt;pas/2,"Satellite","")</f>
        <v/>
      </c>
      <c r="AB314" s="444"/>
      <c r="AC314" s="452" t="e">
        <f aca="false">IF(ABS(t-ROUND(t,0))&lt;0.001,t,NA())</f>
        <v>#N/A</v>
      </c>
      <c r="AD314" s="457" t="e">
        <f aca="false">IF(ABS(t-ROUND(t,0))&lt;0.001,pos_x,NA())</f>
        <v>#N/A</v>
      </c>
      <c r="AE314" s="458" t="n">
        <f aca="false">IF(t&lt;T_para, pos_z, NA())</f>
        <v>305.050992575007</v>
      </c>
      <c r="AF314" s="444"/>
      <c r="AG314" s="450" t="n">
        <f aca="false">IF(AND(L313&lt;L_rampe,Poussee&lt;Poids*SIN(M313)),0,(-W313+Poussee)/m-Poids*SIN(M313)/m)</f>
        <v>17.1560339160641</v>
      </c>
      <c r="AH314" s="449" t="n">
        <f aca="false">IF(AND(L313&lt;L_rampe,Poussee&lt;Poids*SIN(M313)), g*SIN(M313), (-W313+Poussee)/m)</f>
        <v>26.6943401112229</v>
      </c>
    </row>
    <row r="315" customFormat="false" ht="12" hidden="false" customHeight="false" outlineLevel="0" collapsed="false">
      <c r="A315" s="448" t="n">
        <f aca="false">IF(B314+0.01&lt;=T_ini+ROUNDUP(Temps_fin_propu,0), 0.01, IF(K314&gt;0, 0.1, 0.0001))</f>
        <v>0.01</v>
      </c>
      <c r="B315" s="449" t="n">
        <f aca="false">B314+pas</f>
        <v>3.10999999999998</v>
      </c>
      <c r="C315" s="432"/>
      <c r="D315" s="450" t="n">
        <f aca="false">IF(AND(L314&lt;L_rampe,Poussee&lt;Poids*SIN(M314)),0,(-W314+Poussee)/m*COS(M314)-U314/m*SIN(M314))</f>
        <v>6.01479970733187</v>
      </c>
      <c r="E315" s="451" t="n">
        <f aca="false">IF(AND(L314&lt;L_rampe,Poussee&lt;Poids*SIN(M314)),0,(-W314+Poussee)/m*SIN(M314)+U314/m*COS(M314)-Poids/m)</f>
        <v>15.1981027682041</v>
      </c>
      <c r="F315" s="449" t="n">
        <f aca="false">SQRT(acc_x^2+acc_z^2)</f>
        <v>16.3450342083525</v>
      </c>
      <c r="G315" s="450" t="n">
        <f aca="false">G314+acc_x*pas</f>
        <v>40.9802829165893</v>
      </c>
      <c r="H315" s="451" t="n">
        <f aca="false">H314+acc_z*pas</f>
        <v>170.288143352192</v>
      </c>
      <c r="I315" s="449" t="n">
        <f aca="false">SQRT(vit_x^2+vit_z^2)</f>
        <v>175.149751225232</v>
      </c>
      <c r="J315" s="450" t="n">
        <f aca="false">J314+0.5*(vit_x+G314)*pas*(K314&gt;=0)</f>
        <v>68.1783163729035</v>
      </c>
      <c r="K315" s="451" t="n">
        <f aca="false">K314+0.5*(vit_z+H314)*pas</f>
        <v>306.75311410339</v>
      </c>
      <c r="L315" s="449" t="n">
        <f aca="false">SQRT(pos_x^2+pos_z^2)</f>
        <v>314.238374225</v>
      </c>
      <c r="M315" s="450" t="n">
        <f aca="false">IF(AND(L314&gt;L_rampe,G315&gt;0),ATAN2(G315,H315),$M$4)</f>
        <v>1.33463438852703</v>
      </c>
      <c r="N315" s="449" t="n">
        <f aca="false">DEGREES(Beta)</f>
        <v>76.4689176556224</v>
      </c>
      <c r="O315" s="438"/>
      <c r="P315" s="452" t="n">
        <f aca="false">MATCH(t-pas/2-T_ini,CdP_t)</f>
        <v>8</v>
      </c>
      <c r="Q315" s="449" t="n">
        <f aca="false">(INDEX(CdP,2,i_P+1)-INDEX(CdP,2,i_P+0))/(INDEX(CdP,1,i_P+1)-INDEX(CdP,1,i_P+0))*(t-pas/2-T_ini-INDEX(CdP,1,i_P+0))+INDEX(CdP,2,i_P+0)</f>
        <v>304.304347826106</v>
      </c>
      <c r="R315" s="450" t="n">
        <f aca="false">Poussee/(g*ISP)</f>
        <v>0.152716174110761</v>
      </c>
      <c r="S315" s="451" t="n">
        <f aca="false">S314-Débit*pas</f>
        <v>8.68565974448757</v>
      </c>
      <c r="T315" s="449" t="n">
        <f aca="false">m*g</f>
        <v>85.206322093423</v>
      </c>
      <c r="U315" s="453" t="n">
        <f aca="false">IF(pos_xz&lt;L_rampe,Poids*COS(Beta),0)</f>
        <v>0</v>
      </c>
      <c r="V315" s="450" t="n">
        <f aca="false">Rho_moyen*(20000-Alt_rampe-pos_z)/(20000+Alt_rampe+pos_z)</f>
        <v>1.18799038426624</v>
      </c>
      <c r="W315" s="449" t="n">
        <f aca="false">1/2*Rho*Sref*Cx*vit_xz^2</f>
        <v>81.0341744454855</v>
      </c>
      <c r="X315" s="438"/>
      <c r="Y315" s="454" t="str">
        <f aca="false">IF(AND(pos_z&lt;=0,K314&gt;0),"Impact balistique","") &amp; IF(AND(H316&lt;0,vit_z&gt;=0),"Apogée","") &amp; IF(AND(Poussee=0,Q314&gt;0),"Fin de propulsion","") &amp; IF(AND(L316&gt;L_rampe,pos_xz&lt;=L_rampe),"Sortie de rampe","")</f>
        <v/>
      </c>
      <c r="Z315" s="455" t="str">
        <f aca="false">IF(ABS(t-T_para)&lt;pas/2,"Para","")</f>
        <v/>
      </c>
      <c r="AA315" s="456" t="str">
        <f aca="false">IF(ABS(t-T_satellite)&lt;pas/2,"Satellite","")</f>
        <v/>
      </c>
      <c r="AB315" s="444"/>
      <c r="AC315" s="452" t="e">
        <f aca="false">IF(ABS(t-ROUND(t,0))&lt;0.001,t,NA())</f>
        <v>#N/A</v>
      </c>
      <c r="AD315" s="457" t="e">
        <f aca="false">IF(ABS(t-ROUND(t,0))&lt;0.001,pos_x,NA())</f>
        <v>#N/A</v>
      </c>
      <c r="AE315" s="458" t="n">
        <f aca="false">IF(t&lt;T_para, pos_z, NA())</f>
        <v>306.75311410339</v>
      </c>
      <c r="AF315" s="444"/>
      <c r="AG315" s="450" t="n">
        <f aca="false">IF(AND(L314&lt;L_rampe,Poussee&lt;Poids*SIN(M314)),0,(-W314+Poussee)/m-Poids*SIN(M314)/m)</f>
        <v>16.1832504789653</v>
      </c>
      <c r="AH315" s="449" t="n">
        <f aca="false">IF(AND(L314&lt;L_rampe,Poussee&lt;Poids*SIN(M314)), g*SIN(M314), (-W314+Poussee)/m)</f>
        <v>25.7212561820836</v>
      </c>
    </row>
    <row r="316" customFormat="false" ht="12" hidden="false" customHeight="false" outlineLevel="0" collapsed="false">
      <c r="A316" s="448" t="n">
        <f aca="false">IF(B315+0.01&lt;=T_ini+ROUNDUP(Temps_fin_propu,0), 0.01, IF(K315&gt;0, 0.1, 0.0001))</f>
        <v>0.01</v>
      </c>
      <c r="B316" s="449" t="n">
        <f aca="false">B315+pas</f>
        <v>3.11999999999998</v>
      </c>
      <c r="C316" s="432"/>
      <c r="D316" s="450" t="n">
        <f aca="false">IF(AND(L315&lt;L_rampe,Poussee&lt;Poids*SIN(M315)),0,(-W315+Poussee)/m*COS(M315)-U315/m*SIN(M315))</f>
        <v>5.79053194970021</v>
      </c>
      <c r="E316" s="451" t="n">
        <f aca="false">IF(AND(L315&lt;L_rampe,Poussee&lt;Poids*SIN(M315)),0,(-W315+Poussee)/m*SIN(M315)+U315/m*COS(M315)-Poids/m)</f>
        <v>14.2517893425238</v>
      </c>
      <c r="F316" s="449" t="n">
        <f aca="false">SQRT(acc_x^2+acc_z^2)</f>
        <v>15.3832298209503</v>
      </c>
      <c r="G316" s="450" t="n">
        <f aca="false">G315+acc_x*pas</f>
        <v>41.0381882360863</v>
      </c>
      <c r="H316" s="451" t="n">
        <f aca="false">H315+acc_z*pas</f>
        <v>170.430661245618</v>
      </c>
      <c r="I316" s="449" t="n">
        <f aca="false">SQRT(vit_x^2+vit_z^2)</f>
        <v>175.301863042921</v>
      </c>
      <c r="J316" s="450" t="n">
        <f aca="false">J315+0.5*(vit_x+G315)*pas*(K315&gt;=0)</f>
        <v>68.5884087286669</v>
      </c>
      <c r="K316" s="451" t="n">
        <f aca="false">K315+0.5*(vit_z+H315)*pas</f>
        <v>308.456708126379</v>
      </c>
      <c r="L316" s="449" t="n">
        <f aca="false">SQRT(pos_x^2+pos_z^2)</f>
        <v>315.990364726669</v>
      </c>
      <c r="M316" s="450" t="n">
        <f aca="false">IF(AND(L315&gt;L_rampe,G316&gt;0),ATAN2(G316,H316),$M$4)</f>
        <v>1.33450345589311</v>
      </c>
      <c r="N316" s="449" t="n">
        <f aca="false">DEGREES(Beta)</f>
        <v>76.4614157682981</v>
      </c>
      <c r="O316" s="438"/>
      <c r="P316" s="452" t="n">
        <f aca="false">MATCH(t-pas/2-T_ini,CdP_t)</f>
        <v>8</v>
      </c>
      <c r="Q316" s="449" t="n">
        <f aca="false">(INDEX(CdP,2,i_P+1)-INDEX(CdP,2,i_P+0))/(INDEX(CdP,1,i_P+1)-INDEX(CdP,1,i_P+0))*(t-pas/2-T_ini-INDEX(CdP,1,i_P+0))+INDEX(CdP,2,i_P+0)</f>
        <v>295.956521739149</v>
      </c>
      <c r="R316" s="450" t="n">
        <f aca="false">Poussee/(g*ISP)</f>
        <v>0.148526789137299</v>
      </c>
      <c r="S316" s="451" t="n">
        <f aca="false">S315-Débit*pas</f>
        <v>8.68417447659619</v>
      </c>
      <c r="T316" s="449" t="n">
        <f aca="false">m*g</f>
        <v>85.1917516154087</v>
      </c>
      <c r="U316" s="453" t="n">
        <f aca="false">IF(pos_xz&lt;L_rampe,Poids*COS(Beta),0)</f>
        <v>0</v>
      </c>
      <c r="V316" s="450" t="n">
        <f aca="false">Rho_moyen*(20000-Alt_rampe-pos_z)/(20000+Alt_rampe+pos_z)</f>
        <v>1.18778796829464</v>
      </c>
      <c r="W316" s="449" t="n">
        <f aca="false">1/2*Rho*Sref*Cx*vit_xz^2</f>
        <v>81.1611555970718</v>
      </c>
      <c r="X316" s="438"/>
      <c r="Y316" s="454" t="str">
        <f aca="false">IF(AND(pos_z&lt;=0,K315&gt;0),"Impact balistique","") &amp; IF(AND(H317&lt;0,vit_z&gt;=0),"Apogée","") &amp; IF(AND(Poussee=0,Q315&gt;0),"Fin de propulsion","") &amp; IF(AND(L317&gt;L_rampe,pos_xz&lt;=L_rampe),"Sortie de rampe","")</f>
        <v/>
      </c>
      <c r="Z316" s="455" t="str">
        <f aca="false">IF(ABS(t-T_para)&lt;pas/2,"Para","")</f>
        <v/>
      </c>
      <c r="AA316" s="456" t="str">
        <f aca="false">IF(ABS(t-T_satellite)&lt;pas/2,"Satellite","")</f>
        <v/>
      </c>
      <c r="AB316" s="444"/>
      <c r="AC316" s="452" t="e">
        <f aca="false">IF(ABS(t-ROUND(t,0))&lt;0.001,t,NA())</f>
        <v>#N/A</v>
      </c>
      <c r="AD316" s="457" t="e">
        <f aca="false">IF(ABS(t-ROUND(t,0))&lt;0.001,pos_x,NA())</f>
        <v>#N/A</v>
      </c>
      <c r="AE316" s="458" t="n">
        <f aca="false">IF(t&lt;T_para, pos_z, NA())</f>
        <v>308.456708126379</v>
      </c>
      <c r="AF316" s="444"/>
      <c r="AG316" s="450" t="n">
        <f aca="false">IF(AND(L315&lt;L_rampe,Poussee&lt;Poids*SIN(M315)),0,(-W315+Poussee)/m-Poids*SIN(M315)/m)</f>
        <v>15.2110315058067</v>
      </c>
      <c r="AH316" s="449" t="n">
        <f aca="false">IF(AND(L315&lt;L_rampe,Poussee&lt;Poids*SIN(M315)), g*SIN(M315), (-W315+Poussee)/m)</f>
        <v>24.7487366672421</v>
      </c>
    </row>
    <row r="317" customFormat="false" ht="12" hidden="false" customHeight="false" outlineLevel="0" collapsed="false">
      <c r="A317" s="448" t="n">
        <f aca="false">IF(B316+0.01&lt;=T_ini+ROUNDUP(Temps_fin_propu,0), 0.01, IF(K316&gt;0, 0.1, 0.0001))</f>
        <v>0.01</v>
      </c>
      <c r="B317" s="449" t="n">
        <f aca="false">B316+pas</f>
        <v>3.12999999999998</v>
      </c>
      <c r="C317" s="432"/>
      <c r="D317" s="450" t="n">
        <f aca="false">IF(AND(L316&lt;L_rampe,Poussee&lt;Poids*SIN(M316)),0,(-W316+Poussee)/m*COS(M316)-U316/m*SIN(M316))</f>
        <v>5.56615131574244</v>
      </c>
      <c r="E317" s="451" t="n">
        <f aca="false">IF(AND(L316&lt;L_rampe,Poussee&lt;Poids*SIN(M316)),0,(-W316+Poussee)/m*SIN(M316)+U316/m*COS(M316)-Poids/m)</f>
        <v>13.3060996649694</v>
      </c>
      <c r="F317" s="449" t="n">
        <f aca="false">SQRT(acc_x^2+acc_z^2)</f>
        <v>14.4233951885068</v>
      </c>
      <c r="G317" s="450" t="n">
        <f aca="false">G316+acc_x*pas</f>
        <v>41.0938497492438</v>
      </c>
      <c r="H317" s="451" t="n">
        <f aca="false">H316+acc_z*pas</f>
        <v>170.563722242267</v>
      </c>
      <c r="I317" s="449" t="n">
        <f aca="false">SQRT(vit_x^2+vit_z^2)</f>
        <v>175.444258476448</v>
      </c>
      <c r="J317" s="450" t="n">
        <f aca="false">J316+0.5*(vit_x+G316)*pas*(K316&gt;=0)</f>
        <v>68.9990689185936</v>
      </c>
      <c r="K317" s="451" t="n">
        <f aca="false">K316+0.5*(vit_z+H316)*pas</f>
        <v>310.161680043819</v>
      </c>
      <c r="L317" s="449" t="n">
        <f aca="false">SQRT(pos_x^2+pos_z^2)</f>
        <v>317.74382650059</v>
      </c>
      <c r="M317" s="450" t="n">
        <f aca="false">IF(AND(L316&gt;L_rampe,G317&gt;0),ATAN2(G317,H317),$M$4)</f>
        <v>1.33437255834975</v>
      </c>
      <c r="N317" s="449" t="n">
        <f aca="false">DEGREES(Beta)</f>
        <v>76.4539158915148</v>
      </c>
      <c r="O317" s="438"/>
      <c r="P317" s="452" t="n">
        <f aca="false">MATCH(t-pas/2-T_ini,CdP_t)</f>
        <v>8</v>
      </c>
      <c r="Q317" s="449" t="n">
        <f aca="false">(INDEX(CdP,2,i_P+1)-INDEX(CdP,2,i_P+0))/(INDEX(CdP,1,i_P+1)-INDEX(CdP,1,i_P+0))*(t-pas/2-T_ini-INDEX(CdP,1,i_P+0))+INDEX(CdP,2,i_P+0)</f>
        <v>287.608695652193</v>
      </c>
      <c r="R317" s="450" t="n">
        <f aca="false">Poussee/(g*ISP)</f>
        <v>0.144337404163836</v>
      </c>
      <c r="S317" s="451" t="n">
        <f aca="false">S316-Débit*pas</f>
        <v>8.68273110255455</v>
      </c>
      <c r="T317" s="449" t="n">
        <f aca="false">m*g</f>
        <v>85.1775921160602</v>
      </c>
      <c r="U317" s="453" t="n">
        <f aca="false">IF(pos_xz&lt;L_rampe,Poids*COS(Beta),0)</f>
        <v>0</v>
      </c>
      <c r="V317" s="450" t="n">
        <f aca="false">Rho_moyen*(20000-Alt_rampe-pos_z)/(20000+Alt_rampe+pos_z)</f>
        <v>1.1875854226038</v>
      </c>
      <c r="W317" s="449" t="n">
        <f aca="false">1/2*Rho*Sref*Cx*vit_xz^2</f>
        <v>81.279199087133</v>
      </c>
      <c r="X317" s="438"/>
      <c r="Y317" s="454" t="str">
        <f aca="false">IF(AND(pos_z&lt;=0,K316&gt;0),"Impact balistique","") &amp; IF(AND(H318&lt;0,vit_z&gt;=0),"Apogée","") &amp; IF(AND(Poussee=0,Q316&gt;0),"Fin de propulsion","") &amp; IF(AND(L318&gt;L_rampe,pos_xz&lt;=L_rampe),"Sortie de rampe","")</f>
        <v/>
      </c>
      <c r="Z317" s="455" t="str">
        <f aca="false">IF(ABS(t-T_para)&lt;pas/2,"Para","")</f>
        <v/>
      </c>
      <c r="AA317" s="456" t="str">
        <f aca="false">IF(ABS(t-T_satellite)&lt;pas/2,"Satellite","")</f>
        <v/>
      </c>
      <c r="AB317" s="444"/>
      <c r="AC317" s="452" t="e">
        <f aca="false">IF(ABS(t-ROUND(t,0))&lt;0.001,t,NA())</f>
        <v>#N/A</v>
      </c>
      <c r="AD317" s="457" t="e">
        <f aca="false">IF(ABS(t-ROUND(t,0))&lt;0.001,pos_x,NA())</f>
        <v>#N/A</v>
      </c>
      <c r="AE317" s="458" t="n">
        <f aca="false">IF(t&lt;T_para, pos_z, NA())</f>
        <v>310.161680043819</v>
      </c>
      <c r="AF317" s="444"/>
      <c r="AG317" s="450" t="n">
        <f aca="false">IF(AND(L316&lt;L_rampe,Poussee&lt;Poids*SIN(M316)),0,(-W316+Poussee)/m-Poids*SIN(M316)/m)</f>
        <v>14.2393930481825</v>
      </c>
      <c r="AH317" s="449" t="n">
        <f aca="false">IF(AND(L316&lt;L_rampe,Poussee&lt;Poids*SIN(M316)), g*SIN(M316), (-W316+Poussee)/m)</f>
        <v>23.776797601665</v>
      </c>
    </row>
    <row r="318" customFormat="false" ht="12" hidden="false" customHeight="false" outlineLevel="0" collapsed="false">
      <c r="A318" s="448" t="n">
        <f aca="false">IF(B317+0.01&lt;=T_ini+ROUNDUP(Temps_fin_propu,0), 0.01, IF(K317&gt;0, 0.1, 0.0001))</f>
        <v>0.01</v>
      </c>
      <c r="B318" s="449" t="n">
        <f aca="false">B317+pas</f>
        <v>3.13999999999998</v>
      </c>
      <c r="C318" s="432"/>
      <c r="D318" s="450" t="n">
        <f aca="false">IF(AND(L317&lt;L_rampe,Poussee&lt;Poids*SIN(M317)),0,(-W317+Poussee)/m*COS(M317)-U317/m*SIN(M317))</f>
        <v>5.3416620296615</v>
      </c>
      <c r="E318" s="451" t="n">
        <f aca="false">IF(AND(L317&lt;L_rampe,Poussee&lt;Poids*SIN(M317)),0,(-W317+Poussee)/m*SIN(M317)+U317/m*COS(M317)-Poids/m)</f>
        <v>12.3610490571893</v>
      </c>
      <c r="F318" s="449" t="n">
        <f aca="false">SQRT(acc_x^2+acc_z^2)</f>
        <v>13.4658414899837</v>
      </c>
      <c r="G318" s="450" t="n">
        <f aca="false">G317+acc_x*pas</f>
        <v>41.1472663695404</v>
      </c>
      <c r="H318" s="451" t="n">
        <f aca="false">H317+acc_z*pas</f>
        <v>170.687332732839</v>
      </c>
      <c r="I318" s="449" t="n">
        <f aca="false">SQRT(vit_x^2+vit_z^2)</f>
        <v>175.576943489562</v>
      </c>
      <c r="J318" s="450" t="n">
        <f aca="false">J317+0.5*(vit_x+G317)*pas*(K317&gt;=0)</f>
        <v>69.4102744991875</v>
      </c>
      <c r="K318" s="451" t="n">
        <f aca="false">K317+0.5*(vit_z+H317)*pas</f>
        <v>311.867935318694</v>
      </c>
      <c r="L318" s="449" t="n">
        <f aca="false">SQRT(pos_x^2+pos_z^2)</f>
        <v>319.498662416602</v>
      </c>
      <c r="M318" s="450" t="n">
        <f aca="false">IF(AND(L317&gt;L_rampe,G318&gt;0),ATAN2(G318,H318),$M$4)</f>
        <v>1.33424168862388</v>
      </c>
      <c r="N318" s="449" t="n">
        <f aca="false">DEGREES(Beta)</f>
        <v>76.4464176085565</v>
      </c>
      <c r="O318" s="438"/>
      <c r="P318" s="452" t="n">
        <f aca="false">MATCH(t-pas/2-T_ini,CdP_t)</f>
        <v>8</v>
      </c>
      <c r="Q318" s="449" t="n">
        <f aca="false">(INDEX(CdP,2,i_P+1)-INDEX(CdP,2,i_P+0))/(INDEX(CdP,1,i_P+1)-INDEX(CdP,1,i_P+0))*(t-pas/2-T_ini-INDEX(CdP,1,i_P+0))+INDEX(CdP,2,i_P+0)</f>
        <v>279.260869565237</v>
      </c>
      <c r="R318" s="450" t="n">
        <f aca="false">Poussee/(g*ISP)</f>
        <v>0.140148019190374</v>
      </c>
      <c r="S318" s="451" t="n">
        <f aca="false">S317-Débit*pas</f>
        <v>8.68132962236265</v>
      </c>
      <c r="T318" s="449" t="n">
        <f aca="false">m*g</f>
        <v>85.1638435953776</v>
      </c>
      <c r="U318" s="453" t="n">
        <f aca="false">IF(pos_xz&lt;L_rampe,Poids*COS(Beta),0)</f>
        <v>0</v>
      </c>
      <c r="V318" s="450" t="n">
        <f aca="false">Rho_moyen*(20000-Alt_rampe-pos_z)/(20000+Alt_rampe+pos_z)</f>
        <v>1.18738275849548</v>
      </c>
      <c r="W318" s="449" t="n">
        <f aca="false">1/2*Rho*Sref*Cx*vit_xz^2</f>
        <v>81.3882938031239</v>
      </c>
      <c r="X318" s="438"/>
      <c r="Y318" s="454" t="str">
        <f aca="false">IF(AND(pos_z&lt;=0,K317&gt;0),"Impact balistique","") &amp; IF(AND(H319&lt;0,vit_z&gt;=0),"Apogée","") &amp; IF(AND(Poussee=0,Q317&gt;0),"Fin de propulsion","") &amp; IF(AND(L319&gt;L_rampe,pos_xz&lt;=L_rampe),"Sortie de rampe","")</f>
        <v/>
      </c>
      <c r="Z318" s="455" t="str">
        <f aca="false">IF(ABS(t-T_para)&lt;pas/2,"Para","")</f>
        <v/>
      </c>
      <c r="AA318" s="456" t="str">
        <f aca="false">IF(ABS(t-T_satellite)&lt;pas/2,"Satellite","")</f>
        <v/>
      </c>
      <c r="AB318" s="444"/>
      <c r="AC318" s="452" t="e">
        <f aca="false">IF(ABS(t-ROUND(t,0))&lt;0.001,t,NA())</f>
        <v>#N/A</v>
      </c>
      <c r="AD318" s="457" t="e">
        <f aca="false">IF(ABS(t-ROUND(t,0))&lt;0.001,pos_x,NA())</f>
        <v>#N/A</v>
      </c>
      <c r="AE318" s="458" t="n">
        <f aca="false">IF(t&lt;T_para, pos_z, NA())</f>
        <v>311.867935318694</v>
      </c>
      <c r="AF318" s="444"/>
      <c r="AG318" s="450" t="n">
        <f aca="false">IF(AND(L317&lt;L_rampe,Poussee&lt;Poids*SIN(M317)),0,(-W317+Poussee)/m-Poids*SIN(M317)/m)</f>
        <v>13.2683509570883</v>
      </c>
      <c r="AH318" s="449" t="n">
        <f aca="false">IF(AND(L317&lt;L_rampe,Poussee&lt;Poids*SIN(M317)), g*SIN(M317), (-W317+Poussee)/m)</f>
        <v>22.8054548197448</v>
      </c>
    </row>
    <row r="319" customFormat="false" ht="12" hidden="false" customHeight="false" outlineLevel="0" collapsed="false">
      <c r="A319" s="448" t="n">
        <f aca="false">IF(B318+0.01&lt;=T_ini+ROUNDUP(Temps_fin_propu,0), 0.01, IF(K318&gt;0, 0.1, 0.0001))</f>
        <v>0.01</v>
      </c>
      <c r="B319" s="449" t="n">
        <f aca="false">B318+pas</f>
        <v>3.14999999999998</v>
      </c>
      <c r="C319" s="432"/>
      <c r="D319" s="450" t="n">
        <f aca="false">IF(AND(L318&lt;L_rampe,Poussee&lt;Poids*SIN(M318)),0,(-W318+Poussee)/m*COS(M318)-U318/m*SIN(M318))</f>
        <v>5.11706824842759</v>
      </c>
      <c r="E319" s="451" t="n">
        <f aca="false">IF(AND(L318&lt;L_rampe,Poussee&lt;Poids*SIN(M318)),0,(-W318+Poussee)/m*SIN(M318)+U318/m*COS(M318)-Poids/m)</f>
        <v>11.4166526503098</v>
      </c>
      <c r="F319" s="449" t="n">
        <f aca="false">SQRT(acc_x^2+acc_z^2)</f>
        <v>12.5109689951215</v>
      </c>
      <c r="G319" s="450" t="n">
        <f aca="false">G318+acc_x*pas</f>
        <v>41.1984370520246</v>
      </c>
      <c r="H319" s="451" t="n">
        <f aca="false">H318+acc_z*pas</f>
        <v>170.801499259342</v>
      </c>
      <c r="I319" s="449" t="n">
        <f aca="false">SQRT(vit_x^2+vit_z^2)</f>
        <v>175.699924202513</v>
      </c>
      <c r="J319" s="450" t="n">
        <f aca="false">J318+0.5*(vit_x+G318)*pas*(K318&gt;=0)</f>
        <v>69.8220030162953</v>
      </c>
      <c r="K319" s="451" t="n">
        <f aca="false">K318+0.5*(vit_z+H318)*pas</f>
        <v>313.575379478655</v>
      </c>
      <c r="L319" s="449" t="n">
        <f aca="false">SQRT(pos_x^2+pos_z^2)</f>
        <v>321.254775404803</v>
      </c>
      <c r="M319" s="450" t="n">
        <f aca="false">IF(AND(L318&gt;L_rampe,G319&gt;0),ATAN2(G319,H319),$M$4)</f>
        <v>1.33411083946414</v>
      </c>
      <c r="N319" s="449" t="n">
        <f aca="false">DEGREES(Beta)</f>
        <v>76.4389205039507</v>
      </c>
      <c r="O319" s="438"/>
      <c r="P319" s="452" t="n">
        <f aca="false">MATCH(t-pas/2-T_ini,CdP_t)</f>
        <v>8</v>
      </c>
      <c r="Q319" s="449" t="n">
        <f aca="false">(INDEX(CdP,2,i_P+1)-INDEX(CdP,2,i_P+0))/(INDEX(CdP,1,i_P+1)-INDEX(CdP,1,i_P+0))*(t-pas/2-T_ini-INDEX(CdP,1,i_P+0))+INDEX(CdP,2,i_P+0)</f>
        <v>270.91304347828</v>
      </c>
      <c r="R319" s="450" t="n">
        <f aca="false">Poussee/(g*ISP)</f>
        <v>0.135958634216911</v>
      </c>
      <c r="S319" s="451" t="n">
        <f aca="false">S318-Débit*pas</f>
        <v>8.67997003602048</v>
      </c>
      <c r="T319" s="449" t="n">
        <f aca="false">m*g</f>
        <v>85.1505060533609</v>
      </c>
      <c r="U319" s="453" t="n">
        <f aca="false">IF(pos_xz&lt;L_rampe,Poids*COS(Beta),0)</f>
        <v>0</v>
      </c>
      <c r="V319" s="450" t="n">
        <f aca="false">Rho_moyen*(20000-Alt_rampe-pos_z)/(20000+Alt_rampe+pos_z)</f>
        <v>1.18717998725627</v>
      </c>
      <c r="W319" s="449" t="n">
        <f aca="false">1/2*Rho*Sref*Cx*vit_xz^2</f>
        <v>81.4884303087201</v>
      </c>
      <c r="X319" s="438"/>
      <c r="Y319" s="454" t="str">
        <f aca="false">IF(AND(pos_z&lt;=0,K318&gt;0),"Impact balistique","") &amp; IF(AND(H320&lt;0,vit_z&gt;=0),"Apogée","") &amp; IF(AND(Poussee=0,Q318&gt;0),"Fin de propulsion","") &amp; IF(AND(L320&gt;L_rampe,pos_xz&lt;=L_rampe),"Sortie de rampe","")</f>
        <v/>
      </c>
      <c r="Z319" s="455" t="str">
        <f aca="false">IF(ABS(t-T_para)&lt;pas/2,"Para","")</f>
        <v/>
      </c>
      <c r="AA319" s="456" t="str">
        <f aca="false">IF(ABS(t-T_satellite)&lt;pas/2,"Satellite","")</f>
        <v/>
      </c>
      <c r="AB319" s="444"/>
      <c r="AC319" s="452" t="e">
        <f aca="false">IF(ABS(t-ROUND(t,0))&lt;0.001,t,NA())</f>
        <v>#N/A</v>
      </c>
      <c r="AD319" s="457" t="e">
        <f aca="false">IF(ABS(t-ROUND(t,0))&lt;0.001,pos_x,NA())</f>
        <v>#N/A</v>
      </c>
      <c r="AE319" s="458" t="n">
        <f aca="false">IF(t&lt;T_para, pos_z, NA())</f>
        <v>313.575379478655</v>
      </c>
      <c r="AF319" s="444"/>
      <c r="AG319" s="450" t="n">
        <f aca="false">IF(AND(L318&lt;L_rampe,Poussee&lt;Poids*SIN(M318)),0,(-W318+Poussee)/m-Poids*SIN(M318)/m)</f>
        <v>12.2979208827394</v>
      </c>
      <c r="AH319" s="449" t="n">
        <f aca="false">IF(AND(L318&lt;L_rampe,Poussee&lt;Poids*SIN(M318)), g*SIN(M318), (-W318+Poussee)/m)</f>
        <v>21.8347239551126</v>
      </c>
    </row>
    <row r="320" customFormat="false" ht="12" hidden="false" customHeight="false" outlineLevel="0" collapsed="false">
      <c r="A320" s="448" t="n">
        <f aca="false">IF(B319+0.01&lt;=T_ini+ROUNDUP(Temps_fin_propu,0), 0.01, IF(K319&gt;0, 0.1, 0.0001))</f>
        <v>0.01</v>
      </c>
      <c r="B320" s="449" t="n">
        <f aca="false">B319+pas</f>
        <v>3.15999999999998</v>
      </c>
      <c r="C320" s="432"/>
      <c r="D320" s="450" t="n">
        <f aca="false">IF(AND(L319&lt;L_rampe,Poussee&lt;Poids*SIN(M319)),0,(-W319+Poussee)/m*COS(M319)-U319/m*SIN(M319))</f>
        <v>4.89237406181676</v>
      </c>
      <c r="E320" s="451" t="n">
        <f aca="false">IF(AND(L319&lt;L_rampe,Poussee&lt;Poids*SIN(M319)),0,(-W319+Poussee)/m*SIN(M319)+U319/m*COS(M319)-Poids/m)</f>
        <v>10.4729253847812</v>
      </c>
      <c r="F320" s="449" t="n">
        <f aca="false">SQRT(acc_x^2+acc_z^2)</f>
        <v>11.5593031829748</v>
      </c>
      <c r="G320" s="450" t="n">
        <f aca="false">G319+acc_x*pas</f>
        <v>41.2473607926428</v>
      </c>
      <c r="H320" s="451" t="n">
        <f aca="false">H319+acc_z*pas</f>
        <v>170.90622851319</v>
      </c>
      <c r="I320" s="449" t="n">
        <f aca="false">SQRT(vit_x^2+vit_z^2)</f>
        <v>175.813206890043</v>
      </c>
      <c r="J320" s="450" t="n">
        <f aca="false">J319+0.5*(vit_x+G319)*pas*(K319&gt;=0)</f>
        <v>70.2342320055186</v>
      </c>
      <c r="K320" s="451" t="n">
        <f aca="false">K319+0.5*(vit_z+H319)*pas</f>
        <v>315.283918117518</v>
      </c>
      <c r="L320" s="449" t="n">
        <f aca="false">SQRT(pos_x^2+pos_z^2)</f>
        <v>323.012068457107</v>
      </c>
      <c r="M320" s="450" t="n">
        <f aca="false">IF(AND(L319&gt;L_rampe,G320&gt;0),ATAN2(G320,H320),$M$4)</f>
        <v>1.33398000363853</v>
      </c>
      <c r="N320" s="449" t="n">
        <f aca="false">DEGREES(Beta)</f>
        <v>76.4314241633337</v>
      </c>
      <c r="O320" s="438"/>
      <c r="P320" s="452" t="n">
        <f aca="false">MATCH(t-pas/2-T_ini,CdP_t)</f>
        <v>8</v>
      </c>
      <c r="Q320" s="449" t="n">
        <f aca="false">(INDEX(CdP,2,i_P+1)-INDEX(CdP,2,i_P+0))/(INDEX(CdP,1,i_P+1)-INDEX(CdP,1,i_P+0))*(t-pas/2-T_ini-INDEX(CdP,1,i_P+0))+INDEX(CdP,2,i_P+0)</f>
        <v>262.565217391324</v>
      </c>
      <c r="R320" s="450" t="n">
        <f aca="false">Poussee/(g*ISP)</f>
        <v>0.131769249243449</v>
      </c>
      <c r="S320" s="451" t="n">
        <f aca="false">S319-Débit*pas</f>
        <v>8.67865234352805</v>
      </c>
      <c r="T320" s="449" t="n">
        <f aca="false">m*g</f>
        <v>85.1375794900101</v>
      </c>
      <c r="U320" s="453" t="n">
        <f aca="false">IF(pos_xz&lt;L_rampe,Poids*COS(Beta),0)</f>
        <v>0</v>
      </c>
      <c r="V320" s="450" t="n">
        <f aca="false">Rho_moyen*(20000-Alt_rampe-pos_z)/(20000+Alt_rampe+pos_z)</f>
        <v>1.18697712015735</v>
      </c>
      <c r="W320" s="449" t="n">
        <f aca="false">1/2*Rho*Sref*Cx*vit_xz^2</f>
        <v>81.5796008370985</v>
      </c>
      <c r="X320" s="438"/>
      <c r="Y320" s="454" t="str">
        <f aca="false">IF(AND(pos_z&lt;=0,K319&gt;0),"Impact balistique","") &amp; IF(AND(H321&lt;0,vit_z&gt;=0),"Apogée","") &amp; IF(AND(Poussee=0,Q319&gt;0),"Fin de propulsion","") &amp; IF(AND(L321&gt;L_rampe,pos_xz&lt;=L_rampe),"Sortie de rampe","")</f>
        <v/>
      </c>
      <c r="Z320" s="455" t="str">
        <f aca="false">IF(ABS(t-T_para)&lt;pas/2,"Para","")</f>
        <v/>
      </c>
      <c r="AA320" s="456" t="str">
        <f aca="false">IF(ABS(t-T_satellite)&lt;pas/2,"Satellite","")</f>
        <v/>
      </c>
      <c r="AB320" s="444"/>
      <c r="AC320" s="452" t="e">
        <f aca="false">IF(ABS(t-ROUND(t,0))&lt;0.001,t,NA())</f>
        <v>#N/A</v>
      </c>
      <c r="AD320" s="457" t="e">
        <f aca="false">IF(ABS(t-ROUND(t,0))&lt;0.001,pos_x,NA())</f>
        <v>#N/A</v>
      </c>
      <c r="AE320" s="458" t="n">
        <f aca="false">IF(t&lt;T_para, pos_z, NA())</f>
        <v>315.283918117518</v>
      </c>
      <c r="AF320" s="444"/>
      <c r="AG320" s="450" t="n">
        <f aca="false">IF(AND(L319&lt;L_rampe,Poussee&lt;Poids*SIN(M319)),0,(-W319+Poussee)/m-Poids*SIN(M319)/m)</f>
        <v>11.3281182744193</v>
      </c>
      <c r="AH320" s="449" t="n">
        <f aca="false">IF(AND(L319&lt;L_rampe,Poussee&lt;Poids*SIN(M319)), g*SIN(M319), (-W319+Poussee)/m)</f>
        <v>20.864620440481</v>
      </c>
    </row>
    <row r="321" customFormat="false" ht="12" hidden="false" customHeight="false" outlineLevel="0" collapsed="false">
      <c r="A321" s="448" t="n">
        <f aca="false">IF(B320+0.01&lt;=T_ini+ROUNDUP(Temps_fin_propu,0), 0.01, IF(K320&gt;0, 0.1, 0.0001))</f>
        <v>0.01</v>
      </c>
      <c r="B321" s="449" t="n">
        <f aca="false">B320+pas</f>
        <v>3.16999999999998</v>
      </c>
      <c r="C321" s="432"/>
      <c r="D321" s="450" t="n">
        <f aca="false">IF(AND(L320&lt;L_rampe,Poussee&lt;Poids*SIN(M320)),0,(-W320+Poussee)/m*COS(M320)-U320/m*SIN(M320))</f>
        <v>4.66758349244438</v>
      </c>
      <c r="E321" s="451" t="n">
        <f aca="false">IF(AND(L320&lt;L_rampe,Poussee&lt;Poids*SIN(M320)),0,(-W320+Poussee)/m*SIN(M320)+U320/m*COS(M320)-Poids/m)</f>
        <v>9.52988201025413</v>
      </c>
      <c r="F321" s="449" t="n">
        <f aca="false">SQRT(acc_x^2+acc_z^2)</f>
        <v>10.6115496883492</v>
      </c>
      <c r="G321" s="450" t="n">
        <f aca="false">G320+acc_x*pas</f>
        <v>41.2940366275673</v>
      </c>
      <c r="H321" s="451" t="n">
        <f aca="false">H320+acc_z*pas</f>
        <v>171.001527333293</v>
      </c>
      <c r="I321" s="449" t="n">
        <f aca="false">SQRT(vit_x^2+vit_z^2)</f>
        <v>175.916797979379</v>
      </c>
      <c r="J321" s="450" t="n">
        <f aca="false">J320+0.5*(vit_x+G320)*pas*(K320&gt;=0)</f>
        <v>70.6469389926197</v>
      </c>
      <c r="K321" s="451" t="n">
        <f aca="false">K320+0.5*(vit_z+H320)*pas</f>
        <v>316.99345689675</v>
      </c>
      <c r="L321" s="449" t="n">
        <f aca="false">SQRT(pos_x^2+pos_z^2)</f>
        <v>324.770444628785</v>
      </c>
      <c r="M321" s="450" t="n">
        <f aca="false">IF(AND(L320&gt;L_rampe,G321&gt;0),ATAN2(G321,H321),$M$4)</f>
        <v>1.33384917393206</v>
      </c>
      <c r="N321" s="449" t="n">
        <f aca="false">DEGREES(Beta)</f>
        <v>76.4239281733182</v>
      </c>
      <c r="O321" s="438"/>
      <c r="P321" s="452" t="n">
        <f aca="false">MATCH(t-pas/2-T_ini,CdP_t)</f>
        <v>8</v>
      </c>
      <c r="Q321" s="449" t="n">
        <f aca="false">(INDEX(CdP,2,i_P+1)-INDEX(CdP,2,i_P+0))/(INDEX(CdP,1,i_P+1)-INDEX(CdP,1,i_P+0))*(t-pas/2-T_ini-INDEX(CdP,1,i_P+0))+INDEX(CdP,2,i_P+0)</f>
        <v>254.217391304368</v>
      </c>
      <c r="R321" s="450" t="n">
        <f aca="false">Poussee/(g*ISP)</f>
        <v>0.127579864269986</v>
      </c>
      <c r="S321" s="451" t="n">
        <f aca="false">S320-Débit*pas</f>
        <v>8.67737654488535</v>
      </c>
      <c r="T321" s="449" t="n">
        <f aca="false">m*g</f>
        <v>85.1250639053253</v>
      </c>
      <c r="U321" s="453" t="n">
        <f aca="false">IF(pos_xz&lt;L_rampe,Poids*COS(Beta),0)</f>
        <v>0</v>
      </c>
      <c r="V321" s="450" t="n">
        <f aca="false">Rho_moyen*(20000-Alt_rampe-pos_z)/(20000+Alt_rampe+pos_z)</f>
        <v>1.18677416845437</v>
      </c>
      <c r="W321" s="449" t="n">
        <f aca="false">1/2*Rho*Sref*Cx*vit_xz^2</f>
        <v>81.6617992840951</v>
      </c>
      <c r="X321" s="438"/>
      <c r="Y321" s="454" t="str">
        <f aca="false">IF(AND(pos_z&lt;=0,K320&gt;0),"Impact balistique","") &amp; IF(AND(H322&lt;0,vit_z&gt;=0),"Apogée","") &amp; IF(AND(Poussee=0,Q320&gt;0),"Fin de propulsion","") &amp; IF(AND(L322&gt;L_rampe,pos_xz&lt;=L_rampe),"Sortie de rampe","")</f>
        <v/>
      </c>
      <c r="Z321" s="455" t="str">
        <f aca="false">IF(ABS(t-T_para)&lt;pas/2,"Para","")</f>
        <v/>
      </c>
      <c r="AA321" s="456" t="str">
        <f aca="false">IF(ABS(t-T_satellite)&lt;pas/2,"Satellite","")</f>
        <v/>
      </c>
      <c r="AB321" s="444"/>
      <c r="AC321" s="452" t="e">
        <f aca="false">IF(ABS(t-ROUND(t,0))&lt;0.001,t,NA())</f>
        <v>#N/A</v>
      </c>
      <c r="AD321" s="457" t="e">
        <f aca="false">IF(ABS(t-ROUND(t,0))&lt;0.001,pos_x,NA())</f>
        <v>#N/A</v>
      </c>
      <c r="AE321" s="458" t="n">
        <f aca="false">IF(t&lt;T_para, pos_z, NA())</f>
        <v>316.99345689675</v>
      </c>
      <c r="AF321" s="444"/>
      <c r="AG321" s="450" t="n">
        <f aca="false">IF(AND(L320&lt;L_rampe,Poussee&lt;Poids*SIN(M320)),0,(-W320+Poussee)/m-Poids*SIN(M320)/m)</f>
        <v>10.3589583803559</v>
      </c>
      <c r="AH321" s="449" t="n">
        <f aca="false">IF(AND(L320&lt;L_rampe,Poussee&lt;Poids*SIN(M320)), g*SIN(M320), (-W320+Poussee)/m)</f>
        <v>19.8951595075157</v>
      </c>
    </row>
    <row r="322" customFormat="false" ht="12" hidden="false" customHeight="false" outlineLevel="0" collapsed="false">
      <c r="A322" s="448" t="n">
        <f aca="false">IF(B321+0.01&lt;=T_ini+ROUNDUP(Temps_fin_propu,0), 0.01, IF(K321&gt;0, 0.1, 0.0001))</f>
        <v>0.01</v>
      </c>
      <c r="B322" s="449" t="n">
        <f aca="false">B321+pas</f>
        <v>3.17999999999998</v>
      </c>
      <c r="C322" s="432"/>
      <c r="D322" s="450" t="n">
        <f aca="false">IF(AND(L321&lt;L_rampe,Poussee&lt;Poids*SIN(M321)),0,(-W321+Poussee)/m*COS(M321)-U321/m*SIN(M321))</f>
        <v>4.44270049579388</v>
      </c>
      <c r="E322" s="451" t="n">
        <f aca="false">IF(AND(L321&lt;L_rampe,Poussee&lt;Poids*SIN(M321)),0,(-W321+Poussee)/m*SIN(M321)+U321/m*COS(M321)-Poids/m)</f>
        <v>8.58753708548706</v>
      </c>
      <c r="F322" s="449" t="n">
        <f aca="false">SQRT(acc_x^2+acc_z^2)</f>
        <v>9.66868041099419</v>
      </c>
      <c r="G322" s="450" t="n">
        <f aca="false">G321+acc_x*pas</f>
        <v>41.3384636325252</v>
      </c>
      <c r="H322" s="451" t="n">
        <f aca="false">H321+acc_z*pas</f>
        <v>171.087402704148</v>
      </c>
      <c r="I322" s="449" t="n">
        <f aca="false">SQRT(vit_x^2+vit_z^2)</f>
        <v>176.010704048216</v>
      </c>
      <c r="J322" s="450" t="n">
        <f aca="false">J321+0.5*(vit_x+G321)*pas*(K321&gt;=0)</f>
        <v>71.0601014939201</v>
      </c>
      <c r="K322" s="451" t="n">
        <f aca="false">K321+0.5*(vit_z+H321)*pas</f>
        <v>318.703901546938</v>
      </c>
      <c r="L322" s="449" t="n">
        <f aca="false">SQRT(pos_x^2+pos_z^2)</f>
        <v>326.52980703998</v>
      </c>
      <c r="M322" s="450" t="n">
        <f aca="false">IF(AND(L321&gt;L_rampe,G322&gt;0),ATAN2(G322,H322),$M$4)</f>
        <v>1.3337183431445</v>
      </c>
      <c r="N322" s="449" t="n">
        <f aca="false">DEGREES(Beta)</f>
        <v>76.4164321213608</v>
      </c>
      <c r="O322" s="438"/>
      <c r="P322" s="452" t="n">
        <f aca="false">MATCH(t-pas/2-T_ini,CdP_t)</f>
        <v>8</v>
      </c>
      <c r="Q322" s="449" t="n">
        <f aca="false">(INDEX(CdP,2,i_P+1)-INDEX(CdP,2,i_P+0))/(INDEX(CdP,1,i_P+1)-INDEX(CdP,1,i_P+0))*(t-pas/2-T_ini-INDEX(CdP,1,i_P+0))+INDEX(CdP,2,i_P+0)</f>
        <v>245.869565217411</v>
      </c>
      <c r="R322" s="450" t="n">
        <f aca="false">Poussee/(g*ISP)</f>
        <v>0.123390479296524</v>
      </c>
      <c r="S322" s="451" t="n">
        <f aca="false">S321-Débit*pas</f>
        <v>8.67614264009238</v>
      </c>
      <c r="T322" s="449" t="n">
        <f aca="false">m*g</f>
        <v>85.1129592993063</v>
      </c>
      <c r="U322" s="453" t="n">
        <f aca="false">IF(pos_xz&lt;L_rampe,Poids*COS(Beta),0)</f>
        <v>0</v>
      </c>
      <c r="V322" s="450" t="n">
        <f aca="false">Rho_moyen*(20000-Alt_rampe-pos_z)/(20000+Alt_rampe+pos_z)</f>
        <v>1.18657114338722</v>
      </c>
      <c r="W322" s="449" t="n">
        <f aca="false">1/2*Rho*Sref*Cx*vit_xz^2</f>
        <v>81.7350212012405</v>
      </c>
      <c r="X322" s="438"/>
      <c r="Y322" s="454" t="str">
        <f aca="false">IF(AND(pos_z&lt;=0,K321&gt;0),"Impact balistique","") &amp; IF(AND(H323&lt;0,vit_z&gt;=0),"Apogée","") &amp; IF(AND(Poussee=0,Q321&gt;0),"Fin de propulsion","") &amp; IF(AND(L323&gt;L_rampe,pos_xz&lt;=L_rampe),"Sortie de rampe","")</f>
        <v/>
      </c>
      <c r="Z322" s="455" t="str">
        <f aca="false">IF(ABS(t-T_para)&lt;pas/2,"Para","")</f>
        <v/>
      </c>
      <c r="AA322" s="456" t="str">
        <f aca="false">IF(ABS(t-T_satellite)&lt;pas/2,"Satellite","")</f>
        <v/>
      </c>
      <c r="AB322" s="444"/>
      <c r="AC322" s="452" t="e">
        <f aca="false">IF(ABS(t-ROUND(t,0))&lt;0.001,t,NA())</f>
        <v>#N/A</v>
      </c>
      <c r="AD322" s="457" t="e">
        <f aca="false">IF(ABS(t-ROUND(t,0))&lt;0.001,pos_x,NA())</f>
        <v>#N/A</v>
      </c>
      <c r="AE322" s="458" t="n">
        <f aca="false">IF(t&lt;T_para, pos_z, NA())</f>
        <v>318.703901546938</v>
      </c>
      <c r="AF322" s="444"/>
      <c r="AG322" s="450" t="n">
        <f aca="false">IF(AND(L321&lt;L_rampe,Poussee&lt;Poids*SIN(M321)),0,(-W321+Poussee)/m-Poids*SIN(M321)/m)</f>
        <v>9.39045624762817</v>
      </c>
      <c r="AH322" s="449" t="n">
        <f aca="false">IF(AND(L321&lt;L_rampe,Poussee&lt;Poids*SIN(M321)), g*SIN(M321), (-W321+Poussee)/m)</f>
        <v>18.926356186736</v>
      </c>
    </row>
    <row r="323" customFormat="false" ht="12" hidden="false" customHeight="false" outlineLevel="0" collapsed="false">
      <c r="A323" s="448" t="n">
        <f aca="false">IF(B322+0.01&lt;=T_ini+ROUNDUP(Temps_fin_propu,0), 0.01, IF(K322&gt;0, 0.1, 0.0001))</f>
        <v>0.01</v>
      </c>
      <c r="B323" s="449" t="n">
        <f aca="false">B322+pas</f>
        <v>3.18999999999998</v>
      </c>
      <c r="C323" s="432"/>
      <c r="D323" s="450" t="n">
        <f aca="false">IF(AND(L322&lt;L_rampe,Poussee&lt;Poids*SIN(M322)),0,(-W322+Poussee)/m*COS(M322)-U322/m*SIN(M322))</f>
        <v>4.21772896024045</v>
      </c>
      <c r="E323" s="451" t="n">
        <f aca="false">IF(AND(L322&lt;L_rampe,Poussee&lt;Poids*SIN(M322)),0,(-W322+Poussee)/m*SIN(M322)+U322/m*COS(M322)-Poids/m)</f>
        <v>7.64590497828385</v>
      </c>
      <c r="F323" s="449" t="n">
        <f aca="false">SQRT(acc_x^2+acc_z^2)</f>
        <v>8.73207309400218</v>
      </c>
      <c r="G323" s="450" t="n">
        <f aca="false">G322+acc_x*pas</f>
        <v>41.3806409221276</v>
      </c>
      <c r="H323" s="451" t="n">
        <f aca="false">H322+acc_z*pas</f>
        <v>171.16386175393</v>
      </c>
      <c r="I323" s="449" t="n">
        <f aca="false">SQRT(vit_x^2+vit_z^2)</f>
        <v>176.094931822709</v>
      </c>
      <c r="J323" s="450" t="n">
        <f aca="false">J322+0.5*(vit_x+G322)*pas*(K322&gt;=0)</f>
        <v>71.4736970166934</v>
      </c>
      <c r="K323" s="451" t="n">
        <f aca="false">K322+0.5*(vit_z+H322)*pas</f>
        <v>320.415157869228</v>
      </c>
      <c r="L323" s="449" t="n">
        <f aca="false">SQRT(pos_x^2+pos_z^2)</f>
        <v>328.290058877201</v>
      </c>
      <c r="M323" s="450" t="n">
        <f aca="false">IF(AND(L322&gt;L_rampe,G323&gt;0),ATAN2(G323,H323),$M$4)</f>
        <v>1.33358750408805</v>
      </c>
      <c r="N323" s="449" t="n">
        <f aca="false">DEGREES(Beta)</f>
        <v>76.4089355956307</v>
      </c>
      <c r="O323" s="438"/>
      <c r="P323" s="452" t="n">
        <f aca="false">MATCH(t-pas/2-T_ini,CdP_t)</f>
        <v>8</v>
      </c>
      <c r="Q323" s="449" t="n">
        <f aca="false">(INDEX(CdP,2,i_P+1)-INDEX(CdP,2,i_P+0))/(INDEX(CdP,1,i_P+1)-INDEX(CdP,1,i_P+0))*(t-pas/2-T_ini-INDEX(CdP,1,i_P+0))+INDEX(CdP,2,i_P+0)</f>
        <v>237.521739130455</v>
      </c>
      <c r="R323" s="450" t="n">
        <f aca="false">Poussee/(g*ISP)</f>
        <v>0.119201094323061</v>
      </c>
      <c r="S323" s="451" t="n">
        <f aca="false">S322-Débit*pas</f>
        <v>8.67495062914915</v>
      </c>
      <c r="T323" s="449" t="n">
        <f aca="false">m*g</f>
        <v>85.1012656719532</v>
      </c>
      <c r="U323" s="453" t="n">
        <f aca="false">IF(pos_xz&lt;L_rampe,Poids*COS(Beta),0)</f>
        <v>0</v>
      </c>
      <c r="V323" s="450" t="n">
        <f aca="false">Rho_moyen*(20000-Alt_rampe-pos_z)/(20000+Alt_rampe+pos_z)</f>
        <v>1.18636805617992</v>
      </c>
      <c r="W323" s="449" t="n">
        <f aca="false">1/2*Rho*Sref*Cx*vit_xz^2</f>
        <v>81.7992637886785</v>
      </c>
      <c r="X323" s="438"/>
      <c r="Y323" s="454" t="str">
        <f aca="false">IF(AND(pos_z&lt;=0,K322&gt;0),"Impact balistique","") &amp; IF(AND(H324&lt;0,vit_z&gt;=0),"Apogée","") &amp; IF(AND(Poussee=0,Q322&gt;0),"Fin de propulsion","") &amp; IF(AND(L324&gt;L_rampe,pos_xz&lt;=L_rampe),"Sortie de rampe","")</f>
        <v/>
      </c>
      <c r="Z323" s="455" t="str">
        <f aca="false">IF(ABS(t-T_para)&lt;pas/2,"Para","")</f>
        <v/>
      </c>
      <c r="AA323" s="456" t="str">
        <f aca="false">IF(ABS(t-T_satellite)&lt;pas/2,"Satellite","")</f>
        <v/>
      </c>
      <c r="AB323" s="444"/>
      <c r="AC323" s="452" t="e">
        <f aca="false">IF(ABS(t-ROUND(t,0))&lt;0.001,t,NA())</f>
        <v>#N/A</v>
      </c>
      <c r="AD323" s="457" t="e">
        <f aca="false">IF(ABS(t-ROUND(t,0))&lt;0.001,pos_x,NA())</f>
        <v>#N/A</v>
      </c>
      <c r="AE323" s="458" t="n">
        <f aca="false">IF(t&lt;T_para, pos_z, NA())</f>
        <v>320.415157869228</v>
      </c>
      <c r="AF323" s="444"/>
      <c r="AG323" s="450" t="n">
        <f aca="false">IF(AND(L322&lt;L_rampe,Poussee&lt;Poids*SIN(M322)),0,(-W322+Poussee)/m-Poids*SIN(M322)/m)</f>
        <v>8.42262672209945</v>
      </c>
      <c r="AH323" s="449" t="n">
        <f aca="false">IF(AND(L322&lt;L_rampe,Poussee&lt;Poids*SIN(M322)), g*SIN(M322), (-W322+Poussee)/m)</f>
        <v>17.9582253074441</v>
      </c>
    </row>
    <row r="324" customFormat="false" ht="12" hidden="false" customHeight="false" outlineLevel="0" collapsed="false">
      <c r="A324" s="448" t="n">
        <f aca="false">IF(B323+0.01&lt;=T_ini+ROUNDUP(Temps_fin_propu,0), 0.01, IF(K323&gt;0, 0.1, 0.0001))</f>
        <v>0.01</v>
      </c>
      <c r="B324" s="449" t="n">
        <f aca="false">B323+pas</f>
        <v>3.19999999999998</v>
      </c>
      <c r="C324" s="432"/>
      <c r="D324" s="450" t="n">
        <f aca="false">IF(AND(L323&lt;L_rampe,Poussee&lt;Poids*SIN(M323)),0,(-W323+Poussee)/m*COS(M323)-U323/m*SIN(M323))</f>
        <v>3.99267270707014</v>
      </c>
      <c r="E324" s="451" t="n">
        <f aca="false">IF(AND(L323&lt;L_rampe,Poussee&lt;Poids*SIN(M323)),0,(-W323+Poussee)/m*SIN(M323)+U323/m*COS(M323)-Poids/m)</f>
        <v>6.70499986546142</v>
      </c>
      <c r="F324" s="449" t="n">
        <f aca="false">SQRT(acc_x^2+acc_z^2)</f>
        <v>7.8037464426787</v>
      </c>
      <c r="G324" s="450" t="n">
        <f aca="false">G323+acc_x*pas</f>
        <v>41.4205676491983</v>
      </c>
      <c r="H324" s="451" t="n">
        <f aca="false">H323+acc_z*pas</f>
        <v>171.230911752585</v>
      </c>
      <c r="I324" s="449" t="n">
        <f aca="false">SQRT(vit_x^2+vit_z^2)</f>
        <v>176.16948817546</v>
      </c>
      <c r="J324" s="450" t="n">
        <f aca="false">J323+0.5*(vit_x+G323)*pas*(K323&gt;=0)</f>
        <v>71.88770305955</v>
      </c>
      <c r="K324" s="451" t="n">
        <f aca="false">K323+0.5*(vit_z+H323)*pas</f>
        <v>322.127131736761</v>
      </c>
      <c r="L324" s="449" t="n">
        <f aca="false">SQRT(pos_x^2+pos_z^2)</f>
        <v>330.051103394808</v>
      </c>
      <c r="M324" s="450" t="n">
        <f aca="false">IF(AND(L323&gt;L_rampe,G324&gt;0),ATAN2(G324,H324),$M$4)</f>
        <v>1.33345664958507</v>
      </c>
      <c r="N324" s="449" t="n">
        <f aca="false">DEGREES(Beta)</f>
        <v>76.4014381848798</v>
      </c>
      <c r="O324" s="438"/>
      <c r="P324" s="452" t="n">
        <f aca="false">MATCH(t-pas/2-T_ini,CdP_t)</f>
        <v>8</v>
      </c>
      <c r="Q324" s="449" t="n">
        <f aca="false">(INDEX(CdP,2,i_P+1)-INDEX(CdP,2,i_P+0))/(INDEX(CdP,1,i_P+1)-INDEX(CdP,1,i_P+0))*(t-pas/2-T_ini-INDEX(CdP,1,i_P+0))+INDEX(CdP,2,i_P+0)</f>
        <v>229.173913043499</v>
      </c>
      <c r="R324" s="450" t="n">
        <f aca="false">Poussee/(g*ISP)</f>
        <v>0.115011709349599</v>
      </c>
      <c r="S324" s="451" t="n">
        <f aca="false">S323-Débit*pas</f>
        <v>8.67380051205566</v>
      </c>
      <c r="T324" s="449" t="n">
        <f aca="false">m*g</f>
        <v>85.089983023266</v>
      </c>
      <c r="U324" s="453" t="n">
        <f aca="false">IF(pos_xz&lt;L_rampe,Poids*COS(Beta),0)</f>
        <v>0</v>
      </c>
      <c r="V324" s="450" t="n">
        <f aca="false">Rho_moyen*(20000-Alt_rampe-pos_z)/(20000+Alt_rampe+pos_z)</f>
        <v>1.18616491804037</v>
      </c>
      <c r="W324" s="449" t="n">
        <f aca="false">1/2*Rho*Sref*Cx*vit_xz^2</f>
        <v>81.8545258879703</v>
      </c>
      <c r="X324" s="438"/>
      <c r="Y324" s="454" t="str">
        <f aca="false">IF(AND(pos_z&lt;=0,K323&gt;0),"Impact balistique","") &amp; IF(AND(H325&lt;0,vit_z&gt;=0),"Apogée","") &amp; IF(AND(Poussee=0,Q323&gt;0),"Fin de propulsion","") &amp; IF(AND(L325&gt;L_rampe,pos_xz&lt;=L_rampe),"Sortie de rampe","")</f>
        <v/>
      </c>
      <c r="Z324" s="455" t="str">
        <f aca="false">IF(ABS(t-T_para)&lt;pas/2,"Para","")</f>
        <v/>
      </c>
      <c r="AA324" s="456" t="str">
        <f aca="false">IF(ABS(t-T_satellite)&lt;pas/2,"Satellite","")</f>
        <v/>
      </c>
      <c r="AB324" s="444"/>
      <c r="AC324" s="452" t="e">
        <f aca="false">IF(ABS(t-ROUND(t,0))&lt;0.001,t,NA())</f>
        <v>#N/A</v>
      </c>
      <c r="AD324" s="457" t="e">
        <f aca="false">IF(ABS(t-ROUND(t,0))&lt;0.001,pos_x,NA())</f>
        <v>#N/A</v>
      </c>
      <c r="AE324" s="458" t="n">
        <f aca="false">IF(t&lt;T_para, pos_z, NA())</f>
        <v>322.127131736761</v>
      </c>
      <c r="AF324" s="444"/>
      <c r="AG324" s="450" t="n">
        <f aca="false">IF(AND(L323&lt;L_rampe,Poussee&lt;Poids*SIN(M323)),0,(-W323+Poussee)/m-Poids*SIN(M323)/m)</f>
        <v>7.45548444838036</v>
      </c>
      <c r="AH324" s="449" t="n">
        <f aca="false">IF(AND(L323&lt;L_rampe,Poussee&lt;Poids*SIN(M323)), g*SIN(M323), (-W323+Poussee)/m)</f>
        <v>16.990781497682</v>
      </c>
    </row>
    <row r="325" customFormat="false" ht="12" hidden="false" customHeight="false" outlineLevel="0" collapsed="false">
      <c r="A325" s="448" t="n">
        <f aca="false">IF(B324+0.01&lt;=T_ini+ROUNDUP(Temps_fin_propu,0), 0.01, IF(K324&gt;0, 0.1, 0.0001))</f>
        <v>0.01</v>
      </c>
      <c r="B325" s="449" t="n">
        <f aca="false">B324+pas</f>
        <v>3.20999999999998</v>
      </c>
      <c r="C325" s="432"/>
      <c r="D325" s="450" t="n">
        <f aca="false">IF(AND(L324&lt;L_rampe,Poussee&lt;Poids*SIN(M324)),0,(-W324+Poussee)/m*COS(M324)-U324/m*SIN(M324))</f>
        <v>3.80137131434929</v>
      </c>
      <c r="E325" s="451" t="n">
        <f aca="false">IF(AND(L324&lt;L_rampe,Poussee&lt;Poids*SIN(M324)),0,(-W324+Poussee)/m*SIN(M324)+U324/m*COS(M324)-Poids/m)</f>
        <v>5.90471162778112</v>
      </c>
      <c r="F325" s="449" t="n">
        <f aca="false">SQRT(acc_x^2+acc_z^2)</f>
        <v>7.02253823605192</v>
      </c>
      <c r="G325" s="450" t="n">
        <f aca="false">G324+acc_x*pas</f>
        <v>41.4585813623418</v>
      </c>
      <c r="H325" s="451" t="n">
        <f aca="false">H324+acc_z*pas</f>
        <v>171.289958868863</v>
      </c>
      <c r="I325" s="449" t="n">
        <f aca="false">SQRT(vit_x^2+vit_z^2)</f>
        <v>176.235819224908</v>
      </c>
      <c r="J325" s="450" t="n">
        <f aca="false">J324+0.5*(vit_x+G324)*pas*(K324&gt;=0)</f>
        <v>72.3020988046077</v>
      </c>
      <c r="K325" s="451" t="n">
        <f aca="false">K324+0.5*(vit_z+H324)*pas</f>
        <v>323.839736089868</v>
      </c>
      <c r="L325" s="449" t="n">
        <f aca="false">SQRT(pos_x^2+pos_z^2)</f>
        <v>331.812851110843</v>
      </c>
      <c r="M325" s="450" t="n">
        <f aca="false">IF(AND(L324&gt;L_rampe,G325&gt;0),ATAN2(G325,H325),$M$4)</f>
        <v>1.33332577353453</v>
      </c>
      <c r="N325" s="449" t="n">
        <f aca="false">DEGREES(Beta)</f>
        <v>76.3939395395446</v>
      </c>
      <c r="O325" s="438"/>
      <c r="P325" s="452" t="n">
        <f aca="false">MATCH(t-pas/2-T_ini,CdP_t)</f>
        <v>9</v>
      </c>
      <c r="Q325" s="449" t="n">
        <f aca="false">(INDEX(CdP,2,i_P+1)-INDEX(CdP,2,i_P+0))/(INDEX(CdP,1,i_P+1)-INDEX(CdP,1,i_P+0))*(t-pas/2-T_ini-INDEX(CdP,1,i_P+0))+INDEX(CdP,2,i_P+0)</f>
        <v>222.074074074088</v>
      </c>
      <c r="R325" s="450" t="n">
        <f aca="false">Poussee/(g*ISP)</f>
        <v>0.111448630964566</v>
      </c>
      <c r="S325" s="451" t="n">
        <f aca="false">S324-Débit*pas</f>
        <v>8.67268602574601</v>
      </c>
      <c r="T325" s="449" t="n">
        <f aca="false">m*g</f>
        <v>85.0790499125684</v>
      </c>
      <c r="U325" s="453" t="n">
        <f aca="false">IF(pos_xz&lt;L_rampe,Poids*COS(Beta),0)</f>
        <v>0</v>
      </c>
      <c r="V325" s="450" t="n">
        <f aca="false">Rho_moyen*(20000-Alt_rampe-pos_z)/(20000+Alt_rampe+pos_z)</f>
        <v>1.18596173933062</v>
      </c>
      <c r="W325" s="449" t="n">
        <f aca="false">1/2*Rho*Sref*Cx*vit_xz^2</f>
        <v>81.9021455004207</v>
      </c>
      <c r="X325" s="438"/>
      <c r="Y325" s="454" t="str">
        <f aca="false">IF(AND(pos_z&lt;=0,K324&gt;0),"Impact balistique","") &amp; IF(AND(H326&lt;0,vit_z&gt;=0),"Apogée","") &amp; IF(AND(Poussee=0,Q324&gt;0),"Fin de propulsion","") &amp; IF(AND(L326&gt;L_rampe,pos_xz&lt;=L_rampe),"Sortie de rampe","")</f>
        <v/>
      </c>
      <c r="Z325" s="455" t="str">
        <f aca="false">IF(ABS(t-T_para)&lt;pas/2,"Para","")</f>
        <v/>
      </c>
      <c r="AA325" s="456" t="str">
        <f aca="false">IF(ABS(t-T_satellite)&lt;pas/2,"Satellite","")</f>
        <v/>
      </c>
      <c r="AB325" s="444"/>
      <c r="AC325" s="452" t="e">
        <f aca="false">IF(ABS(t-ROUND(t,0))&lt;0.001,t,NA())</f>
        <v>#N/A</v>
      </c>
      <c r="AD325" s="457" t="e">
        <f aca="false">IF(ABS(t-ROUND(t,0))&lt;0.001,pos_x,NA())</f>
        <v>#N/A</v>
      </c>
      <c r="AE325" s="458" t="n">
        <f aca="false">IF(t&lt;T_para, pos_z, NA())</f>
        <v>323.839736089868</v>
      </c>
      <c r="AF325" s="444"/>
      <c r="AG325" s="450" t="n">
        <f aca="false">IF(AND(L324&lt;L_rampe,Poussee&lt;Poids*SIN(M324)),0,(-W324+Poussee)/m-Poids*SIN(M324)/m)</f>
        <v>6.63295401178077</v>
      </c>
      <c r="AH325" s="449" t="n">
        <f aca="false">IF(AND(L324&lt;L_rampe,Poussee&lt;Poids*SIN(M324)), g*SIN(M324), (-W324+Poussee)/m)</f>
        <v>16.1679493261785</v>
      </c>
    </row>
    <row r="326" customFormat="false" ht="12" hidden="false" customHeight="false" outlineLevel="0" collapsed="false">
      <c r="A326" s="448" t="n">
        <f aca="false">IF(B325+0.01&lt;=T_ini+ROUNDUP(Temps_fin_propu,0), 0.01, IF(K325&gt;0, 0.1, 0.0001))</f>
        <v>0.01</v>
      </c>
      <c r="B326" s="449" t="n">
        <f aca="false">B325+pas</f>
        <v>3.21999999999998</v>
      </c>
      <c r="C326" s="432"/>
      <c r="D326" s="450" t="n">
        <f aca="false">IF(AND(L325&lt;L_rampe,Poussee&lt;Poids*SIN(M325)),0,(-W325+Poussee)/m*COS(M325)-U325/m*SIN(M325))</f>
        <v>3.64386186229115</v>
      </c>
      <c r="E326" s="451" t="n">
        <f aca="false">IF(AND(L325&lt;L_rampe,Poussee&lt;Poids*SIN(M325)),0,(-W325+Poussee)/m*SIN(M325)+U325/m*COS(M325)-Poids/m)</f>
        <v>5.24495190635277</v>
      </c>
      <c r="F326" s="449" t="n">
        <f aca="false">SQRT(acc_x^2+acc_z^2)</f>
        <v>6.38648962822405</v>
      </c>
      <c r="G326" s="450" t="n">
        <f aca="false">G325+acc_x*pas</f>
        <v>41.4950199809647</v>
      </c>
      <c r="H326" s="451" t="n">
        <f aca="false">H325+acc_z*pas</f>
        <v>171.342408387926</v>
      </c>
      <c r="I326" s="449" t="n">
        <f aca="false">SQRT(vit_x^2+vit_z^2)</f>
        <v>176.295370317532</v>
      </c>
      <c r="J326" s="450" t="n">
        <f aca="false">J325+0.5*(vit_x+G325)*pas*(K325&gt;=0)</f>
        <v>72.7168668113243</v>
      </c>
      <c r="K326" s="451" t="n">
        <f aca="false">K325+0.5*(vit_z+H325)*pas</f>
        <v>325.552897926152</v>
      </c>
      <c r="L326" s="449" t="n">
        <f aca="false">SQRT(pos_x^2+pos_z^2)</f>
        <v>333.575226998306</v>
      </c>
      <c r="M326" s="450" t="n">
        <f aca="false">IF(AND(L325&gt;L_rampe,G326&gt;0),ATAN2(G326,H326),$M$4)</f>
        <v>1.33319487090919</v>
      </c>
      <c r="N326" s="449" t="n">
        <f aca="false">DEGREES(Beta)</f>
        <v>76.386439371585</v>
      </c>
      <c r="O326" s="438"/>
      <c r="P326" s="452" t="n">
        <f aca="false">MATCH(t-pas/2-T_ini,CdP_t)</f>
        <v>9</v>
      </c>
      <c r="Q326" s="449" t="n">
        <f aca="false">(INDEX(CdP,2,i_P+1)-INDEX(CdP,2,i_P+0))/(INDEX(CdP,1,i_P+1)-INDEX(CdP,1,i_P+0))*(t-pas/2-T_ini-INDEX(CdP,1,i_P+0))+INDEX(CdP,2,i_P+0)</f>
        <v>216.222222222237</v>
      </c>
      <c r="R326" s="450" t="n">
        <f aca="false">Poussee/(g*ISP)</f>
        <v>0.108511859167968</v>
      </c>
      <c r="S326" s="451" t="n">
        <f aca="false">S325-Débit*pas</f>
        <v>8.67160090715433</v>
      </c>
      <c r="T326" s="449" t="n">
        <f aca="false">m*g</f>
        <v>85.068404899184</v>
      </c>
      <c r="U326" s="453" t="n">
        <f aca="false">IF(pos_xz&lt;L_rampe,Poids*COS(Beta),0)</f>
        <v>0</v>
      </c>
      <c r="V326" s="450" t="n">
        <f aca="false">Rho_moyen*(20000-Alt_rampe-pos_z)/(20000+Alt_rampe+pos_z)</f>
        <v>1.18575852873845</v>
      </c>
      <c r="W326" s="449" t="n">
        <f aca="false">1/2*Rho*Sref*Cx*vit_xz^2</f>
        <v>81.9434621146438</v>
      </c>
      <c r="X326" s="438"/>
      <c r="Y326" s="454" t="str">
        <f aca="false">IF(AND(pos_z&lt;=0,K325&gt;0),"Impact balistique","") &amp; IF(AND(H327&lt;0,vit_z&gt;=0),"Apogée","") &amp; IF(AND(Poussee=0,Q325&gt;0),"Fin de propulsion","") &amp; IF(AND(L327&gt;L_rampe,pos_xz&lt;=L_rampe),"Sortie de rampe","")</f>
        <v/>
      </c>
      <c r="Z326" s="455" t="str">
        <f aca="false">IF(ABS(t-T_para)&lt;pas/2,"Para","")</f>
        <v/>
      </c>
      <c r="AA326" s="456" t="str">
        <f aca="false">IF(ABS(t-T_satellite)&lt;pas/2,"Satellite","")</f>
        <v/>
      </c>
      <c r="AB326" s="444"/>
      <c r="AC326" s="452" t="e">
        <f aca="false">IF(ABS(t-ROUND(t,0))&lt;0.001,t,NA())</f>
        <v>#N/A</v>
      </c>
      <c r="AD326" s="457" t="e">
        <f aca="false">IF(ABS(t-ROUND(t,0))&lt;0.001,pos_x,NA())</f>
        <v>#N/A</v>
      </c>
      <c r="AE326" s="458" t="n">
        <f aca="false">IF(t&lt;T_para, pos_z, NA())</f>
        <v>325.552897926152</v>
      </c>
      <c r="AF326" s="444"/>
      <c r="AG326" s="450" t="n">
        <f aca="false">IF(AND(L325&lt;L_rampe,Poussee&lt;Poids*SIN(M325)),0,(-W325+Poussee)/m-Poids*SIN(M325)/m)</f>
        <v>5.95495821686476</v>
      </c>
      <c r="AH326" s="449" t="n">
        <f aca="false">IF(AND(L325&lt;L_rampe,Poussee&lt;Poids*SIN(M325)), g*SIN(M325), (-W325+Poussee)/m)</f>
        <v>15.4896515833654</v>
      </c>
    </row>
    <row r="327" customFormat="false" ht="12" hidden="false" customHeight="false" outlineLevel="0" collapsed="false">
      <c r="A327" s="448" t="n">
        <f aca="false">IF(B326+0.01&lt;=T_ini+ROUNDUP(Temps_fin_propu,0), 0.01, IF(K326&gt;0, 0.1, 0.0001))</f>
        <v>0.01</v>
      </c>
      <c r="B327" s="449" t="n">
        <f aca="false">B326+pas</f>
        <v>3.22999999999998</v>
      </c>
      <c r="C327" s="432"/>
      <c r="D327" s="450" t="n">
        <f aca="false">IF(AND(L326&lt;L_rampe,Poussee&lt;Poids*SIN(M326)),0,(-W326+Poussee)/m*COS(M326)-U326/m*SIN(M326))</f>
        <v>3.48629950052138</v>
      </c>
      <c r="E327" s="451" t="n">
        <f aca="false">IF(AND(L326&lt;L_rampe,Poussee&lt;Poids*SIN(M326)),0,(-W326+Poussee)/m*SIN(M326)+U326/m*COS(M326)-Poids/m)</f>
        <v>4.58572635595754</v>
      </c>
      <c r="F327" s="449" t="n">
        <f aca="false">SQRT(acc_x^2+acc_z^2)</f>
        <v>5.76048352302646</v>
      </c>
      <c r="G327" s="450" t="n">
        <f aca="false">G326+acc_x*pas</f>
        <v>41.5298829759699</v>
      </c>
      <c r="H327" s="451" t="n">
        <f aca="false">H326+acc_z*pas</f>
        <v>171.388265651486</v>
      </c>
      <c r="I327" s="449" t="n">
        <f aca="false">SQRT(vit_x^2+vit_z^2)</f>
        <v>176.348146525621</v>
      </c>
      <c r="J327" s="450" t="n">
        <f aca="false">J326+0.5*(vit_x+G326)*pas*(K326&gt;=0)</f>
        <v>73.131991326109</v>
      </c>
      <c r="K327" s="451" t="n">
        <f aca="false">K326+0.5*(vit_z+H326)*pas</f>
        <v>327.266551296349</v>
      </c>
      <c r="L327" s="449" t="n">
        <f aca="false">SQRT(pos_x^2+pos_z^2)</f>
        <v>335.338163281079</v>
      </c>
      <c r="M327" s="450" t="n">
        <f aca="false">IF(AND(L326&gt;L_rampe,G327&gt;0),ATAN2(G327,H327),$M$4)</f>
        <v>1.33306393668486</v>
      </c>
      <c r="N327" s="449" t="n">
        <f aca="false">DEGREES(Beta)</f>
        <v>76.378937393137</v>
      </c>
      <c r="O327" s="438"/>
      <c r="P327" s="452" t="n">
        <f aca="false">MATCH(t-pas/2-T_ini,CdP_t)</f>
        <v>9</v>
      </c>
      <c r="Q327" s="449" t="n">
        <f aca="false">(INDEX(CdP,2,i_P+1)-INDEX(CdP,2,i_P+0))/(INDEX(CdP,1,i_P+1)-INDEX(CdP,1,i_P+0))*(t-pas/2-T_ini-INDEX(CdP,1,i_P+0))+INDEX(CdP,2,i_P+0)</f>
        <v>210.370370370385</v>
      </c>
      <c r="R327" s="450" t="n">
        <f aca="false">Poussee/(g*ISP)</f>
        <v>0.10557508737137</v>
      </c>
      <c r="S327" s="451" t="n">
        <f aca="false">S326-Débit*pas</f>
        <v>8.67054515628061</v>
      </c>
      <c r="T327" s="449" t="n">
        <f aca="false">m*g</f>
        <v>85.0580479831128</v>
      </c>
      <c r="U327" s="453" t="n">
        <f aca="false">IF(pos_xz&lt;L_rampe,Poids*COS(Beta),0)</f>
        <v>0</v>
      </c>
      <c r="V327" s="450" t="n">
        <f aca="false">Rho_moyen*(20000-Alt_rampe-pos_z)/(20000+Alt_rampe+pos_z)</f>
        <v>1.18555529410938</v>
      </c>
      <c r="W327" s="449" t="n">
        <f aca="false">1/2*Rho*Sref*Cx*vit_xz^2</f>
        <v>81.9784778271611</v>
      </c>
      <c r="X327" s="438"/>
      <c r="Y327" s="454" t="str">
        <f aca="false">IF(AND(pos_z&lt;=0,K326&gt;0),"Impact balistique","") &amp; IF(AND(H328&lt;0,vit_z&gt;=0),"Apogée","") &amp; IF(AND(Poussee=0,Q326&gt;0),"Fin de propulsion","") &amp; IF(AND(L328&gt;L_rampe,pos_xz&lt;=L_rampe),"Sortie de rampe","")</f>
        <v/>
      </c>
      <c r="Z327" s="455" t="str">
        <f aca="false">IF(ABS(t-T_para)&lt;pas/2,"Para","")</f>
        <v/>
      </c>
      <c r="AA327" s="456" t="str">
        <f aca="false">IF(ABS(t-T_satellite)&lt;pas/2,"Satellite","")</f>
        <v/>
      </c>
      <c r="AB327" s="444"/>
      <c r="AC327" s="452" t="e">
        <f aca="false">IF(ABS(t-ROUND(t,0))&lt;0.001,t,NA())</f>
        <v>#N/A</v>
      </c>
      <c r="AD327" s="457" t="e">
        <f aca="false">IF(ABS(t-ROUND(t,0))&lt;0.001,pos_x,NA())</f>
        <v>#N/A</v>
      </c>
      <c r="AE327" s="458" t="n">
        <f aca="false">IF(t&lt;T_para, pos_z, NA())</f>
        <v>327.266551296349</v>
      </c>
      <c r="AF327" s="444"/>
      <c r="AG327" s="450" t="n">
        <f aca="false">IF(AND(L326&lt;L_rampe,Poussee&lt;Poids*SIN(M326)),0,(-W326+Poussee)/m-Poids*SIN(M326)/m)</f>
        <v>5.2774696453784</v>
      </c>
      <c r="AH327" s="449" t="n">
        <f aca="false">IF(AND(L326&lt;L_rampe,Poussee&lt;Poids*SIN(M326)), g*SIN(M326), (-W326+Poussee)/m)</f>
        <v>14.8118608393053</v>
      </c>
    </row>
    <row r="328" customFormat="false" ht="12" hidden="false" customHeight="false" outlineLevel="0" collapsed="false">
      <c r="A328" s="448" t="n">
        <f aca="false">IF(B327+0.01&lt;=T_ini+ROUNDUP(Temps_fin_propu,0), 0.01, IF(K327&gt;0, 0.1, 0.0001))</f>
        <v>0.01</v>
      </c>
      <c r="B328" s="449" t="n">
        <f aca="false">B327+pas</f>
        <v>3.23999999999998</v>
      </c>
      <c r="C328" s="432"/>
      <c r="D328" s="450" t="n">
        <f aca="false">IF(AND(L327&lt;L_rampe,Poussee&lt;Poids*SIN(M327)),0,(-W327+Poussee)/m*COS(M327)-U327/m*SIN(M327))</f>
        <v>3.3286860559642</v>
      </c>
      <c r="E328" s="451" t="n">
        <f aca="false">IF(AND(L327&lt;L_rampe,Poussee&lt;Poids*SIN(M327)),0,(-W327+Poussee)/m*SIN(M327)+U327/m*COS(M327)-Poids/m)</f>
        <v>3.92704159869873</v>
      </c>
      <c r="F328" s="449" t="n">
        <f aca="false">SQRT(acc_x^2+acc_z^2)</f>
        <v>5.14799053778081</v>
      </c>
      <c r="G328" s="450" t="n">
        <f aca="false">G327+acc_x*pas</f>
        <v>41.5631698365296</v>
      </c>
      <c r="H328" s="451" t="n">
        <f aca="false">H327+acc_z*pas</f>
        <v>171.427536067473</v>
      </c>
      <c r="I328" s="449" t="n">
        <f aca="false">SQRT(vit_x^2+vit_z^2)</f>
        <v>176.394152989902</v>
      </c>
      <c r="J328" s="450" t="n">
        <f aca="false">J327+0.5*(vit_x+G327)*pas*(K327&gt;=0)</f>
        <v>73.5474565901714</v>
      </c>
      <c r="K328" s="451" t="n">
        <f aca="false">K327+0.5*(vit_z+H327)*pas</f>
        <v>328.980630304944</v>
      </c>
      <c r="L328" s="449" t="n">
        <f aca="false">SQRT(pos_x^2+pos_z^2)</f>
        <v>337.101592234034</v>
      </c>
      <c r="M328" s="450" t="n">
        <f aca="false">IF(AND(L327&gt;L_rampe,G328&gt;0),ATAN2(G328,H328),$M$4)</f>
        <v>1.33293296583934</v>
      </c>
      <c r="N328" s="449" t="n">
        <f aca="false">DEGREES(Beta)</f>
        <v>76.3714333164499</v>
      </c>
      <c r="O328" s="438"/>
      <c r="P328" s="452" t="n">
        <f aca="false">MATCH(t-pas/2-T_ini,CdP_t)</f>
        <v>9</v>
      </c>
      <c r="Q328" s="449" t="n">
        <f aca="false">(INDEX(CdP,2,i_P+1)-INDEX(CdP,2,i_P+0))/(INDEX(CdP,1,i_P+1)-INDEX(CdP,1,i_P+0))*(t-pas/2-T_ini-INDEX(CdP,1,i_P+0))+INDEX(CdP,2,i_P+0)</f>
        <v>204.518518518533</v>
      </c>
      <c r="R328" s="450" t="n">
        <f aca="false">Poussee/(g*ISP)</f>
        <v>0.102638315574773</v>
      </c>
      <c r="S328" s="451" t="n">
        <f aca="false">S327-Débit*pas</f>
        <v>8.66951877312487</v>
      </c>
      <c r="T328" s="449" t="n">
        <f aca="false">m*g</f>
        <v>85.0479791643549</v>
      </c>
      <c r="U328" s="453" t="n">
        <f aca="false">IF(pos_xz&lt;L_rampe,Poids*COS(Beta),0)</f>
        <v>0</v>
      </c>
      <c r="V328" s="450" t="n">
        <f aca="false">Rho_moyen*(20000-Alt_rampe-pos_z)/(20000+Alt_rampe+pos_z)</f>
        <v>1.18535204327729</v>
      </c>
      <c r="W328" s="449" t="n">
        <f aca="false">1/2*Rho*Sref*Cx*vit_xz^2</f>
        <v>82.0071955324502</v>
      </c>
      <c r="X328" s="438"/>
      <c r="Y328" s="454" t="str">
        <f aca="false">IF(AND(pos_z&lt;=0,K327&gt;0),"Impact balistique","") &amp; IF(AND(H329&lt;0,vit_z&gt;=0),"Apogée","") &amp; IF(AND(Poussee=0,Q327&gt;0),"Fin de propulsion","") &amp; IF(AND(L329&gt;L_rampe,pos_xz&lt;=L_rampe),"Sortie de rampe","")</f>
        <v/>
      </c>
      <c r="Z328" s="455" t="str">
        <f aca="false">IF(ABS(t-T_para)&lt;pas/2,"Para","")</f>
        <v/>
      </c>
      <c r="AA328" s="456" t="str">
        <f aca="false">IF(ABS(t-T_satellite)&lt;pas/2,"Satellite","")</f>
        <v/>
      </c>
      <c r="AB328" s="444"/>
      <c r="AC328" s="452" t="e">
        <f aca="false">IF(ABS(t-ROUND(t,0))&lt;0.001,t,NA())</f>
        <v>#N/A</v>
      </c>
      <c r="AD328" s="457" t="e">
        <f aca="false">IF(ABS(t-ROUND(t,0))&lt;0.001,pos_x,NA())</f>
        <v>#N/A</v>
      </c>
      <c r="AE328" s="458" t="n">
        <f aca="false">IF(t&lt;T_para, pos_z, NA())</f>
        <v>328.980630304944</v>
      </c>
      <c r="AF328" s="444"/>
      <c r="AG328" s="450" t="n">
        <f aca="false">IF(AND(L327&lt;L_rampe,Poussee&lt;Poids*SIN(M327)),0,(-W327+Poussee)/m-Poids*SIN(M327)/m)</f>
        <v>4.60049514040272</v>
      </c>
      <c r="AH328" s="449" t="n">
        <f aca="false">IF(AND(L327&lt;L_rampe,Poussee&lt;Poids*SIN(M327)), g*SIN(M327), (-W327+Poussee)/m)</f>
        <v>14.1345839253778</v>
      </c>
    </row>
    <row r="329" customFormat="false" ht="12" hidden="false" customHeight="false" outlineLevel="0" collapsed="false">
      <c r="A329" s="448" t="n">
        <f aca="false">IF(B328+0.01&lt;=T_ini+ROUNDUP(Temps_fin_propu,0), 0.01, IF(K328&gt;0, 0.1, 0.0001))</f>
        <v>0.01</v>
      </c>
      <c r="B329" s="449" t="n">
        <f aca="false">B328+pas</f>
        <v>3.24999999999997</v>
      </c>
      <c r="C329" s="432"/>
      <c r="D329" s="450" t="n">
        <f aca="false">IF(AND(L328&lt;L_rampe,Poussee&lt;Poids*SIN(M328)),0,(-W328+Poussee)/m*COS(M328)-U328/m*SIN(M328))</f>
        <v>3.17102332247044</v>
      </c>
      <c r="E329" s="451" t="n">
        <f aca="false">IF(AND(L328&lt;L_rampe,Poussee&lt;Poids*SIN(M328)),0,(-W328+Poussee)/m*SIN(M328)+U328/m*COS(M328)-Poids/m)</f>
        <v>3.26890416254615</v>
      </c>
      <c r="F329" s="449" t="n">
        <f aca="false">SQRT(acc_x^2+acc_z^2)</f>
        <v>4.55424234484321</v>
      </c>
      <c r="G329" s="450" t="n">
        <f aca="false">G328+acc_x*pas</f>
        <v>41.5948800697543</v>
      </c>
      <c r="H329" s="451" t="n">
        <f aca="false">H328+acc_z*pas</f>
        <v>171.460225109098</v>
      </c>
      <c r="I329" s="449" t="n">
        <f aca="false">SQRT(vit_x^2+vit_z^2)</f>
        <v>176.433394918536</v>
      </c>
      <c r="J329" s="450" t="n">
        <f aca="false">J328+0.5*(vit_x+G328)*pas*(K328&gt;=0)</f>
        <v>73.9632468397029</v>
      </c>
      <c r="K329" s="451" t="n">
        <f aca="false">K328+0.5*(vit_z+H328)*pas</f>
        <v>330.695069110826</v>
      </c>
      <c r="L329" s="449" t="n">
        <f aca="false">SQRT(pos_x^2+pos_z^2)</f>
        <v>338.86544618371</v>
      </c>
      <c r="M329" s="450" t="n">
        <f aca="false">IF(AND(L328&gt;L_rampe,G329&gt;0),ATAN2(G329,H329),$M$4)</f>
        <v>1.33280195335132</v>
      </c>
      <c r="N329" s="449" t="n">
        <f aca="false">DEGREES(Beta)</f>
        <v>76.3639268538224</v>
      </c>
      <c r="O329" s="438"/>
      <c r="P329" s="452" t="n">
        <f aca="false">MATCH(t-pas/2-T_ini,CdP_t)</f>
        <v>9</v>
      </c>
      <c r="Q329" s="449" t="n">
        <f aca="false">(INDEX(CdP,2,i_P+1)-INDEX(CdP,2,i_P+0))/(INDEX(CdP,1,i_P+1)-INDEX(CdP,1,i_P+0))*(t-pas/2-T_ini-INDEX(CdP,1,i_P+0))+INDEX(CdP,2,i_P+0)</f>
        <v>198.666666666682</v>
      </c>
      <c r="R329" s="450" t="n">
        <f aca="false">Poussee/(g*ISP)</f>
        <v>0.099701543778175</v>
      </c>
      <c r="S329" s="451" t="n">
        <f aca="false">S328-Débit*pas</f>
        <v>8.66852175768708</v>
      </c>
      <c r="T329" s="449" t="n">
        <f aca="false">m*g</f>
        <v>85.0381984429103</v>
      </c>
      <c r="U329" s="453" t="n">
        <f aca="false">IF(pos_xz&lt;L_rampe,Poids*COS(Beta),0)</f>
        <v>0</v>
      </c>
      <c r="V329" s="450" t="n">
        <f aca="false">Rho_moyen*(20000-Alt_rampe-pos_z)/(20000+Alt_rampe+pos_z)</f>
        <v>1.18514878406432</v>
      </c>
      <c r="W329" s="449" t="n">
        <f aca="false">1/2*Rho*Sref*Cx*vit_xz^2</f>
        <v>82.0296189191784</v>
      </c>
      <c r="X329" s="438"/>
      <c r="Y329" s="454" t="str">
        <f aca="false">IF(AND(pos_z&lt;=0,K328&gt;0),"Impact balistique","") &amp; IF(AND(H330&lt;0,vit_z&gt;=0),"Apogée","") &amp; IF(AND(Poussee=0,Q328&gt;0),"Fin de propulsion","") &amp; IF(AND(L330&gt;L_rampe,pos_xz&lt;=L_rampe),"Sortie de rampe","")</f>
        <v/>
      </c>
      <c r="Z329" s="455" t="str">
        <f aca="false">IF(ABS(t-T_para)&lt;pas/2,"Para","")</f>
        <v/>
      </c>
      <c r="AA329" s="456" t="str">
        <f aca="false">IF(ABS(t-T_satellite)&lt;pas/2,"Satellite","")</f>
        <v/>
      </c>
      <c r="AB329" s="444"/>
      <c r="AC329" s="452" t="e">
        <f aca="false">IF(ABS(t-ROUND(t,0))&lt;0.001,t,NA())</f>
        <v>#N/A</v>
      </c>
      <c r="AD329" s="457" t="e">
        <f aca="false">IF(ABS(t-ROUND(t,0))&lt;0.001,pos_x,NA())</f>
        <v>#N/A</v>
      </c>
      <c r="AE329" s="458" t="n">
        <f aca="false">IF(t&lt;T_para, pos_z, NA())</f>
        <v>330.695069110826</v>
      </c>
      <c r="AF329" s="444"/>
      <c r="AG329" s="450" t="n">
        <f aca="false">IF(AND(L328&lt;L_rampe,Poussee&lt;Poids*SIN(M328)),0,(-W328+Poussee)/m-Poids*SIN(M328)/m)</f>
        <v>3.92404144582419</v>
      </c>
      <c r="AH329" s="449" t="n">
        <f aca="false">IF(AND(L328&lt;L_rampe,Poussee&lt;Poids*SIN(M328)), g*SIN(M328), (-W328+Poussee)/m)</f>
        <v>13.4578275737475</v>
      </c>
    </row>
    <row r="330" customFormat="false" ht="12" hidden="false" customHeight="false" outlineLevel="0" collapsed="false">
      <c r="A330" s="448" t="n">
        <f aca="false">IF(B329+0.01&lt;=T_ini+ROUNDUP(Temps_fin_propu,0), 0.01, IF(K329&gt;0, 0.1, 0.0001))</f>
        <v>0.01</v>
      </c>
      <c r="B330" s="449" t="n">
        <f aca="false">B329+pas</f>
        <v>3.25999999999997</v>
      </c>
      <c r="C330" s="432"/>
      <c r="D330" s="450" t="n">
        <f aca="false">IF(AND(L329&lt;L_rampe,Poussee&lt;Poids*SIN(M329)),0,(-W329+Poussee)/m*COS(M329)-U329/m*SIN(M329))</f>
        <v>3.01331306083875</v>
      </c>
      <c r="E330" s="451" t="n">
        <f aca="false">IF(AND(L329&lt;L_rampe,Poussee&lt;Poids*SIN(M329)),0,(-W329+Poussee)/m*SIN(M329)+U329/m*COS(M329)-Poids/m)</f>
        <v>2.61132048149095</v>
      </c>
      <c r="F330" s="449" t="n">
        <f aca="false">SQRT(acc_x^2+acc_z^2)</f>
        <v>3.98736131541594</v>
      </c>
      <c r="G330" s="450" t="n">
        <f aca="false">G329+acc_x*pas</f>
        <v>41.6250132003627</v>
      </c>
      <c r="H330" s="451" t="n">
        <f aca="false">H329+acc_z*pas</f>
        <v>171.486338313913</v>
      </c>
      <c r="I330" s="449" t="n">
        <f aca="false">SQRT(vit_x^2+vit_z^2)</f>
        <v>176.465877586134</v>
      </c>
      <c r="J330" s="450" t="n">
        <f aca="false">J329+0.5*(vit_x+G329)*pas*(K329&gt;=0)</f>
        <v>74.3793463060535</v>
      </c>
      <c r="K330" s="451" t="n">
        <f aca="false">K329+0.5*(vit_z+H329)*pas</f>
        <v>332.409801927942</v>
      </c>
      <c r="L330" s="449" t="n">
        <f aca="false">SQRT(pos_x^2+pos_z^2)</f>
        <v>340.629657508986</v>
      </c>
      <c r="M330" s="450" t="n">
        <f aca="false">IF(AND(L329&gt;L_rampe,G330&gt;0),ATAN2(G330,H330),$M$4)</f>
        <v>1.33267089419921</v>
      </c>
      <c r="N330" s="449" t="n">
        <f aca="false">DEGREES(Beta)</f>
        <v>76.3564177175404</v>
      </c>
      <c r="O330" s="438"/>
      <c r="P330" s="452" t="n">
        <f aca="false">MATCH(t-pas/2-T_ini,CdP_t)</f>
        <v>9</v>
      </c>
      <c r="Q330" s="449" t="n">
        <f aca="false">(INDEX(CdP,2,i_P+1)-INDEX(CdP,2,i_P+0))/(INDEX(CdP,1,i_P+1)-INDEX(CdP,1,i_P+0))*(t-pas/2-T_ini-INDEX(CdP,1,i_P+0))+INDEX(CdP,2,i_P+0)</f>
        <v>192.81481481483</v>
      </c>
      <c r="R330" s="450" t="n">
        <f aca="false">Poussee/(g*ISP)</f>
        <v>0.0967647719815773</v>
      </c>
      <c r="S330" s="451" t="n">
        <f aca="false">S329-Débit*pas</f>
        <v>8.66755410996727</v>
      </c>
      <c r="T330" s="449" t="n">
        <f aca="false">m*g</f>
        <v>85.0287058187789</v>
      </c>
      <c r="U330" s="453" t="n">
        <f aca="false">IF(pos_xz&lt;L_rampe,Poids*COS(Beta),0)</f>
        <v>0</v>
      </c>
      <c r="V330" s="450" t="n">
        <f aca="false">Rho_moyen*(20000-Alt_rampe-pos_z)/(20000+Alt_rampe+pos_z)</f>
        <v>1.18494552428083</v>
      </c>
      <c r="W330" s="449" t="n">
        <f aca="false">1/2*Rho*Sref*Cx*vit_xz^2</f>
        <v>82.0457524664052</v>
      </c>
      <c r="X330" s="438"/>
      <c r="Y330" s="454" t="str">
        <f aca="false">IF(AND(pos_z&lt;=0,K329&gt;0),"Impact balistique","") &amp; IF(AND(H331&lt;0,vit_z&gt;=0),"Apogée","") &amp; IF(AND(Poussee=0,Q329&gt;0),"Fin de propulsion","") &amp; IF(AND(L331&gt;L_rampe,pos_xz&lt;=L_rampe),"Sortie de rampe","")</f>
        <v/>
      </c>
      <c r="Z330" s="455" t="str">
        <f aca="false">IF(ABS(t-T_para)&lt;pas/2,"Para","")</f>
        <v/>
      </c>
      <c r="AA330" s="456" t="str">
        <f aca="false">IF(ABS(t-T_satellite)&lt;pas/2,"Satellite","")</f>
        <v/>
      </c>
      <c r="AB330" s="444"/>
      <c r="AC330" s="452" t="e">
        <f aca="false">IF(ABS(t-ROUND(t,0))&lt;0.001,t,NA())</f>
        <v>#N/A</v>
      </c>
      <c r="AD330" s="457" t="e">
        <f aca="false">IF(ABS(t-ROUND(t,0))&lt;0.001,pos_x,NA())</f>
        <v>#N/A</v>
      </c>
      <c r="AE330" s="458" t="n">
        <f aca="false">IF(t&lt;T_para, pos_z, NA())</f>
        <v>332.409801927942</v>
      </c>
      <c r="AF330" s="444"/>
      <c r="AG330" s="450" t="n">
        <f aca="false">IF(AND(L329&lt;L_rampe,Poussee&lt;Poids*SIN(M329)),0,(-W329+Poussee)/m-Poids*SIN(M329)/m)</f>
        <v>3.2481152064849</v>
      </c>
      <c r="AH330" s="449" t="n">
        <f aca="false">IF(AND(L329&lt;L_rampe,Poussee&lt;Poids*SIN(M329)), g*SIN(M329), (-W329+Poussee)/m)</f>
        <v>12.7815984175113</v>
      </c>
    </row>
    <row r="331" customFormat="false" ht="12" hidden="false" customHeight="false" outlineLevel="0" collapsed="false">
      <c r="A331" s="448" t="n">
        <f aca="false">IF(B330+0.01&lt;=T_ini+ROUNDUP(Temps_fin_propu,0), 0.01, IF(K330&gt;0, 0.1, 0.0001))</f>
        <v>0.01</v>
      </c>
      <c r="B331" s="449" t="n">
        <f aca="false">B330+pas</f>
        <v>3.26999999999997</v>
      </c>
      <c r="C331" s="432"/>
      <c r="D331" s="450" t="n">
        <f aca="false">IF(AND(L330&lt;L_rampe,Poussee&lt;Poids*SIN(M330)),0,(-W330+Poussee)/m*COS(M330)-U330/m*SIN(M330))</f>
        <v>2.85555699883512</v>
      </c>
      <c r="E331" s="451" t="n">
        <f aca="false">IF(AND(L330&lt;L_rampe,Poussee&lt;Poids*SIN(M330)),0,(-W330+Poussee)/m*SIN(M330)+U330/m*COS(M330)-Poids/m)</f>
        <v>1.95429689570971</v>
      </c>
      <c r="F331" s="449" t="n">
        <f aca="false">SQRT(acc_x^2+acc_z^2)</f>
        <v>3.46027197344036</v>
      </c>
      <c r="G331" s="450" t="n">
        <f aca="false">G330+acc_x*pas</f>
        <v>41.653568770351</v>
      </c>
      <c r="H331" s="451" t="n">
        <f aca="false">H330+acc_z*pas</f>
        <v>171.50588128287</v>
      </c>
      <c r="I331" s="449" t="n">
        <f aca="false">SQRT(vit_x^2+vit_z^2)</f>
        <v>176.491606332767</v>
      </c>
      <c r="J331" s="450" t="n">
        <f aca="false">J330+0.5*(vit_x+G330)*pas*(K330&gt;=0)</f>
        <v>74.795739215907</v>
      </c>
      <c r="K331" s="451" t="n">
        <f aca="false">K330+0.5*(vit_z+H330)*pas</f>
        <v>334.124763025925</v>
      </c>
      <c r="L331" s="449" t="n">
        <f aca="false">SQRT(pos_x^2+pos_z^2)</f>
        <v>342.39415864174</v>
      </c>
      <c r="M331" s="450" t="n">
        <f aca="false">IF(AND(L330&gt;L_rampe,G331&gt;0),ATAN2(G331,H331),$M$4)</f>
        <v>1.33253978336014</v>
      </c>
      <c r="N331" s="449" t="n">
        <f aca="false">DEGREES(Beta)</f>
        <v>76.3489056198133</v>
      </c>
      <c r="O331" s="438"/>
      <c r="P331" s="452" t="n">
        <f aca="false">MATCH(t-pas/2-T_ini,CdP_t)</f>
        <v>9</v>
      </c>
      <c r="Q331" s="449" t="n">
        <f aca="false">(INDEX(CdP,2,i_P+1)-INDEX(CdP,2,i_P+0))/(INDEX(CdP,1,i_P+1)-INDEX(CdP,1,i_P+0))*(t-pas/2-T_ini-INDEX(CdP,1,i_P+0))+INDEX(CdP,2,i_P+0)</f>
        <v>186.962962962978</v>
      </c>
      <c r="R331" s="450" t="n">
        <f aca="false">Poussee/(g*ISP)</f>
        <v>0.0938280001849795</v>
      </c>
      <c r="S331" s="451" t="n">
        <f aca="false">S330-Débit*pas</f>
        <v>8.66661582996542</v>
      </c>
      <c r="T331" s="449" t="n">
        <f aca="false">m*g</f>
        <v>85.0195012919608</v>
      </c>
      <c r="U331" s="453" t="n">
        <f aca="false">IF(pos_xz&lt;L_rampe,Poids*COS(Beta),0)</f>
        <v>0</v>
      </c>
      <c r="V331" s="450" t="n">
        <f aca="false">Rho_moyen*(20000-Alt_rampe-pos_z)/(20000+Alt_rampe+pos_z)</f>
        <v>1.18474227172531</v>
      </c>
      <c r="W331" s="449" t="n">
        <f aca="false">1/2*Rho*Sref*Cx*vit_xz^2</f>
        <v>82.0556014397547</v>
      </c>
      <c r="X331" s="438"/>
      <c r="Y331" s="454" t="str">
        <f aca="false">IF(AND(pos_z&lt;=0,K330&gt;0),"Impact balistique","") &amp; IF(AND(H332&lt;0,vit_z&gt;=0),"Apogée","") &amp; IF(AND(Poussee=0,Q330&gt;0),"Fin de propulsion","") &amp; IF(AND(L332&gt;L_rampe,pos_xz&lt;=L_rampe),"Sortie de rampe","")</f>
        <v/>
      </c>
      <c r="Z331" s="455" t="str">
        <f aca="false">IF(ABS(t-T_para)&lt;pas/2,"Para","")</f>
        <v/>
      </c>
      <c r="AA331" s="456" t="str">
        <f aca="false">IF(ABS(t-T_satellite)&lt;pas/2,"Satellite","")</f>
        <v/>
      </c>
      <c r="AB331" s="444"/>
      <c r="AC331" s="452" t="e">
        <f aca="false">IF(ABS(t-ROUND(t,0))&lt;0.001,t,NA())</f>
        <v>#N/A</v>
      </c>
      <c r="AD331" s="457" t="e">
        <f aca="false">IF(ABS(t-ROUND(t,0))&lt;0.001,pos_x,NA())</f>
        <v>#N/A</v>
      </c>
      <c r="AE331" s="458" t="n">
        <f aca="false">IF(t&lt;T_para, pos_z, NA())</f>
        <v>334.124763025925</v>
      </c>
      <c r="AF331" s="444"/>
      <c r="AG331" s="450" t="n">
        <f aca="false">IF(AND(L330&lt;L_rampe,Poussee&lt;Poids*SIN(M330)),0,(-W330+Poussee)/m-Poids*SIN(M330)/m)</f>
        <v>2.57272296834161</v>
      </c>
      <c r="AH331" s="449" t="n">
        <f aca="false">IF(AND(L330&lt;L_rampe,Poussee&lt;Poids*SIN(M330)), g*SIN(M330), (-W330+Poussee)/m)</f>
        <v>12.1059029908554</v>
      </c>
    </row>
    <row r="332" customFormat="false" ht="12" hidden="false" customHeight="false" outlineLevel="0" collapsed="false">
      <c r="A332" s="448" t="n">
        <f aca="false">IF(B331+0.01&lt;=T_ini+ROUNDUP(Temps_fin_propu,0), 0.01, IF(K331&gt;0, 0.1, 0.0001))</f>
        <v>0.01</v>
      </c>
      <c r="B332" s="449" t="n">
        <f aca="false">B331+pas</f>
        <v>3.27999999999997</v>
      </c>
      <c r="C332" s="432"/>
      <c r="D332" s="450" t="n">
        <f aca="false">IF(AND(L331&lt;L_rampe,Poussee&lt;Poids*SIN(M331)),0,(-W331+Poussee)/m*COS(M331)-U331/m*SIN(M331))</f>
        <v>2.69775683121078</v>
      </c>
      <c r="E332" s="451" t="n">
        <f aca="false">IF(AND(L331&lt;L_rampe,Poussee&lt;Poids*SIN(M331)),0,(-W331+Poussee)/m*SIN(M331)+U331/m*COS(M331)-Poids/m)</f>
        <v>1.29783965173773</v>
      </c>
      <c r="F332" s="449" t="n">
        <f aca="false">SQRT(acc_x^2+acc_z^2)</f>
        <v>2.99370667934705</v>
      </c>
      <c r="G332" s="450" t="n">
        <f aca="false">G331+acc_x*pas</f>
        <v>41.6805463386631</v>
      </c>
      <c r="H332" s="451" t="n">
        <f aca="false">H331+acc_z*pas</f>
        <v>171.518859679388</v>
      </c>
      <c r="I332" s="449" t="n">
        <f aca="false">SQRT(vit_x^2+vit_z^2)</f>
        <v>176.510586562979</v>
      </c>
      <c r="J332" s="450" t="n">
        <f aca="false">J331+0.5*(vit_x+G331)*pas*(K331&gt;=0)</f>
        <v>75.2124097914521</v>
      </c>
      <c r="K332" s="451" t="n">
        <f aca="false">K331+0.5*(vit_z+H331)*pas</f>
        <v>335.839886730737</v>
      </c>
      <c r="L332" s="449" t="n">
        <f aca="false">SQRT(pos_x^2+pos_z^2)</f>
        <v>344.1588820675</v>
      </c>
      <c r="M332" s="450" t="n">
        <f aca="false">IF(AND(L331&gt;L_rampe,G332&gt;0),ATAN2(G332,H332),$M$4)</f>
        <v>1.33240861580878</v>
      </c>
      <c r="N332" s="449" t="n">
        <f aca="false">DEGREES(Beta)</f>
        <v>76.3413902727113</v>
      </c>
      <c r="O332" s="438"/>
      <c r="P332" s="452" t="n">
        <f aca="false">MATCH(t-pas/2-T_ini,CdP_t)</f>
        <v>9</v>
      </c>
      <c r="Q332" s="449" t="n">
        <f aca="false">(INDEX(CdP,2,i_P+1)-INDEX(CdP,2,i_P+0))/(INDEX(CdP,1,i_P+1)-INDEX(CdP,1,i_P+0))*(t-pas/2-T_ini-INDEX(CdP,1,i_P+0))+INDEX(CdP,2,i_P+0)</f>
        <v>181.111111111126</v>
      </c>
      <c r="R332" s="450" t="n">
        <f aca="false">Poussee/(g*ISP)</f>
        <v>0.0908912283883818</v>
      </c>
      <c r="S332" s="451" t="n">
        <f aca="false">S331-Débit*pas</f>
        <v>8.66570691768153</v>
      </c>
      <c r="T332" s="449" t="n">
        <f aca="false">m*g</f>
        <v>85.0105848624559</v>
      </c>
      <c r="U332" s="453" t="n">
        <f aca="false">IF(pos_xz&lt;L_rampe,Poids*COS(Beta),0)</f>
        <v>0</v>
      </c>
      <c r="V332" s="450" t="n">
        <f aca="false">Rho_moyen*(20000-Alt_rampe-pos_z)/(20000+Alt_rampe+pos_z)</f>
        <v>1.18453903418431</v>
      </c>
      <c r="W332" s="449" t="n">
        <f aca="false">1/2*Rho*Sref*Cx*vit_xz^2</f>
        <v>82.0591718875589</v>
      </c>
      <c r="X332" s="438"/>
      <c r="Y332" s="454" t="str">
        <f aca="false">IF(AND(pos_z&lt;=0,K331&gt;0),"Impact balistique","") &amp; IF(AND(H333&lt;0,vit_z&gt;=0),"Apogée","") &amp; IF(AND(Poussee=0,Q331&gt;0),"Fin de propulsion","") &amp; IF(AND(L333&gt;L_rampe,pos_xz&lt;=L_rampe),"Sortie de rampe","")</f>
        <v/>
      </c>
      <c r="Z332" s="455" t="str">
        <f aca="false">IF(ABS(t-T_para)&lt;pas/2,"Para","")</f>
        <v/>
      </c>
      <c r="AA332" s="456" t="str">
        <f aca="false">IF(ABS(t-T_satellite)&lt;pas/2,"Satellite","")</f>
        <v/>
      </c>
      <c r="AB332" s="444"/>
      <c r="AC332" s="452" t="e">
        <f aca="false">IF(ABS(t-ROUND(t,0))&lt;0.001,t,NA())</f>
        <v>#N/A</v>
      </c>
      <c r="AD332" s="457" t="e">
        <f aca="false">IF(ABS(t-ROUND(t,0))&lt;0.001,pos_x,NA())</f>
        <v>#N/A</v>
      </c>
      <c r="AE332" s="458" t="n">
        <f aca="false">IF(t&lt;T_para, pos_z, NA())</f>
        <v>335.839886730737</v>
      </c>
      <c r="AF332" s="444"/>
      <c r="AG332" s="450" t="n">
        <f aca="false">IF(AND(L331&lt;L_rampe,Poussee&lt;Poids*SIN(M331)),0,(-W331+Poussee)/m-Poids*SIN(M331)/m)</f>
        <v>1.89787117863331</v>
      </c>
      <c r="AH332" s="449" t="n">
        <f aca="false">IF(AND(L331&lt;L_rampe,Poussee&lt;Poids*SIN(M331)), g*SIN(M331), (-W331+Poussee)/m)</f>
        <v>11.4307477292197</v>
      </c>
    </row>
    <row r="333" customFormat="false" ht="12" hidden="false" customHeight="false" outlineLevel="0" collapsed="false">
      <c r="A333" s="448" t="n">
        <f aca="false">IF(B332+0.01&lt;=T_ini+ROUNDUP(Temps_fin_propu,0), 0.01, IF(K332&gt;0, 0.1, 0.0001))</f>
        <v>0.01</v>
      </c>
      <c r="B333" s="449" t="n">
        <f aca="false">B332+pas</f>
        <v>3.28999999999997</v>
      </c>
      <c r="C333" s="432"/>
      <c r="D333" s="450" t="n">
        <f aca="false">IF(AND(L332&lt;L_rampe,Poussee&lt;Poids*SIN(M332)),0,(-W332+Poussee)/m*COS(M332)-U332/m*SIN(M332))</f>
        <v>2.53991421971855</v>
      </c>
      <c r="E333" s="451" t="n">
        <f aca="false">IF(AND(L332&lt;L_rampe,Poussee&lt;Poids*SIN(M332)),0,(-W332+Poussee)/m*SIN(M332)+U332/m*COS(M332)-Poids/m)</f>
        <v>0.641954902651634</v>
      </c>
      <c r="F333" s="449" t="n">
        <f aca="false">SQRT(acc_x^2+acc_z^2)</f>
        <v>2.61978440726847</v>
      </c>
      <c r="G333" s="450" t="n">
        <f aca="false">G332+acc_x*pas</f>
        <v>41.7059454808603</v>
      </c>
      <c r="H333" s="451" t="n">
        <f aca="false">H332+acc_z*pas</f>
        <v>171.525279228414</v>
      </c>
      <c r="I333" s="449" t="n">
        <f aca="false">SQRT(vit_x^2+vit_z^2)</f>
        <v>176.522823744801</v>
      </c>
      <c r="J333" s="450" t="n">
        <f aca="false">J332+0.5*(vit_x+G332)*pas*(K332&gt;=0)</f>
        <v>75.6293422505497</v>
      </c>
      <c r="K333" s="451" t="n">
        <f aca="false">K332+0.5*(vit_z+H332)*pas</f>
        <v>337.555107425276</v>
      </c>
      <c r="L333" s="449" t="n">
        <f aca="false">SQRT(pos_x^2+pos_z^2)</f>
        <v>345.923760326087</v>
      </c>
      <c r="M333" s="450" t="n">
        <f aca="false">IF(AND(L332&gt;L_rampe,G333&gt;0),ATAN2(G333,H333),$M$4)</f>
        <v>1.33227738651628</v>
      </c>
      <c r="N333" s="449" t="n">
        <f aca="false">DEGREES(Beta)</f>
        <v>76.3338713881025</v>
      </c>
      <c r="O333" s="438"/>
      <c r="P333" s="452" t="n">
        <f aca="false">MATCH(t-pas/2-T_ini,CdP_t)</f>
        <v>9</v>
      </c>
      <c r="Q333" s="449" t="n">
        <f aca="false">(INDEX(CdP,2,i_P+1)-INDEX(CdP,2,i_P+0))/(INDEX(CdP,1,i_P+1)-INDEX(CdP,1,i_P+0))*(t-pas/2-T_ini-INDEX(CdP,1,i_P+0))+INDEX(CdP,2,i_P+0)</f>
        <v>175.259259259275</v>
      </c>
      <c r="R333" s="450" t="n">
        <f aca="false">Poussee/(g*ISP)</f>
        <v>0.0879544565917841</v>
      </c>
      <c r="S333" s="451" t="n">
        <f aca="false">S332-Débit*pas</f>
        <v>8.66482737311562</v>
      </c>
      <c r="T333" s="449" t="n">
        <f aca="false">m*g</f>
        <v>85.0019565302642</v>
      </c>
      <c r="U333" s="453" t="n">
        <f aca="false">IF(pos_xz&lt;L_rampe,Poids*COS(Beta),0)</f>
        <v>0</v>
      </c>
      <c r="V333" s="450" t="n">
        <f aca="false">Rho_moyen*(20000-Alt_rampe-pos_z)/(20000+Alt_rampe+pos_z)</f>
        <v>1.1843358194324</v>
      </c>
      <c r="W333" s="449" t="n">
        <f aca="false">1/2*Rho*Sref*Cx*vit_xz^2</f>
        <v>82.0564706369728</v>
      </c>
      <c r="X333" s="438"/>
      <c r="Y333" s="454" t="str">
        <f aca="false">IF(AND(pos_z&lt;=0,K332&gt;0),"Impact balistique","") &amp; IF(AND(H334&lt;0,vit_z&gt;=0),"Apogée","") &amp; IF(AND(Poussee=0,Q332&gt;0),"Fin de propulsion","") &amp; IF(AND(L334&gt;L_rampe,pos_xz&lt;=L_rampe),"Sortie de rampe","")</f>
        <v/>
      </c>
      <c r="Z333" s="455" t="str">
        <f aca="false">IF(ABS(t-T_para)&lt;pas/2,"Para","")</f>
        <v/>
      </c>
      <c r="AA333" s="456" t="str">
        <f aca="false">IF(ABS(t-T_satellite)&lt;pas/2,"Satellite","")</f>
        <v/>
      </c>
      <c r="AB333" s="444"/>
      <c r="AC333" s="452" t="e">
        <f aca="false">IF(ABS(t-ROUND(t,0))&lt;0.001,t,NA())</f>
        <v>#N/A</v>
      </c>
      <c r="AD333" s="457" t="e">
        <f aca="false">IF(ABS(t-ROUND(t,0))&lt;0.001,pos_x,NA())</f>
        <v>#N/A</v>
      </c>
      <c r="AE333" s="458" t="n">
        <f aca="false">IF(t&lt;T_para, pos_z, NA())</f>
        <v>337.555107425276</v>
      </c>
      <c r="AF333" s="444"/>
      <c r="AG333" s="450" t="n">
        <f aca="false">IF(AND(L332&lt;L_rampe,Poussee&lt;Poids*SIN(M332)),0,(-W332+Poussee)/m-Poids*SIN(M332)/m)</f>
        <v>1.22356618605734</v>
      </c>
      <c r="AH333" s="449" t="n">
        <f aca="false">IF(AND(L332&lt;L_rampe,Poussee&lt;Poids*SIN(M332)), g*SIN(M332), (-W332+Poussee)/m)</f>
        <v>10.7561389694719</v>
      </c>
    </row>
    <row r="334" customFormat="false" ht="12" hidden="false" customHeight="false" outlineLevel="0" collapsed="false">
      <c r="A334" s="448" t="n">
        <f aca="false">IF(B333+0.01&lt;=T_ini+ROUNDUP(Temps_fin_propu,0), 0.01, IF(K333&gt;0, 0.1, 0.0001))</f>
        <v>0.01</v>
      </c>
      <c r="B334" s="449" t="n">
        <f aca="false">B333+pas</f>
        <v>3.29999999999997</v>
      </c>
      <c r="C334" s="432"/>
      <c r="D334" s="450" t="n">
        <f aca="false">IF(AND(L333&lt;L_rampe,Poussee&lt;Poids*SIN(M333)),0,(-W333+Poussee)/m*COS(M333)-U333/m*SIN(M333))</f>
        <v>2.38203079312744</v>
      </c>
      <c r="E334" s="451" t="n">
        <f aca="false">IF(AND(L333&lt;L_rampe,Poussee&lt;Poids*SIN(M333)),0,(-W333+Poussee)/m*SIN(M333)+U333/m*COS(M333)-Poids/m)</f>
        <v>-0.0133512917392</v>
      </c>
      <c r="F334" s="449" t="n">
        <f aca="false">SQRT(acc_x^2+acc_z^2)</f>
        <v>2.3820682098543</v>
      </c>
      <c r="G334" s="450" t="n">
        <f aca="false">G333+acc_x*pas</f>
        <v>41.7297657887916</v>
      </c>
      <c r="H334" s="451" t="n">
        <f aca="false">H333+acc_z*pas</f>
        <v>171.525145715497</v>
      </c>
      <c r="I334" s="449" t="n">
        <f aca="false">SQRT(vit_x^2+vit_z^2)</f>
        <v>176.528323408766</v>
      </c>
      <c r="J334" s="450" t="n">
        <f aca="false">J333+0.5*(vit_x+G333)*pas*(K333&gt;=0)</f>
        <v>76.046520806898</v>
      </c>
      <c r="K334" s="451" t="n">
        <f aca="false">K333+0.5*(vit_z+H333)*pas</f>
        <v>339.270359549995</v>
      </c>
      <c r="L334" s="449" t="n">
        <f aca="false">SQRT(pos_x^2+pos_z^2)</f>
        <v>347.688726012244</v>
      </c>
      <c r="M334" s="450" t="n">
        <f aca="false">IF(AND(L333&gt;L_rampe,G334&gt;0),ATAN2(G334,H334),$M$4)</f>
        <v>1.33214609044916</v>
      </c>
      <c r="N334" s="449" t="n">
        <f aca="false">DEGREES(Beta)</f>
        <v>76.3263486775899</v>
      </c>
      <c r="O334" s="438"/>
      <c r="P334" s="452" t="n">
        <f aca="false">MATCH(t-pas/2-T_ini,CdP_t)</f>
        <v>9</v>
      </c>
      <c r="Q334" s="449" t="n">
        <f aca="false">(INDEX(CdP,2,i_P+1)-INDEX(CdP,2,i_P+0))/(INDEX(CdP,1,i_P+1)-INDEX(CdP,1,i_P+0))*(t-pas/2-T_ini-INDEX(CdP,1,i_P+0))+INDEX(CdP,2,i_P+0)</f>
        <v>169.407407407423</v>
      </c>
      <c r="R334" s="450" t="n">
        <f aca="false">Poussee/(g*ISP)</f>
        <v>0.0850176847951864</v>
      </c>
      <c r="S334" s="451" t="n">
        <f aca="false">S333-Débit*pas</f>
        <v>8.66397719626767</v>
      </c>
      <c r="T334" s="449" t="n">
        <f aca="false">m*g</f>
        <v>84.9936162953858</v>
      </c>
      <c r="U334" s="453" t="n">
        <f aca="false">IF(pos_xz&lt;L_rampe,Poids*COS(Beta),0)</f>
        <v>0</v>
      </c>
      <c r="V334" s="450" t="n">
        <f aca="false">Rho_moyen*(20000-Alt_rampe-pos_z)/(20000+Alt_rampe+pos_z)</f>
        <v>1.18413263523206</v>
      </c>
      <c r="W334" s="449" t="n">
        <f aca="false">1/2*Rho*Sref*Cx*vit_xz^2</f>
        <v>82.047505290063</v>
      </c>
      <c r="X334" s="438"/>
      <c r="Y334" s="454" t="str">
        <f aca="false">IF(AND(pos_z&lt;=0,K333&gt;0),"Impact balistique","") &amp; IF(AND(H335&lt;0,vit_z&gt;=0),"Apogée","") &amp; IF(AND(Poussee=0,Q333&gt;0),"Fin de propulsion","") &amp; IF(AND(L335&gt;L_rampe,pos_xz&lt;=L_rampe),"Sortie de rampe","")</f>
        <v/>
      </c>
      <c r="Z334" s="455" t="str">
        <f aca="false">IF(ABS(t-T_para)&lt;pas/2,"Para","")</f>
        <v/>
      </c>
      <c r="AA334" s="456" t="str">
        <f aca="false">IF(ABS(t-T_satellite)&lt;pas/2,"Satellite","")</f>
        <v/>
      </c>
      <c r="AB334" s="444"/>
      <c r="AC334" s="452" t="e">
        <f aca="false">IF(ABS(t-ROUND(t,0))&lt;0.001,t,NA())</f>
        <v>#N/A</v>
      </c>
      <c r="AD334" s="457" t="e">
        <f aca="false">IF(ABS(t-ROUND(t,0))&lt;0.001,pos_x,NA())</f>
        <v>#N/A</v>
      </c>
      <c r="AE334" s="458" t="n">
        <f aca="false">IF(t&lt;T_para, pos_z, NA())</f>
        <v>339.270359549995</v>
      </c>
      <c r="AF334" s="444"/>
      <c r="AG334" s="450" t="n">
        <f aca="false">IF(AND(L333&lt;L_rampe,Poussee&lt;Poids*SIN(M333)),0,(-W333+Poussee)/m-Poids*SIN(M333)/m)</f>
        <v>0.549814240953847</v>
      </c>
      <c r="AH334" s="449" t="n">
        <f aca="false">IF(AND(L333&lt;L_rampe,Poussee&lt;Poids*SIN(M333)), g*SIN(M333), (-W333+Poussee)/m)</f>
        <v>10.082082950089</v>
      </c>
    </row>
    <row r="335" customFormat="false" ht="12" hidden="false" customHeight="false" outlineLevel="0" collapsed="false">
      <c r="A335" s="448" t="n">
        <f aca="false">IF(B334+0.01&lt;=T_ini+ROUNDUP(Temps_fin_propu,0), 0.01, IF(K334&gt;0, 0.1, 0.0001))</f>
        <v>0.01</v>
      </c>
      <c r="B335" s="449" t="n">
        <f aca="false">B334+pas</f>
        <v>3.30999999999997</v>
      </c>
      <c r="C335" s="432"/>
      <c r="D335" s="450" t="n">
        <f aca="false">IF(AND(L334&lt;L_rampe,Poussee&lt;Poids*SIN(M334)),0,(-W334+Poussee)/m*COS(M334)-U334/m*SIN(M334))</f>
        <v>2.22410814723561</v>
      </c>
      <c r="E335" s="451" t="n">
        <f aca="false">IF(AND(L334&lt;L_rampe,Poussee&lt;Poids*SIN(M334)),0,(-W334+Poussee)/m*SIN(M334)+U334/m*COS(M334)-Poids/m)</f>
        <v>-0.668072964692296</v>
      </c>
      <c r="F335" s="449" t="n">
        <f aca="false">SQRT(acc_x^2+acc_z^2)</f>
        <v>2.32227873795386</v>
      </c>
      <c r="G335" s="450" t="n">
        <f aca="false">G334+acc_x*pas</f>
        <v>41.7520068702639</v>
      </c>
      <c r="H335" s="451" t="n">
        <f aca="false">H334+acc_z*pas</f>
        <v>171.51846498585</v>
      </c>
      <c r="I335" s="449" t="n">
        <f aca="false">SQRT(vit_x^2+vit_z^2)</f>
        <v>176.527091146931</v>
      </c>
      <c r="J335" s="450" t="n">
        <f aca="false">J334+0.5*(vit_x+G334)*pas*(K334&gt;=0)</f>
        <v>76.4639296701933</v>
      </c>
      <c r="K335" s="451" t="n">
        <f aca="false">K334+0.5*(vit_z+H334)*pas</f>
        <v>340.985577603502</v>
      </c>
      <c r="L335" s="449" t="n">
        <f aca="false">SQRT(pos_x^2+pos_z^2)</f>
        <v>349.453711776255</v>
      </c>
      <c r="M335" s="450" t="n">
        <f aca="false">IF(AND(L334&gt;L_rampe,G335&gt;0),ATAN2(G335,H335),$M$4)</f>
        <v>1.33201472256822</v>
      </c>
      <c r="N335" s="449" t="n">
        <f aca="false">DEGREES(Beta)</f>
        <v>76.3188218524484</v>
      </c>
      <c r="O335" s="438"/>
      <c r="P335" s="452" t="n">
        <f aca="false">MATCH(t-pas/2-T_ini,CdP_t)</f>
        <v>9</v>
      </c>
      <c r="Q335" s="449" t="n">
        <f aca="false">(INDEX(CdP,2,i_P+1)-INDEX(CdP,2,i_P+0))/(INDEX(CdP,1,i_P+1)-INDEX(CdP,1,i_P+0))*(t-pas/2-T_ini-INDEX(CdP,1,i_P+0))+INDEX(CdP,2,i_P+0)</f>
        <v>163.555555555571</v>
      </c>
      <c r="R335" s="450" t="n">
        <f aca="false">Poussee/(g*ISP)</f>
        <v>0.0820809129985887</v>
      </c>
      <c r="S335" s="451" t="n">
        <f aca="false">S334-Débit*pas</f>
        <v>8.66315638713768</v>
      </c>
      <c r="T335" s="449" t="n">
        <f aca="false">m*g</f>
        <v>84.9855641578207</v>
      </c>
      <c r="U335" s="453" t="n">
        <f aca="false">IF(pos_xz&lt;L_rampe,Poids*COS(Beta),0)</f>
        <v>0</v>
      </c>
      <c r="V335" s="450" t="n">
        <f aca="false">Rho_moyen*(20000-Alt_rampe-pos_z)/(20000+Alt_rampe+pos_z)</f>
        <v>1.18392948933367</v>
      </c>
      <c r="W335" s="449" t="n">
        <f aca="false">1/2*Rho*Sref*Cx*vit_xz^2</f>
        <v>82.0322842198707</v>
      </c>
      <c r="X335" s="438"/>
      <c r="Y335" s="454" t="str">
        <f aca="false">IF(AND(pos_z&lt;=0,K334&gt;0),"Impact balistique","") &amp; IF(AND(H336&lt;0,vit_z&gt;=0),"Apogée","") &amp; IF(AND(Poussee=0,Q334&gt;0),"Fin de propulsion","") &amp; IF(AND(L336&gt;L_rampe,pos_xz&lt;=L_rampe),"Sortie de rampe","")</f>
        <v/>
      </c>
      <c r="Z335" s="455" t="str">
        <f aca="false">IF(ABS(t-T_para)&lt;pas/2,"Para","")</f>
        <v/>
      </c>
      <c r="AA335" s="456" t="str">
        <f aca="false">IF(ABS(t-T_satellite)&lt;pas/2,"Satellite","")</f>
        <v/>
      </c>
      <c r="AB335" s="444"/>
      <c r="AC335" s="452" t="e">
        <f aca="false">IF(ABS(t-ROUND(t,0))&lt;0.001,t,NA())</f>
        <v>#N/A</v>
      </c>
      <c r="AD335" s="457" t="e">
        <f aca="false">IF(ABS(t-ROUND(t,0))&lt;0.001,pos_x,NA())</f>
        <v>#N/A</v>
      </c>
      <c r="AE335" s="458" t="n">
        <f aca="false">IF(t&lt;T_para, pos_z, NA())</f>
        <v>340.985577603502</v>
      </c>
      <c r="AF335" s="444"/>
      <c r="AG335" s="450" t="n">
        <f aca="false">IF(AND(L334&lt;L_rampe,Poussee&lt;Poids*SIN(M334)),0,(-W334+Poussee)/m-Poids*SIN(M334)/m)</f>
        <v>-0.123378504501579</v>
      </c>
      <c r="AH335" s="449" t="n">
        <f aca="false">IF(AND(L334&lt;L_rampe,Poussee&lt;Poids*SIN(M334)), g*SIN(M334), (-W334+Poussee)/m)</f>
        <v>9.40858581134751</v>
      </c>
    </row>
    <row r="336" customFormat="false" ht="12" hidden="false" customHeight="false" outlineLevel="0" collapsed="false">
      <c r="A336" s="448" t="n">
        <f aca="false">IF(B335+0.01&lt;=T_ini+ROUNDUP(Temps_fin_propu,0), 0.01, IF(K335&gt;0, 0.1, 0.0001))</f>
        <v>0.01</v>
      </c>
      <c r="B336" s="449" t="n">
        <f aca="false">B335+pas</f>
        <v>3.31999999999997</v>
      </c>
      <c r="C336" s="432"/>
      <c r="D336" s="450" t="n">
        <f aca="false">IF(AND(L335&lt;L_rampe,Poussee&lt;Poids*SIN(M335)),0,(-W335+Poussee)/m*COS(M335)-U335/m*SIN(M335))</f>
        <v>2.06614784488169</v>
      </c>
      <c r="E336" s="451" t="n">
        <f aca="false">IF(AND(L335&lt;L_rampe,Poussee&lt;Poids*SIN(M335)),0,(-W335+Poussee)/m*SIN(M335)+U335/m*COS(M335)-Poids/m)</f>
        <v>-1.32220424232296</v>
      </c>
      <c r="F336" s="449" t="n">
        <f aca="false">SQRT(acc_x^2+acc_z^2)</f>
        <v>2.45299632599115</v>
      </c>
      <c r="G336" s="450" t="n">
        <f aca="false">G335+acc_x*pas</f>
        <v>41.7726683487127</v>
      </c>
      <c r="H336" s="451" t="n">
        <f aca="false">H335+acc_z*pas</f>
        <v>171.505242943427</v>
      </c>
      <c r="I336" s="449" t="n">
        <f aca="false">SQRT(vit_x^2+vit_z^2)</f>
        <v>176.519132611894</v>
      </c>
      <c r="J336" s="450" t="n">
        <f aca="false">J335+0.5*(vit_x+G335)*pas*(K335&gt;=0)</f>
        <v>76.8815530462881</v>
      </c>
      <c r="K336" s="451" t="n">
        <f aca="false">K335+0.5*(vit_z+H335)*pas</f>
        <v>342.700696143148</v>
      </c>
      <c r="L336" s="449" t="n">
        <f aca="false">SQRT(pos_x^2+pos_z^2)</f>
        <v>351.218650324563</v>
      </c>
      <c r="M336" s="450" t="n">
        <f aca="false">IF(AND(L335&gt;L_rampe,G336&gt;0),ATAN2(G336,H336),$M$4)</f>
        <v>1.33188327782742</v>
      </c>
      <c r="N336" s="449" t="n">
        <f aca="false">DEGREES(Beta)</f>
        <v>76.3112906235613</v>
      </c>
      <c r="O336" s="438"/>
      <c r="P336" s="452" t="n">
        <f aca="false">MATCH(t-pas/2-T_ini,CdP_t)</f>
        <v>9</v>
      </c>
      <c r="Q336" s="449" t="n">
        <f aca="false">(INDEX(CdP,2,i_P+1)-INDEX(CdP,2,i_P+0))/(INDEX(CdP,1,i_P+1)-INDEX(CdP,1,i_P+0))*(t-pas/2-T_ini-INDEX(CdP,1,i_P+0))+INDEX(CdP,2,i_P+0)</f>
        <v>157.703703703719</v>
      </c>
      <c r="R336" s="450" t="n">
        <f aca="false">Poussee/(g*ISP)</f>
        <v>0.079144141201991</v>
      </c>
      <c r="S336" s="451" t="n">
        <f aca="false">S335-Débit*pas</f>
        <v>8.66236494572566</v>
      </c>
      <c r="T336" s="449" t="n">
        <f aca="false">m*g</f>
        <v>84.9778001175688</v>
      </c>
      <c r="U336" s="453" t="n">
        <f aca="false">IF(pos_xz&lt;L_rampe,Poids*COS(Beta),0)</f>
        <v>0</v>
      </c>
      <c r="V336" s="450" t="n">
        <f aca="false">Rho_moyen*(20000-Alt_rampe-pos_z)/(20000+Alt_rampe+pos_z)</f>
        <v>1.18372638947542</v>
      </c>
      <c r="W336" s="449" t="n">
        <f aca="false">1/2*Rho*Sref*Cx*vit_xz^2</f>
        <v>82.0108165664494</v>
      </c>
      <c r="X336" s="438"/>
      <c r="Y336" s="454" t="str">
        <f aca="false">IF(AND(pos_z&lt;=0,K335&gt;0),"Impact balistique","") &amp; IF(AND(H337&lt;0,vit_z&gt;=0),"Apogée","") &amp; IF(AND(Poussee=0,Q335&gt;0),"Fin de propulsion","") &amp; IF(AND(L337&gt;L_rampe,pos_xz&lt;=L_rampe),"Sortie de rampe","")</f>
        <v/>
      </c>
      <c r="Z336" s="455" t="str">
        <f aca="false">IF(ABS(t-T_para)&lt;pas/2,"Para","")</f>
        <v/>
      </c>
      <c r="AA336" s="456" t="str">
        <f aca="false">IF(ABS(t-T_satellite)&lt;pas/2,"Satellite","")</f>
        <v/>
      </c>
      <c r="AB336" s="444"/>
      <c r="AC336" s="452" t="e">
        <f aca="false">IF(ABS(t-ROUND(t,0))&lt;0.001,t,NA())</f>
        <v>#N/A</v>
      </c>
      <c r="AD336" s="457" t="e">
        <f aca="false">IF(ABS(t-ROUND(t,0))&lt;0.001,pos_x,NA())</f>
        <v>#N/A</v>
      </c>
      <c r="AE336" s="458" t="n">
        <f aca="false">IF(t&lt;T_para, pos_z, NA())</f>
        <v>342.700696143148</v>
      </c>
      <c r="AF336" s="444"/>
      <c r="AG336" s="450" t="n">
        <f aca="false">IF(AND(L335&lt;L_rampe,Poussee&lt;Poids*SIN(M335)),0,(-W335+Poussee)/m-Poids*SIN(M335)/m)</f>
        <v>-0.796005996097074</v>
      </c>
      <c r="AH336" s="449" t="n">
        <f aca="false">IF(AND(L335&lt;L_rampe,Poussee&lt;Poids*SIN(M335)), g*SIN(M335), (-W335+Poussee)/m)</f>
        <v>8.73565359552161</v>
      </c>
    </row>
    <row r="337" customFormat="false" ht="12" hidden="false" customHeight="false" outlineLevel="0" collapsed="false">
      <c r="A337" s="448" t="n">
        <f aca="false">IF(B336+0.01&lt;=T_ini+ROUNDUP(Temps_fin_propu,0), 0.01, IF(K336&gt;0, 0.1, 0.0001))</f>
        <v>0.01</v>
      </c>
      <c r="B337" s="449" t="n">
        <f aca="false">B336+pas</f>
        <v>3.32999999999997</v>
      </c>
      <c r="C337" s="432"/>
      <c r="D337" s="450" t="n">
        <f aca="false">IF(AND(L336&lt;L_rampe,Poussee&lt;Poids*SIN(M336)),0,(-W336+Poussee)/m*COS(M336)-U336/m*SIN(M336))</f>
        <v>1.90815141595427</v>
      </c>
      <c r="E337" s="451" t="n">
        <f aca="false">IF(AND(L336&lt;L_rampe,Poussee&lt;Poids*SIN(M336)),0,(-W336+Poussee)/m*SIN(M336)+U336/m*COS(M336)-Poids/m)</f>
        <v>-1.97573934338657</v>
      </c>
      <c r="F337" s="449" t="n">
        <f aca="false">SQRT(acc_x^2+acc_z^2)</f>
        <v>2.7467413018364</v>
      </c>
      <c r="G337" s="450" t="n">
        <f aca="false">G336+acc_x*pas</f>
        <v>41.7917498628723</v>
      </c>
      <c r="H337" s="451" t="n">
        <f aca="false">H336+acc_z*pas</f>
        <v>171.485485549993</v>
      </c>
      <c r="I337" s="449" t="n">
        <f aca="false">SQRT(vit_x^2+vit_z^2)</f>
        <v>176.504453515818</v>
      </c>
      <c r="J337" s="450" t="n">
        <f aca="false">J336+0.5*(vit_x+G336)*pas*(K336&gt;=0)</f>
        <v>77.2993751373461</v>
      </c>
      <c r="K337" s="451" t="n">
        <f aca="false">K336+0.5*(vit_z+H336)*pas</f>
        <v>344.415649785616</v>
      </c>
      <c r="L337" s="449" t="n">
        <f aca="false">SQRT(pos_x^2+pos_z^2)</f>
        <v>352.983474420364</v>
      </c>
      <c r="M337" s="450" t="n">
        <f aca="false">IF(AND(L336&gt;L_rampe,G337&gt;0),ATAN2(G337,H337),$M$4)</f>
        <v>1.3317517511728</v>
      </c>
      <c r="N337" s="449" t="n">
        <f aca="false">DEGREES(Beta)</f>
        <v>76.3037547013579</v>
      </c>
      <c r="O337" s="438"/>
      <c r="P337" s="452" t="n">
        <f aca="false">MATCH(t-pas/2-T_ini,CdP_t)</f>
        <v>9</v>
      </c>
      <c r="Q337" s="449" t="n">
        <f aca="false">(INDEX(CdP,2,i_P+1)-INDEX(CdP,2,i_P+0))/(INDEX(CdP,1,i_P+1)-INDEX(CdP,1,i_P+0))*(t-pas/2-T_ini-INDEX(CdP,1,i_P+0))+INDEX(CdP,2,i_P+0)</f>
        <v>151.851851851868</v>
      </c>
      <c r="R337" s="450" t="n">
        <f aca="false">Poussee/(g*ISP)</f>
        <v>0.0762073694053933</v>
      </c>
      <c r="S337" s="451" t="n">
        <f aca="false">S336-Débit*pas</f>
        <v>8.66160287203161</v>
      </c>
      <c r="T337" s="449" t="n">
        <f aca="false">m*g</f>
        <v>84.9703241746301</v>
      </c>
      <c r="U337" s="453" t="n">
        <f aca="false">IF(pos_xz&lt;L_rampe,Poids*COS(Beta),0)</f>
        <v>0</v>
      </c>
      <c r="V337" s="450" t="n">
        <f aca="false">Rho_moyen*(20000-Alt_rampe-pos_z)/(20000+Alt_rampe+pos_z)</f>
        <v>1.18352334338324</v>
      </c>
      <c r="W337" s="449" t="n">
        <f aca="false">1/2*Rho*Sref*Cx*vit_xz^2</f>
        <v>81.9831122328797</v>
      </c>
      <c r="X337" s="438"/>
      <c r="Y337" s="454" t="str">
        <f aca="false">IF(AND(pos_z&lt;=0,K336&gt;0),"Impact balistique","") &amp; IF(AND(H338&lt;0,vit_z&gt;=0),"Apogée","") &amp; IF(AND(Poussee=0,Q336&gt;0),"Fin de propulsion","") &amp; IF(AND(L338&gt;L_rampe,pos_xz&lt;=L_rampe),"Sortie de rampe","")</f>
        <v/>
      </c>
      <c r="Z337" s="455" t="str">
        <f aca="false">IF(ABS(t-T_para)&lt;pas/2,"Para","")</f>
        <v/>
      </c>
      <c r="AA337" s="456" t="str">
        <f aca="false">IF(ABS(t-T_satellite)&lt;pas/2,"Satellite","")</f>
        <v/>
      </c>
      <c r="AB337" s="444"/>
      <c r="AC337" s="452" t="e">
        <f aca="false">IF(ABS(t-ROUND(t,0))&lt;0.001,t,NA())</f>
        <v>#N/A</v>
      </c>
      <c r="AD337" s="457" t="e">
        <f aca="false">IF(ABS(t-ROUND(t,0))&lt;0.001,pos_x,NA())</f>
        <v>#N/A</v>
      </c>
      <c r="AE337" s="458" t="n">
        <f aca="false">IF(t&lt;T_para, pos_z, NA())</f>
        <v>344.415649785616</v>
      </c>
      <c r="AF337" s="444"/>
      <c r="AG337" s="450" t="n">
        <f aca="false">IF(AND(L336&lt;L_rampe,Poussee&lt;Poids*SIN(M336)),0,(-W336+Poussee)/m-Poids*SIN(M336)/m)</f>
        <v>-1.46806227737579</v>
      </c>
      <c r="AH337" s="449" t="n">
        <f aca="false">IF(AND(L336&lt;L_rampe,Poussee&lt;Poids*SIN(M336)), g*SIN(M336), (-W336+Poussee)/m)</f>
        <v>8.06329224708924</v>
      </c>
    </row>
    <row r="338" customFormat="false" ht="12" hidden="false" customHeight="false" outlineLevel="0" collapsed="false">
      <c r="A338" s="448" t="n">
        <f aca="false">IF(B337+0.01&lt;=T_ini+ROUNDUP(Temps_fin_propu,0), 0.01, IF(K337&gt;0, 0.1, 0.0001))</f>
        <v>0.01</v>
      </c>
      <c r="B338" s="449" t="n">
        <f aca="false">B337+pas</f>
        <v>3.33999999999997</v>
      </c>
      <c r="C338" s="432"/>
      <c r="D338" s="450" t="n">
        <f aca="false">IF(AND(L337&lt;L_rampe,Poussee&lt;Poids*SIN(M337)),0,(-W337+Poussee)/m*COS(M337)-U337/m*SIN(M337))</f>
        <v>1.75012035739977</v>
      </c>
      <c r="E338" s="451" t="n">
        <f aca="false">IF(AND(L337&lt;L_rampe,Poussee&lt;Poids*SIN(M337)),0,(-W337+Poussee)/m*SIN(M337)+U337/m*COS(M337)-Poids/m)</f>
        <v>-2.62867257905243</v>
      </c>
      <c r="F338" s="449" t="n">
        <f aca="false">SQRT(acc_x^2+acc_z^2)</f>
        <v>3.15798049285413</v>
      </c>
      <c r="G338" s="450" t="n">
        <f aca="false">G337+acc_x*pas</f>
        <v>41.8092510664463</v>
      </c>
      <c r="H338" s="451" t="n">
        <f aca="false">H337+acc_z*pas</f>
        <v>171.459198824202</v>
      </c>
      <c r="I338" s="449" t="n">
        <f aca="false">SQRT(vit_x^2+vit_z^2)</f>
        <v>176.483059629457</v>
      </c>
      <c r="J338" s="450" t="n">
        <f aca="false">J337+0.5*(vit_x+G337)*pas*(K337&gt;=0)</f>
        <v>77.7173801419927</v>
      </c>
      <c r="K338" s="451" t="n">
        <f aca="false">K337+0.5*(vit_z+H337)*pas</f>
        <v>346.130373207487</v>
      </c>
      <c r="L338" s="449" t="n">
        <f aca="false">SQRT(pos_x^2+pos_z^2)</f>
        <v>354.748116884204</v>
      </c>
      <c r="M338" s="450" t="n">
        <f aca="false">IF(AND(L337&gt;L_rampe,G338&gt;0),ATAN2(G338,H338),$M$4)</f>
        <v>1.33162013754134</v>
      </c>
      <c r="N338" s="449" t="n">
        <f aca="false">DEGREES(Beta)</f>
        <v>76.296213795749</v>
      </c>
      <c r="O338" s="438"/>
      <c r="P338" s="452" t="n">
        <f aca="false">MATCH(t-pas/2-T_ini,CdP_t)</f>
        <v>9</v>
      </c>
      <c r="Q338" s="449" t="n">
        <f aca="false">(INDEX(CdP,2,i_P+1)-INDEX(CdP,2,i_P+0))/(INDEX(CdP,1,i_P+1)-INDEX(CdP,1,i_P+0))*(t-pas/2-T_ini-INDEX(CdP,1,i_P+0))+INDEX(CdP,2,i_P+0)</f>
        <v>146.000000000016</v>
      </c>
      <c r="R338" s="450" t="n">
        <f aca="false">Poussee/(g*ISP)</f>
        <v>0.0732705976087956</v>
      </c>
      <c r="S338" s="451" t="n">
        <f aca="false">S337-Débit*pas</f>
        <v>8.66087016605552</v>
      </c>
      <c r="T338" s="449" t="n">
        <f aca="false">m*g</f>
        <v>84.9631363290047</v>
      </c>
      <c r="U338" s="453" t="n">
        <f aca="false">IF(pos_xz&lt;L_rampe,Poids*COS(Beta),0)</f>
        <v>0</v>
      </c>
      <c r="V338" s="450" t="n">
        <f aca="false">Rho_moyen*(20000-Alt_rampe-pos_z)/(20000+Alt_rampe+pos_z)</f>
        <v>1.18332035877077</v>
      </c>
      <c r="W338" s="449" t="n">
        <f aca="false">1/2*Rho*Sref*Cx*vit_xz^2</f>
        <v>81.9491818812616</v>
      </c>
      <c r="X338" s="438"/>
      <c r="Y338" s="454" t="str">
        <f aca="false">IF(AND(pos_z&lt;=0,K337&gt;0),"Impact balistique","") &amp; IF(AND(H339&lt;0,vit_z&gt;=0),"Apogée","") &amp; IF(AND(Poussee=0,Q337&gt;0),"Fin de propulsion","") &amp; IF(AND(L339&gt;L_rampe,pos_xz&lt;=L_rampe),"Sortie de rampe","")</f>
        <v/>
      </c>
      <c r="Z338" s="455" t="str">
        <f aca="false">IF(ABS(t-T_para)&lt;pas/2,"Para","")</f>
        <v/>
      </c>
      <c r="AA338" s="456" t="str">
        <f aca="false">IF(ABS(t-T_satellite)&lt;pas/2,"Satellite","")</f>
        <v/>
      </c>
      <c r="AB338" s="444"/>
      <c r="AC338" s="452" t="e">
        <f aca="false">IF(ABS(t-ROUND(t,0))&lt;0.001,t,NA())</f>
        <v>#N/A</v>
      </c>
      <c r="AD338" s="457" t="e">
        <f aca="false">IF(ABS(t-ROUND(t,0))&lt;0.001,pos_x,NA())</f>
        <v>#N/A</v>
      </c>
      <c r="AE338" s="458" t="n">
        <f aca="false">IF(t&lt;T_para, pos_z, NA())</f>
        <v>346.130373207487</v>
      </c>
      <c r="AF338" s="444"/>
      <c r="AG338" s="450" t="n">
        <f aca="false">IF(AND(L337&lt;L_rampe,Poussee&lt;Poids*SIN(M337)),0,(-W337+Poussee)/m-Poids*SIN(M337)/m)</f>
        <v>-2.13954148941937</v>
      </c>
      <c r="AH338" s="449" t="n">
        <f aca="false">IF(AND(L337&lt;L_rampe,Poussee&lt;Poids*SIN(M337)), g*SIN(M337), (-W337+Poussee)/m)</f>
        <v>7.391507612946</v>
      </c>
    </row>
    <row r="339" customFormat="false" ht="12" hidden="false" customHeight="false" outlineLevel="0" collapsed="false">
      <c r="A339" s="448" t="n">
        <f aca="false">IF(B338+0.01&lt;=T_ini+ROUNDUP(Temps_fin_propu,0), 0.01, IF(K338&gt;0, 0.1, 0.0001))</f>
        <v>0.01</v>
      </c>
      <c r="B339" s="449" t="n">
        <f aca="false">B338+pas</f>
        <v>3.34999999999997</v>
      </c>
      <c r="C339" s="432"/>
      <c r="D339" s="450" t="n">
        <f aca="false">IF(AND(L338&lt;L_rampe,Poussee&lt;Poids*SIN(M338)),0,(-W338+Poussee)/m*COS(M338)-U338/m*SIN(M338))</f>
        <v>1.59205613322839</v>
      </c>
      <c r="E339" s="451" t="n">
        <f aca="false">IF(AND(L338&lt;L_rampe,Poussee&lt;Poids*SIN(M338)),0,(-W338+Poussee)/m*SIN(M338)+U338/m*COS(M338)-Poids/m)</f>
        <v>-3.28099835266916</v>
      </c>
      <c r="F339" s="449" t="n">
        <f aca="false">SQRT(acc_x^2+acc_z^2)</f>
        <v>3.64686069401723</v>
      </c>
      <c r="G339" s="450" t="n">
        <f aca="false">G338+acc_x*pas</f>
        <v>41.8251716277786</v>
      </c>
      <c r="H339" s="451" t="n">
        <f aca="false">H338+acc_z*pas</f>
        <v>171.426388840676</v>
      </c>
      <c r="I339" s="449" t="n">
        <f aca="false">SQRT(vit_x^2+vit_z^2)</f>
        <v>176.454956781179</v>
      </c>
      <c r="J339" s="450" t="n">
        <f aca="false">J338+0.5*(vit_x+G338)*pas*(K338&gt;=0)</f>
        <v>78.1355522554638</v>
      </c>
      <c r="K339" s="451" t="n">
        <f aca="false">K338+0.5*(vit_z+H338)*pas</f>
        <v>347.844801145811</v>
      </c>
      <c r="L339" s="449" t="n">
        <f aca="false">SQRT(pos_x^2+pos_z^2)</f>
        <v>356.512510594558</v>
      </c>
      <c r="M339" s="450" t="n">
        <f aca="false">IF(AND(L338&gt;L_rampe,G339&gt;0),ATAN2(G339,H339),$M$4)</f>
        <v>1.3314884318599</v>
      </c>
      <c r="N339" s="449" t="n">
        <f aca="false">DEGREES(Beta)</f>
        <v>76.2886676160644</v>
      </c>
      <c r="O339" s="438"/>
      <c r="P339" s="452" t="n">
        <f aca="false">MATCH(t-pas/2-T_ini,CdP_t)</f>
        <v>9</v>
      </c>
      <c r="Q339" s="449" t="n">
        <f aca="false">(INDEX(CdP,2,i_P+1)-INDEX(CdP,2,i_P+0))/(INDEX(CdP,1,i_P+1)-INDEX(CdP,1,i_P+0))*(t-pas/2-T_ini-INDEX(CdP,1,i_P+0))+INDEX(CdP,2,i_P+0)</f>
        <v>140.148148148164</v>
      </c>
      <c r="R339" s="450" t="n">
        <f aca="false">Poussee/(g*ISP)</f>
        <v>0.0703338258121978</v>
      </c>
      <c r="S339" s="451" t="n">
        <f aca="false">S338-Débit*pas</f>
        <v>8.6601668277974</v>
      </c>
      <c r="T339" s="449" t="n">
        <f aca="false">m*g</f>
        <v>84.9562365806925</v>
      </c>
      <c r="U339" s="453" t="n">
        <f aca="false">IF(pos_xz&lt;L_rampe,Poids*COS(Beta),0)</f>
        <v>0</v>
      </c>
      <c r="V339" s="450" t="n">
        <f aca="false">Rho_moyen*(20000-Alt_rampe-pos_z)/(20000+Alt_rampe+pos_z)</f>
        <v>1.18311744333929</v>
      </c>
      <c r="W339" s="449" t="n">
        <f aca="false">1/2*Rho*Sref*Cx*vit_xz^2</f>
        <v>81.9090369286846</v>
      </c>
      <c r="X339" s="438"/>
      <c r="Y339" s="454" t="str">
        <f aca="false">IF(AND(pos_z&lt;=0,K338&gt;0),"Impact balistique","") &amp; IF(AND(H340&lt;0,vit_z&gt;=0),"Apogée","") &amp; IF(AND(Poussee=0,Q338&gt;0),"Fin de propulsion","") &amp; IF(AND(L340&gt;L_rampe,pos_xz&lt;=L_rampe),"Sortie de rampe","")</f>
        <v/>
      </c>
      <c r="Z339" s="455" t="str">
        <f aca="false">IF(ABS(t-T_para)&lt;pas/2,"Para","")</f>
        <v/>
      </c>
      <c r="AA339" s="456" t="str">
        <f aca="false">IF(ABS(t-T_satellite)&lt;pas/2,"Satellite","")</f>
        <v/>
      </c>
      <c r="AB339" s="444"/>
      <c r="AC339" s="452" t="e">
        <f aca="false">IF(ABS(t-ROUND(t,0))&lt;0.001,t,NA())</f>
        <v>#N/A</v>
      </c>
      <c r="AD339" s="457" t="e">
        <f aca="false">IF(ABS(t-ROUND(t,0))&lt;0.001,pos_x,NA())</f>
        <v>#N/A</v>
      </c>
      <c r="AE339" s="458" t="n">
        <f aca="false">IF(t&lt;T_para, pos_z, NA())</f>
        <v>347.844801145811</v>
      </c>
      <c r="AF339" s="444"/>
      <c r="AG339" s="450" t="n">
        <f aca="false">IF(AND(L338&lt;L_rampe,Poussee&lt;Poids*SIN(M338)),0,(-W338+Poussee)/m-Poids*SIN(M338)/m)</f>
        <v>-2.81043787062367</v>
      </c>
      <c r="AH339" s="449" t="n">
        <f aca="false">IF(AND(L338&lt;L_rampe,Poussee&lt;Poids*SIN(M338)), g*SIN(M338), (-W338+Poussee)/m)</f>
        <v>6.72030544262677</v>
      </c>
    </row>
    <row r="340" customFormat="false" ht="12" hidden="false" customHeight="false" outlineLevel="0" collapsed="false">
      <c r="A340" s="448" t="n">
        <f aca="false">IF(B339+0.01&lt;=T_ini+ROUNDUP(Temps_fin_propu,0), 0.01, IF(K339&gt;0, 0.1, 0.0001))</f>
        <v>0.01</v>
      </c>
      <c r="B340" s="449" t="n">
        <f aca="false">B339+pas</f>
        <v>3.35999999999997</v>
      </c>
      <c r="C340" s="432"/>
      <c r="D340" s="450" t="n">
        <f aca="false">IF(AND(L339&lt;L_rampe,Poussee&lt;Poids*SIN(M339)),0,(-W339+Poussee)/m*COS(M339)-U339/m*SIN(M339))</f>
        <v>1.43396017451833</v>
      </c>
      <c r="E340" s="451" t="n">
        <f aca="false">IF(AND(L339&lt;L_rampe,Poussee&lt;Poids*SIN(M339)),0,(-W339+Poussee)/m*SIN(M339)+U339/m*COS(M339)-Poids/m)</f>
        <v>-3.93271115952196</v>
      </c>
      <c r="F340" s="449" t="n">
        <f aca="false">SQRT(acc_x^2+acc_z^2)</f>
        <v>4.18598361754238</v>
      </c>
      <c r="G340" s="450" t="n">
        <f aca="false">G339+acc_x*pas</f>
        <v>41.8395112295238</v>
      </c>
      <c r="H340" s="451" t="n">
        <f aca="false">H339+acc_z*pas</f>
        <v>171.38706172908</v>
      </c>
      <c r="I340" s="449" t="n">
        <f aca="false">SQRT(vit_x^2+vit_z^2)</f>
        <v>176.420150855998</v>
      </c>
      <c r="J340" s="450" t="n">
        <f aca="false">J339+0.5*(vit_x+G339)*pas*(K339&gt;=0)</f>
        <v>78.5538756697503</v>
      </c>
      <c r="K340" s="451" t="n">
        <f aca="false">K339+0.5*(vit_z+H339)*pas</f>
        <v>349.55886839866</v>
      </c>
      <c r="L340" s="449" t="n">
        <f aca="false">SQRT(pos_x^2+pos_z^2)</f>
        <v>358.276588488405</v>
      </c>
      <c r="M340" s="450" t="n">
        <f aca="false">IF(AND(L339&gt;L_rampe,G340&gt;0),ATAN2(G340,H340),$M$4)</f>
        <v>1.33135662904404</v>
      </c>
      <c r="N340" s="449" t="n">
        <f aca="false">DEGREES(Beta)</f>
        <v>76.2811158709881</v>
      </c>
      <c r="O340" s="438"/>
      <c r="P340" s="452" t="n">
        <f aca="false">MATCH(t-pas/2-T_ini,CdP_t)</f>
        <v>9</v>
      </c>
      <c r="Q340" s="449" t="n">
        <f aca="false">(INDEX(CdP,2,i_P+1)-INDEX(CdP,2,i_P+0))/(INDEX(CdP,1,i_P+1)-INDEX(CdP,1,i_P+0))*(t-pas/2-T_ini-INDEX(CdP,1,i_P+0))+INDEX(CdP,2,i_P+0)</f>
        <v>134.296296296313</v>
      </c>
      <c r="R340" s="450" t="n">
        <f aca="false">Poussee/(g*ISP)</f>
        <v>0.0673970540156001</v>
      </c>
      <c r="S340" s="451" t="n">
        <f aca="false">S339-Débit*pas</f>
        <v>8.65949285725724</v>
      </c>
      <c r="T340" s="449" t="n">
        <f aca="false">m*g</f>
        <v>84.9496249296936</v>
      </c>
      <c r="U340" s="453" t="n">
        <f aca="false">IF(pos_xz&lt;L_rampe,Poids*COS(Beta),0)</f>
        <v>0</v>
      </c>
      <c r="V340" s="450" t="n">
        <f aca="false">Rho_moyen*(20000-Alt_rampe-pos_z)/(20000+Alt_rampe+pos_z)</f>
        <v>1.18291460477767</v>
      </c>
      <c r="W340" s="449" t="n">
        <f aca="false">1/2*Rho*Sref*Cx*vit_xz^2</f>
        <v>81.8626895431785</v>
      </c>
      <c r="X340" s="438"/>
      <c r="Y340" s="454" t="str">
        <f aca="false">IF(AND(pos_z&lt;=0,K339&gt;0),"Impact balistique","") &amp; IF(AND(H341&lt;0,vit_z&gt;=0),"Apogée","") &amp; IF(AND(Poussee=0,Q339&gt;0),"Fin de propulsion","") &amp; IF(AND(L341&gt;L_rampe,pos_xz&lt;=L_rampe),"Sortie de rampe","")</f>
        <v/>
      </c>
      <c r="Z340" s="455" t="str">
        <f aca="false">IF(ABS(t-T_para)&lt;pas/2,"Para","")</f>
        <v/>
      </c>
      <c r="AA340" s="456" t="str">
        <f aca="false">IF(ABS(t-T_satellite)&lt;pas/2,"Satellite","")</f>
        <v/>
      </c>
      <c r="AB340" s="444"/>
      <c r="AC340" s="452" t="e">
        <f aca="false">IF(ABS(t-ROUND(t,0))&lt;0.001,t,NA())</f>
        <v>#N/A</v>
      </c>
      <c r="AD340" s="457" t="e">
        <f aca="false">IF(ABS(t-ROUND(t,0))&lt;0.001,pos_x,NA())</f>
        <v>#N/A</v>
      </c>
      <c r="AE340" s="458" t="n">
        <f aca="false">IF(t&lt;T_para, pos_z, NA())</f>
        <v>349.55886839866</v>
      </c>
      <c r="AF340" s="444"/>
      <c r="AG340" s="450" t="n">
        <f aca="false">IF(AND(L339&lt;L_rampe,Poussee&lt;Poids*SIN(M339)),0,(-W339+Poussee)/m-Poids*SIN(M339)/m)</f>
        <v>-3.48074575646695</v>
      </c>
      <c r="AH340" s="449" t="n">
        <f aca="false">IF(AND(L339&lt;L_rampe,Poussee&lt;Poids*SIN(M339)), g*SIN(M339), (-W339+Poussee)/m)</f>
        <v>6.04969138853482</v>
      </c>
    </row>
    <row r="341" customFormat="false" ht="12" hidden="false" customHeight="false" outlineLevel="0" collapsed="false">
      <c r="A341" s="448" t="n">
        <f aca="false">IF(B340+0.01&lt;=T_ini+ROUNDUP(Temps_fin_propu,0), 0.01, IF(K340&gt;0, 0.1, 0.0001))</f>
        <v>0.01</v>
      </c>
      <c r="B341" s="449" t="n">
        <f aca="false">B340+pas</f>
        <v>3.36999999999997</v>
      </c>
      <c r="C341" s="432"/>
      <c r="D341" s="450" t="n">
        <f aca="false">IF(AND(L340&lt;L_rampe,Poussee&lt;Poids*SIN(M340)),0,(-W340+Poussee)/m*COS(M340)-U340/m*SIN(M340))</f>
        <v>1.27583387941815</v>
      </c>
      <c r="E341" s="451" t="n">
        <f aca="false">IF(AND(L340&lt;L_rampe,Poussee&lt;Poids*SIN(M340)),0,(-W340+Poussee)/m*SIN(M340)+U340/m*COS(M340)-Poids/m)</f>
        <v>-4.58380558658168</v>
      </c>
      <c r="F341" s="449" t="n">
        <f aca="false">SQRT(acc_x^2+acc_z^2)</f>
        <v>4.75804852260342</v>
      </c>
      <c r="G341" s="450" t="n">
        <f aca="false">G340+acc_x*pas</f>
        <v>41.8522695683179</v>
      </c>
      <c r="H341" s="451" t="n">
        <f aca="false">H340+acc_z*pas</f>
        <v>171.341223673215</v>
      </c>
      <c r="I341" s="449" t="n">
        <f aca="false">SQRT(vit_x^2+vit_z^2)</f>
        <v>176.378647794606</v>
      </c>
      <c r="J341" s="450" t="n">
        <f aca="false">J340+0.5*(vit_x+G340)*pas*(K340&gt;=0)</f>
        <v>78.9723345737395</v>
      </c>
      <c r="K341" s="451" t="n">
        <f aca="false">K340+0.5*(vit_z+H340)*pas</f>
        <v>351.272509825671</v>
      </c>
      <c r="L341" s="449" t="n">
        <f aca="false">SQRT(pos_x^2+pos_z^2)</f>
        <v>360.040283561788</v>
      </c>
      <c r="M341" s="450" t="n">
        <f aca="false">IF(AND(L340&gt;L_rampe,G341&gt;0),ATAN2(G341,H341),$M$4)</f>
        <v>1.33122472399698</v>
      </c>
      <c r="N341" s="449" t="n">
        <f aca="false">DEGREES(Beta)</f>
        <v>76.2735582684948</v>
      </c>
      <c r="O341" s="438"/>
      <c r="P341" s="452" t="n">
        <f aca="false">MATCH(t-pas/2-T_ini,CdP_t)</f>
        <v>9</v>
      </c>
      <c r="Q341" s="449" t="n">
        <f aca="false">(INDEX(CdP,2,i_P+1)-INDEX(CdP,2,i_P+0))/(INDEX(CdP,1,i_P+1)-INDEX(CdP,1,i_P+0))*(t-pas/2-T_ini-INDEX(CdP,1,i_P+0))+INDEX(CdP,2,i_P+0)</f>
        <v>128.444444444461</v>
      </c>
      <c r="R341" s="450" t="n">
        <f aca="false">Poussee/(g*ISP)</f>
        <v>0.0644602822190024</v>
      </c>
      <c r="S341" s="451" t="n">
        <f aca="false">S340-Débit*pas</f>
        <v>8.65884825443505</v>
      </c>
      <c r="T341" s="449" t="n">
        <f aca="false">m*g</f>
        <v>84.9433013760079</v>
      </c>
      <c r="U341" s="453" t="n">
        <f aca="false">IF(pos_xz&lt;L_rampe,Poids*COS(Beta),0)</f>
        <v>0</v>
      </c>
      <c r="V341" s="450" t="n">
        <f aca="false">Rho_moyen*(20000-Alt_rampe-pos_z)/(20000+Alt_rampe+pos_z)</f>
        <v>1.18271185076229</v>
      </c>
      <c r="W341" s="449" t="n">
        <f aca="false">1/2*Rho*Sref*Cx*vit_xz^2</f>
        <v>81.8101526396442</v>
      </c>
      <c r="X341" s="438"/>
      <c r="Y341" s="454" t="str">
        <f aca="false">IF(AND(pos_z&lt;=0,K340&gt;0),"Impact balistique","") &amp; IF(AND(H342&lt;0,vit_z&gt;=0),"Apogée","") &amp; IF(AND(Poussee=0,Q340&gt;0),"Fin de propulsion","") &amp; IF(AND(L342&gt;L_rampe,pos_xz&lt;=L_rampe),"Sortie de rampe","")</f>
        <v/>
      </c>
      <c r="Z341" s="455" t="str">
        <f aca="false">IF(ABS(t-T_para)&lt;pas/2,"Para","")</f>
        <v/>
      </c>
      <c r="AA341" s="456" t="str">
        <f aca="false">IF(ABS(t-T_satellite)&lt;pas/2,"Satellite","")</f>
        <v/>
      </c>
      <c r="AB341" s="444"/>
      <c r="AC341" s="452" t="e">
        <f aca="false">IF(ABS(t-ROUND(t,0))&lt;0.001,t,NA())</f>
        <v>#N/A</v>
      </c>
      <c r="AD341" s="457" t="e">
        <f aca="false">IF(ABS(t-ROUND(t,0))&lt;0.001,pos_x,NA())</f>
        <v>#N/A</v>
      </c>
      <c r="AE341" s="458" t="n">
        <f aca="false">IF(t&lt;T_para, pos_z, NA())</f>
        <v>351.272509825671</v>
      </c>
      <c r="AF341" s="444"/>
      <c r="AG341" s="450" t="n">
        <f aca="false">IF(AND(L340&lt;L_rampe,Poussee&lt;Poids*SIN(M340)),0,(-W340+Poussee)/m-Poids*SIN(M340)/m)</f>
        <v>-4.15045957927068</v>
      </c>
      <c r="AH341" s="449" t="n">
        <f aca="false">IF(AND(L340&lt;L_rampe,Poussee&lt;Poids*SIN(M340)), g*SIN(M340), (-W340+Poussee)/m)</f>
        <v>5.37967100617836</v>
      </c>
    </row>
    <row r="342" customFormat="false" ht="12" hidden="false" customHeight="false" outlineLevel="0" collapsed="false">
      <c r="A342" s="448" t="n">
        <f aca="false">IF(B341+0.01&lt;=T_ini+ROUNDUP(Temps_fin_propu,0), 0.01, IF(K341&gt;0, 0.1, 0.0001))</f>
        <v>0.01</v>
      </c>
      <c r="B342" s="449" t="n">
        <f aca="false">B341+pas</f>
        <v>3.37999999999997</v>
      </c>
      <c r="C342" s="432"/>
      <c r="D342" s="450" t="n">
        <f aca="false">IF(AND(L341&lt;L_rampe,Poussee&lt;Poids*SIN(M341)),0,(-W341+Poussee)/m*COS(M341)-U341/m*SIN(M341))</f>
        <v>1.11767861314718</v>
      </c>
      <c r="E342" s="451" t="n">
        <f aca="false">IF(AND(L341&lt;L_rampe,Poussee&lt;Poids*SIN(M341)),0,(-W341+Poussee)/m*SIN(M341)+U341/m*COS(M341)-Poids/m)</f>
        <v>-5.23427631224596</v>
      </c>
      <c r="F342" s="449" t="n">
        <f aca="false">SQRT(acc_x^2+acc_z^2)</f>
        <v>5.35227559036582</v>
      </c>
      <c r="G342" s="450" t="n">
        <f aca="false">G341+acc_x*pas</f>
        <v>41.8634463544494</v>
      </c>
      <c r="H342" s="451" t="n">
        <f aca="false">H341+acc_z*pas</f>
        <v>171.288880910092</v>
      </c>
      <c r="I342" s="449" t="n">
        <f aca="false">SQRT(vit_x^2+vit_z^2)</f>
        <v>176.330453592406</v>
      </c>
      <c r="J342" s="450" t="n">
        <f aca="false">J341+0.5*(vit_x+G341)*pas*(K341&gt;=0)</f>
        <v>79.3909131533533</v>
      </c>
      <c r="K342" s="451" t="n">
        <f aca="false">K341+0.5*(vit_z+H341)*pas</f>
        <v>352.985660348588</v>
      </c>
      <c r="L342" s="449" t="n">
        <f aca="false">SQRT(pos_x^2+pos_z^2)</f>
        <v>361.803528870369</v>
      </c>
      <c r="M342" s="450" t="n">
        <f aca="false">IF(AND(L341&gt;L_rampe,G342&gt;0),ATAN2(G342,H342),$M$4)</f>
        <v>1.33109271160839</v>
      </c>
      <c r="N342" s="449" t="n">
        <f aca="false">DEGREES(Beta)</f>
        <v>76.2659945157852</v>
      </c>
      <c r="O342" s="438"/>
      <c r="P342" s="452" t="n">
        <f aca="false">MATCH(t-pas/2-T_ini,CdP_t)</f>
        <v>9</v>
      </c>
      <c r="Q342" s="449" t="n">
        <f aca="false">(INDEX(CdP,2,i_P+1)-INDEX(CdP,2,i_P+0))/(INDEX(CdP,1,i_P+1)-INDEX(CdP,1,i_P+0))*(t-pas/2-T_ini-INDEX(CdP,1,i_P+0))+INDEX(CdP,2,i_P+0)</f>
        <v>122.592592592609</v>
      </c>
      <c r="R342" s="450" t="n">
        <f aca="false">Poussee/(g*ISP)</f>
        <v>0.0615235104224047</v>
      </c>
      <c r="S342" s="451" t="n">
        <f aca="false">S341-Débit*pas</f>
        <v>8.65823301933083</v>
      </c>
      <c r="T342" s="449" t="n">
        <f aca="false">m*g</f>
        <v>84.9372659196354</v>
      </c>
      <c r="U342" s="453" t="n">
        <f aca="false">IF(pos_xz&lt;L_rampe,Poids*COS(Beta),0)</f>
        <v>0</v>
      </c>
      <c r="V342" s="450" t="n">
        <f aca="false">Rho_moyen*(20000-Alt_rampe-pos_z)/(20000+Alt_rampe+pos_z)</f>
        <v>1.18250918895704</v>
      </c>
      <c r="W342" s="449" t="n">
        <f aca="false">1/2*Rho*Sref*Cx*vit_xz^2</f>
        <v>81.7514398757663</v>
      </c>
      <c r="X342" s="438"/>
      <c r="Y342" s="454" t="str">
        <f aca="false">IF(AND(pos_z&lt;=0,K341&gt;0),"Impact balistique","") &amp; IF(AND(H343&lt;0,vit_z&gt;=0),"Apogée","") &amp; IF(AND(Poussee=0,Q341&gt;0),"Fin de propulsion","") &amp; IF(AND(L343&gt;L_rampe,pos_xz&lt;=L_rampe),"Sortie de rampe","")</f>
        <v/>
      </c>
      <c r="Z342" s="455" t="str">
        <f aca="false">IF(ABS(t-T_para)&lt;pas/2,"Para","")</f>
        <v/>
      </c>
      <c r="AA342" s="456" t="str">
        <f aca="false">IF(ABS(t-T_satellite)&lt;pas/2,"Satellite","")</f>
        <v/>
      </c>
      <c r="AB342" s="444"/>
      <c r="AC342" s="452" t="e">
        <f aca="false">IF(ABS(t-ROUND(t,0))&lt;0.001,t,NA())</f>
        <v>#N/A</v>
      </c>
      <c r="AD342" s="457" t="e">
        <f aca="false">IF(ABS(t-ROUND(t,0))&lt;0.001,pos_x,NA())</f>
        <v>#N/A</v>
      </c>
      <c r="AE342" s="458" t="n">
        <f aca="false">IF(t&lt;T_para, pos_z, NA())</f>
        <v>352.985660348588</v>
      </c>
      <c r="AF342" s="444"/>
      <c r="AG342" s="450" t="n">
        <f aca="false">IF(AND(L341&lt;L_rampe,Poussee&lt;Poids*SIN(M341)),0,(-W341+Poussee)/m-Poids*SIN(M341)/m)</f>
        <v>-4.81957386795297</v>
      </c>
      <c r="AH342" s="449" t="n">
        <f aca="false">IF(AND(L341&lt;L_rampe,Poussee&lt;Poids*SIN(M341)), g*SIN(M341), (-W341+Poussee)/m)</f>
        <v>4.71024975441431</v>
      </c>
    </row>
    <row r="343" customFormat="false" ht="12" hidden="false" customHeight="false" outlineLevel="0" collapsed="false">
      <c r="A343" s="448" t="n">
        <f aca="false">IF(B342+0.01&lt;=T_ini+ROUNDUP(Temps_fin_propu,0), 0.01, IF(K342&gt;0, 0.1, 0.0001))</f>
        <v>0.01</v>
      </c>
      <c r="B343" s="449" t="n">
        <f aca="false">B342+pas</f>
        <v>3.38999999999997</v>
      </c>
      <c r="C343" s="432"/>
      <c r="D343" s="450" t="n">
        <f aca="false">IF(AND(L342&lt;L_rampe,Poussee&lt;Poids*SIN(M342)),0,(-W342+Poussee)/m*COS(M342)-U342/m*SIN(M342))</f>
        <v>0.959495707994066</v>
      </c>
      <c r="E343" s="451" t="n">
        <f aca="false">IF(AND(L342&lt;L_rampe,Poussee&lt;Poids*SIN(M342)),0,(-W342+Poussee)/m*SIN(M342)+U342/m*COS(M342)-Poids/m)</f>
        <v>-5.88411810607245</v>
      </c>
      <c r="F343" s="449" t="n">
        <f aca="false">SQRT(acc_x^2+acc_z^2)</f>
        <v>5.96183511176456</v>
      </c>
      <c r="G343" s="450" t="n">
        <f aca="false">G342+acc_x*pas</f>
        <v>41.8730413115294</v>
      </c>
      <c r="H343" s="451" t="n">
        <f aca="false">H342+acc_z*pas</f>
        <v>171.230039729031</v>
      </c>
      <c r="I343" s="449" t="n">
        <f aca="false">SQRT(vit_x^2+vit_z^2)</f>
        <v>176.275574298547</v>
      </c>
      <c r="J343" s="450" t="n">
        <f aca="false">J342+0.5*(vit_x+G342)*pas*(K342&gt;=0)</f>
        <v>79.8095955916832</v>
      </c>
      <c r="K343" s="451" t="n">
        <f aca="false">K342+0.5*(vit_z+H342)*pas</f>
        <v>354.698254951783</v>
      </c>
      <c r="L343" s="449" t="n">
        <f aca="false">SQRT(pos_x^2+pos_z^2)</f>
        <v>363.56625752997</v>
      </c>
      <c r="M343" s="450" t="n">
        <f aca="false">IF(AND(L342&gt;L_rampe,G343&gt;0),ATAN2(G343,H343),$M$4)</f>
        <v>1.33096058675333</v>
      </c>
      <c r="N343" s="449" t="n">
        <f aca="false">DEGREES(Beta)</f>
        <v>76.2584243192215</v>
      </c>
      <c r="O343" s="438"/>
      <c r="P343" s="452" t="n">
        <f aca="false">MATCH(t-pas/2-T_ini,CdP_t)</f>
        <v>9</v>
      </c>
      <c r="Q343" s="449" t="n">
        <f aca="false">(INDEX(CdP,2,i_P+1)-INDEX(CdP,2,i_P+0))/(INDEX(CdP,1,i_P+1)-INDEX(CdP,1,i_P+0))*(t-pas/2-T_ini-INDEX(CdP,1,i_P+0))+INDEX(CdP,2,i_P+0)</f>
        <v>116.740740740757</v>
      </c>
      <c r="R343" s="450" t="n">
        <f aca="false">Poussee/(g*ISP)</f>
        <v>0.058586738625807</v>
      </c>
      <c r="S343" s="451" t="n">
        <f aca="false">S342-Débit*pas</f>
        <v>8.65764715194457</v>
      </c>
      <c r="T343" s="449" t="n">
        <f aca="false">m*g</f>
        <v>84.9315185605763</v>
      </c>
      <c r="U343" s="453" t="n">
        <f aca="false">IF(pos_xz&lt;L_rampe,Poids*COS(Beta),0)</f>
        <v>0</v>
      </c>
      <c r="V343" s="450" t="n">
        <f aca="false">Rho_moyen*(20000-Alt_rampe-pos_z)/(20000+Alt_rampe+pos_z)</f>
        <v>1.18230662701323</v>
      </c>
      <c r="W343" s="449" t="n">
        <f aca="false">1/2*Rho*Sref*Cx*vit_xz^2</f>
        <v>81.686565647909</v>
      </c>
      <c r="X343" s="438"/>
      <c r="Y343" s="454" t="str">
        <f aca="false">IF(AND(pos_z&lt;=0,K342&gt;0),"Impact balistique","") &amp; IF(AND(H344&lt;0,vit_z&gt;=0),"Apogée","") &amp; IF(AND(Poussee=0,Q342&gt;0),"Fin de propulsion","") &amp; IF(AND(L344&gt;L_rampe,pos_xz&lt;=L_rampe),"Sortie de rampe","")</f>
        <v/>
      </c>
      <c r="Z343" s="455" t="str">
        <f aca="false">IF(ABS(t-T_para)&lt;pas/2,"Para","")</f>
        <v/>
      </c>
      <c r="AA343" s="456" t="str">
        <f aca="false">IF(ABS(t-T_satellite)&lt;pas/2,"Satellite","")</f>
        <v/>
      </c>
      <c r="AB343" s="444"/>
      <c r="AC343" s="452" t="e">
        <f aca="false">IF(ABS(t-ROUND(t,0))&lt;0.001,t,NA())</f>
        <v>#N/A</v>
      </c>
      <c r="AD343" s="457" t="e">
        <f aca="false">IF(ABS(t-ROUND(t,0))&lt;0.001,pos_x,NA())</f>
        <v>#N/A</v>
      </c>
      <c r="AE343" s="458" t="n">
        <f aca="false">IF(t&lt;T_para, pos_z, NA())</f>
        <v>354.698254951783</v>
      </c>
      <c r="AF343" s="444"/>
      <c r="AG343" s="450" t="n">
        <f aca="false">IF(AND(L342&lt;L_rampe,Poussee&lt;Poids*SIN(M342)),0,(-W342+Poussee)/m-Poids*SIN(M342)/m)</f>
        <v>-5.48808324777487</v>
      </c>
      <c r="AH343" s="449" t="n">
        <f aca="false">IF(AND(L342&lt;L_rampe,Poussee&lt;Poids*SIN(M342)), g*SIN(M342), (-W342+Poussee)/m)</f>
        <v>4.04143299569932</v>
      </c>
    </row>
    <row r="344" customFormat="false" ht="12" hidden="false" customHeight="false" outlineLevel="0" collapsed="false">
      <c r="A344" s="448" t="n">
        <f aca="false">IF(B343+0.01&lt;=T_ini+ROUNDUP(Temps_fin_propu,0), 0.01, IF(K343&gt;0, 0.1, 0.0001))</f>
        <v>0.01</v>
      </c>
      <c r="B344" s="449" t="n">
        <f aca="false">B343+pas</f>
        <v>3.39999999999997</v>
      </c>
      <c r="C344" s="432"/>
      <c r="D344" s="450" t="n">
        <f aca="false">IF(AND(L343&lt;L_rampe,Poussee&lt;Poids*SIN(M343)),0,(-W343+Poussee)/m*COS(M343)-U343/m*SIN(M343))</f>
        <v>0.801286463313223</v>
      </c>
      <c r="E344" s="451" t="n">
        <f aca="false">IF(AND(L343&lt;L_rampe,Poussee&lt;Poids*SIN(M343)),0,(-W343+Poussee)/m*SIN(M343)+U343/m*COS(M343)-Poids/m)</f>
        <v>-6.53332582850436</v>
      </c>
      <c r="F344" s="449" t="n">
        <f aca="false">SQRT(acc_x^2+acc_z^2)</f>
        <v>6.58227972496545</v>
      </c>
      <c r="G344" s="450" t="n">
        <f aca="false">G343+acc_x*pas</f>
        <v>41.8810541761625</v>
      </c>
      <c r="H344" s="451" t="n">
        <f aca="false">H343+acc_z*pas</f>
        <v>171.164706470746</v>
      </c>
      <c r="I344" s="449" t="n">
        <f aca="false">SQRT(vit_x^2+vit_z^2)</f>
        <v>176.214016014968</v>
      </c>
      <c r="J344" s="450" t="n">
        <f aca="false">J343+0.5*(vit_x+G343)*pas*(K343&gt;=0)</f>
        <v>80.2283660691217</v>
      </c>
      <c r="K344" s="451" t="n">
        <f aca="false">K343+0.5*(vit_z+H343)*pas</f>
        <v>356.410228682782</v>
      </c>
      <c r="L344" s="449" t="n">
        <f aca="false">SQRT(pos_x^2+pos_z^2)</f>
        <v>365.328402717109</v>
      </c>
      <c r="M344" s="450" t="n">
        <f aca="false">IF(AND(L343&gt;L_rampe,G344&gt;0),ATAN2(G344,H344),$M$4)</f>
        <v>1.33082834429108</v>
      </c>
      <c r="N344" s="449" t="n">
        <f aca="false">DEGREES(Beta)</f>
        <v>76.2508473842621</v>
      </c>
      <c r="O344" s="438"/>
      <c r="P344" s="452" t="n">
        <f aca="false">MATCH(t-pas/2-T_ini,CdP_t)</f>
        <v>9</v>
      </c>
      <c r="Q344" s="449" t="n">
        <f aca="false">(INDEX(CdP,2,i_P+1)-INDEX(CdP,2,i_P+0))/(INDEX(CdP,1,i_P+1)-INDEX(CdP,1,i_P+0))*(t-pas/2-T_ini-INDEX(CdP,1,i_P+0))+INDEX(CdP,2,i_P+0)</f>
        <v>110.888888888906</v>
      </c>
      <c r="R344" s="450" t="n">
        <f aca="false">Poussee/(g*ISP)</f>
        <v>0.0556499668292093</v>
      </c>
      <c r="S344" s="451" t="n">
        <f aca="false">S343-Débit*pas</f>
        <v>8.65709065227628</v>
      </c>
      <c r="T344" s="449" t="n">
        <f aca="false">m*g</f>
        <v>84.9260592988303</v>
      </c>
      <c r="U344" s="453" t="n">
        <f aca="false">IF(pos_xz&lt;L_rampe,Poids*COS(Beta),0)</f>
        <v>0</v>
      </c>
      <c r="V344" s="450" t="n">
        <f aca="false">Rho_moyen*(20000-Alt_rampe-pos_z)/(20000+Alt_rampe+pos_z)</f>
        <v>1.18210417256956</v>
      </c>
      <c r="W344" s="449" t="n">
        <f aca="false">1/2*Rho*Sref*Cx*vit_xz^2</f>
        <v>81.6155450869948</v>
      </c>
      <c r="X344" s="438"/>
      <c r="Y344" s="454" t="str">
        <f aca="false">IF(AND(pos_z&lt;=0,K343&gt;0),"Impact balistique","") &amp; IF(AND(H345&lt;0,vit_z&gt;=0),"Apogée","") &amp; IF(AND(Poussee=0,Q343&gt;0),"Fin de propulsion","") &amp; IF(AND(L345&gt;L_rampe,pos_xz&lt;=L_rampe),"Sortie de rampe","")</f>
        <v/>
      </c>
      <c r="Z344" s="455" t="str">
        <f aca="false">IF(ABS(t-T_para)&lt;pas/2,"Para","")</f>
        <v/>
      </c>
      <c r="AA344" s="456" t="str">
        <f aca="false">IF(ABS(t-T_satellite)&lt;pas/2,"Satellite","")</f>
        <v/>
      </c>
      <c r="AB344" s="444"/>
      <c r="AC344" s="452" t="e">
        <f aca="false">IF(ABS(t-ROUND(t,0))&lt;0.001,t,NA())</f>
        <v>#N/A</v>
      </c>
      <c r="AD344" s="457" t="e">
        <f aca="false">IF(ABS(t-ROUND(t,0))&lt;0.001,pos_x,NA())</f>
        <v>#N/A</v>
      </c>
      <c r="AE344" s="458" t="n">
        <f aca="false">IF(t&lt;T_para, pos_z, NA())</f>
        <v>356.410228682782</v>
      </c>
      <c r="AF344" s="444"/>
      <c r="AG344" s="450" t="n">
        <f aca="false">IF(AND(L343&lt;L_rampe,Poussee&lt;Poids*SIN(M343)),0,(-W343+Poussee)/m-Poids*SIN(M343)/m)</f>
        <v>-6.15598244007971</v>
      </c>
      <c r="AH344" s="449" t="n">
        <f aca="false">IF(AND(L343&lt;L_rampe,Poussee&lt;Poids*SIN(M343)), g*SIN(M343), (-W343+Poussee)/m)</f>
        <v>3.37322599634766</v>
      </c>
    </row>
    <row r="345" customFormat="false" ht="12" hidden="false" customHeight="false" outlineLevel="0" collapsed="false">
      <c r="A345" s="448" t="n">
        <f aca="false">IF(B344+0.01&lt;=T_ini+ROUNDUP(Temps_fin_propu,0), 0.01, IF(K344&gt;0, 0.1, 0.0001))</f>
        <v>0.01</v>
      </c>
      <c r="B345" s="449" t="n">
        <f aca="false">B344+pas</f>
        <v>3.40999999999997</v>
      </c>
      <c r="C345" s="432"/>
      <c r="D345" s="450" t="n">
        <f aca="false">IF(AND(L344&lt;L_rampe,Poussee&lt;Poids*SIN(M344)),0,(-W344+Poussee)/m*COS(M344)-U344/m*SIN(M344))</f>
        <v>0.643052145519368</v>
      </c>
      <c r="E345" s="451" t="n">
        <f aca="false">IF(AND(L344&lt;L_rampe,Poussee&lt;Poids*SIN(M344)),0,(-W344+Poussee)/m*SIN(M344)+U344/m*COS(M344)-Poids/m)</f>
        <v>-7.18189443058829</v>
      </c>
      <c r="F345" s="449" t="n">
        <f aca="false">SQRT(acc_x^2+acc_z^2)</f>
        <v>7.21062574774008</v>
      </c>
      <c r="G345" s="450" t="n">
        <f aca="false">G344+acc_x*pas</f>
        <v>41.8874846976177</v>
      </c>
      <c r="H345" s="451" t="n">
        <f aca="false">H344+acc_z*pas</f>
        <v>171.09288752644</v>
      </c>
      <c r="I345" s="449" t="n">
        <f aca="false">SQRT(vit_x^2+vit_z^2)</f>
        <v>176.145784895434</v>
      </c>
      <c r="J345" s="450" t="n">
        <f aca="false">J344+0.5*(vit_x+G344)*pas*(K344&gt;=0)</f>
        <v>80.6472087634906</v>
      </c>
      <c r="K345" s="451" t="n">
        <f aca="false">K344+0.5*(vit_z+H344)*pas</f>
        <v>358.121516652768</v>
      </c>
      <c r="L345" s="449" t="n">
        <f aca="false">SQRT(pos_x^2+pos_z^2)</f>
        <v>367.089897669523</v>
      </c>
      <c r="M345" s="450" t="n">
        <f aca="false">IF(AND(L344&gt;L_rampe,G345&gt;0),ATAN2(G345,H345),$M$4)</f>
        <v>1.330695979064</v>
      </c>
      <c r="N345" s="449" t="n">
        <f aca="false">DEGREES(Beta)</f>
        <v>76.243263415396</v>
      </c>
      <c r="O345" s="438"/>
      <c r="P345" s="452" t="n">
        <f aca="false">MATCH(t-pas/2-T_ini,CdP_t)</f>
        <v>9</v>
      </c>
      <c r="Q345" s="449" t="n">
        <f aca="false">(INDEX(CdP,2,i_P+1)-INDEX(CdP,2,i_P+0))/(INDEX(CdP,1,i_P+1)-INDEX(CdP,1,i_P+0))*(t-pas/2-T_ini-INDEX(CdP,1,i_P+0))+INDEX(CdP,2,i_P+0)</f>
        <v>105.037037037054</v>
      </c>
      <c r="R345" s="450" t="n">
        <f aca="false">Poussee/(g*ISP)</f>
        <v>0.0527131950326116</v>
      </c>
      <c r="S345" s="451" t="n">
        <f aca="false">S344-Débit*pas</f>
        <v>8.65656352032595</v>
      </c>
      <c r="T345" s="449" t="n">
        <f aca="false">m*g</f>
        <v>84.9208881343976</v>
      </c>
      <c r="U345" s="453" t="n">
        <f aca="false">IF(pos_xz&lt;L_rampe,Poids*COS(Beta),0)</f>
        <v>0</v>
      </c>
      <c r="V345" s="450" t="n">
        <f aca="false">Rho_moyen*(20000-Alt_rampe-pos_z)/(20000+Alt_rampe+pos_z)</f>
        <v>1.18190183325207</v>
      </c>
      <c r="W345" s="449" t="n">
        <f aca="false">1/2*Rho*Sref*Cx*vit_xz^2</f>
        <v>81.5383940543693</v>
      </c>
      <c r="X345" s="438"/>
      <c r="Y345" s="454" t="str">
        <f aca="false">IF(AND(pos_z&lt;=0,K344&gt;0),"Impact balistique","") &amp; IF(AND(H346&lt;0,vit_z&gt;=0),"Apogée","") &amp; IF(AND(Poussee=0,Q344&gt;0),"Fin de propulsion","") &amp; IF(AND(L346&gt;L_rampe,pos_xz&lt;=L_rampe),"Sortie de rampe","")</f>
        <v/>
      </c>
      <c r="Z345" s="455" t="str">
        <f aca="false">IF(ABS(t-T_para)&lt;pas/2,"Para","")</f>
        <v/>
      </c>
      <c r="AA345" s="456" t="str">
        <f aca="false">IF(ABS(t-T_satellite)&lt;pas/2,"Satellite","")</f>
        <v/>
      </c>
      <c r="AB345" s="444"/>
      <c r="AC345" s="452" t="e">
        <f aca="false">IF(ABS(t-ROUND(t,0))&lt;0.001,t,NA())</f>
        <v>#N/A</v>
      </c>
      <c r="AD345" s="457" t="e">
        <f aca="false">IF(ABS(t-ROUND(t,0))&lt;0.001,pos_x,NA())</f>
        <v>#N/A</v>
      </c>
      <c r="AE345" s="458" t="n">
        <f aca="false">IF(t&lt;T_para, pos_z, NA())</f>
        <v>358.121516652768</v>
      </c>
      <c r="AF345" s="444"/>
      <c r="AG345" s="450" t="n">
        <f aca="false">IF(AND(L344&lt;L_rampe,Poussee&lt;Poids*SIN(M344)),0,(-W344+Poussee)/m-Poids*SIN(M344)/m)</f>
        <v>-6.82326626202542</v>
      </c>
      <c r="AH345" s="449" t="n">
        <f aca="false">IF(AND(L344&lt;L_rampe,Poussee&lt;Poids*SIN(M344)), g*SIN(M344), (-W344+Poussee)/m)</f>
        <v>2.70563392679607</v>
      </c>
    </row>
    <row r="346" customFormat="false" ht="12" hidden="false" customHeight="false" outlineLevel="0" collapsed="false">
      <c r="A346" s="448" t="n">
        <f aca="false">IF(B345+0.01&lt;=T_ini+ROUNDUP(Temps_fin_propu,0), 0.01, IF(K345&gt;0, 0.1, 0.0001))</f>
        <v>0.01</v>
      </c>
      <c r="B346" s="449" t="n">
        <f aca="false">B345+pas</f>
        <v>3.41999999999997</v>
      </c>
      <c r="C346" s="432"/>
      <c r="D346" s="450" t="n">
        <f aca="false">IF(AND(L345&lt;L_rampe,Poussee&lt;Poids*SIN(M345)),0,(-W345+Poussee)/m*COS(M345)-U345/m*SIN(M345))</f>
        <v>0.484793988079886</v>
      </c>
      <c r="E346" s="451" t="n">
        <f aca="false">IF(AND(L345&lt;L_rampe,Poussee&lt;Poids*SIN(M345)),0,(-W345+Poussee)/m*SIN(M345)+U345/m*COS(M345)-Poids/m)</f>
        <v>-7.82981895368466</v>
      </c>
      <c r="F346" s="449" t="n">
        <f aca="false">SQRT(acc_x^2+acc_z^2)</f>
        <v>7.84481293966644</v>
      </c>
      <c r="G346" s="450" t="n">
        <f aca="false">G345+acc_x*pas</f>
        <v>41.8923326374985</v>
      </c>
      <c r="H346" s="451" t="n">
        <f aca="false">H345+acc_z*pas</f>
        <v>171.014589336904</v>
      </c>
      <c r="I346" s="449" t="n">
        <f aca="false">SQRT(vit_x^2+vit_z^2)</f>
        <v>176.070887144583</v>
      </c>
      <c r="J346" s="450" t="n">
        <f aca="false">J345+0.5*(vit_x+G345)*pas*(K345&gt;=0)</f>
        <v>81.0661078501662</v>
      </c>
      <c r="K346" s="451" t="n">
        <f aca="false">K345+0.5*(vit_z+H345)*pas</f>
        <v>359.832054037085</v>
      </c>
      <c r="L346" s="449" t="n">
        <f aca="false">SQRT(pos_x^2+pos_z^2)</f>
        <v>368.850675686683</v>
      </c>
      <c r="M346" s="450" t="n">
        <f aca="false">IF(AND(L345&gt;L_rampe,G346&gt;0),ATAN2(G346,H346),$M$4)</f>
        <v>1.33056348589638</v>
      </c>
      <c r="N346" s="449" t="n">
        <f aca="false">DEGREES(Beta)</f>
        <v>76.235672116077</v>
      </c>
      <c r="O346" s="438"/>
      <c r="P346" s="452" t="n">
        <f aca="false">MATCH(t-pas/2-T_ini,CdP_t)</f>
        <v>9</v>
      </c>
      <c r="Q346" s="449" t="n">
        <f aca="false">(INDEX(CdP,2,i_P+1)-INDEX(CdP,2,i_P+0))/(INDEX(CdP,1,i_P+1)-INDEX(CdP,1,i_P+0))*(t-pas/2-T_ini-INDEX(CdP,1,i_P+0))+INDEX(CdP,2,i_P+0)</f>
        <v>99.1851851852022</v>
      </c>
      <c r="R346" s="450" t="n">
        <f aca="false">Poussee/(g*ISP)</f>
        <v>0.0497764232360139</v>
      </c>
      <c r="S346" s="451" t="n">
        <f aca="false">S345-Débit*pas</f>
        <v>8.65606575609359</v>
      </c>
      <c r="T346" s="449" t="n">
        <f aca="false">m*g</f>
        <v>84.9160050672782</v>
      </c>
      <c r="U346" s="453" t="n">
        <f aca="false">IF(pos_xz&lt;L_rampe,Poids*COS(Beta),0)</f>
        <v>0</v>
      </c>
      <c r="V346" s="450" t="n">
        <f aca="false">Rho_moyen*(20000-Alt_rampe-pos_z)/(20000+Alt_rampe+pos_z)</f>
        <v>1.1816996166741</v>
      </c>
      <c r="W346" s="449" t="n">
        <f aca="false">1/2*Rho*Sref*Cx*vit_xz^2</f>
        <v>81.4551291376506</v>
      </c>
      <c r="X346" s="438"/>
      <c r="Y346" s="454" t="str">
        <f aca="false">IF(AND(pos_z&lt;=0,K345&gt;0),"Impact balistique","") &amp; IF(AND(H347&lt;0,vit_z&gt;=0),"Apogée","") &amp; IF(AND(Poussee=0,Q345&gt;0),"Fin de propulsion","") &amp; IF(AND(L347&gt;L_rampe,pos_xz&lt;=L_rampe),"Sortie de rampe","")</f>
        <v/>
      </c>
      <c r="Z346" s="455" t="str">
        <f aca="false">IF(ABS(t-T_para)&lt;pas/2,"Para","")</f>
        <v/>
      </c>
      <c r="AA346" s="456" t="str">
        <f aca="false">IF(ABS(t-T_satellite)&lt;pas/2,"Satellite","")</f>
        <v/>
      </c>
      <c r="AB346" s="444"/>
      <c r="AC346" s="452" t="e">
        <f aca="false">IF(ABS(t-ROUND(t,0))&lt;0.001,t,NA())</f>
        <v>#N/A</v>
      </c>
      <c r="AD346" s="457" t="e">
        <f aca="false">IF(ABS(t-ROUND(t,0))&lt;0.001,pos_x,NA())</f>
        <v>#N/A</v>
      </c>
      <c r="AE346" s="458" t="n">
        <f aca="false">IF(t&lt;T_para, pos_z, NA())</f>
        <v>359.832054037085</v>
      </c>
      <c r="AF346" s="444"/>
      <c r="AG346" s="450" t="n">
        <f aca="false">IF(AND(L345&lt;L_rampe,Poussee&lt;Poids*SIN(M345)),0,(-W345+Poussee)/m-Poids*SIN(M345)/m)</f>
        <v>-7.48992962631018</v>
      </c>
      <c r="AH346" s="449" t="n">
        <f aca="false">IF(AND(L345&lt;L_rampe,Poussee&lt;Poids*SIN(M345)), g*SIN(M345), (-W345+Poussee)/m)</f>
        <v>2.03866186187531</v>
      </c>
    </row>
    <row r="347" customFormat="false" ht="12" hidden="false" customHeight="false" outlineLevel="0" collapsed="false">
      <c r="A347" s="448" t="n">
        <f aca="false">IF(B346+0.01&lt;=T_ini+ROUNDUP(Temps_fin_propu,0), 0.01, IF(K346&gt;0, 0.1, 0.0001))</f>
        <v>0.01</v>
      </c>
      <c r="B347" s="449" t="n">
        <f aca="false">B346+pas</f>
        <v>3.42999999999997</v>
      </c>
      <c r="C347" s="432"/>
      <c r="D347" s="450" t="n">
        <f aca="false">IF(AND(L346&lt;L_rampe,Poussee&lt;Poids*SIN(M346)),0,(-W346+Poussee)/m*COS(M346)-U346/m*SIN(M346))</f>
        <v>0.326513191505082</v>
      </c>
      <c r="E347" s="451" t="n">
        <f aca="false">IF(AND(L346&lt;L_rampe,Poussee&lt;Poids*SIN(M346)),0,(-W346+Poussee)/m*SIN(M346)+U346/m*COS(M346)-Poids/m)</f>
        <v>-8.47709452917068</v>
      </c>
      <c r="F347" s="449" t="n">
        <f aca="false">SQRT(acc_x^2+acc_z^2)</f>
        <v>8.4833803710975</v>
      </c>
      <c r="G347" s="450" t="n">
        <f aca="false">G346+acc_x*pas</f>
        <v>41.8955977694135</v>
      </c>
      <c r="H347" s="451" t="n">
        <f aca="false">H346+acc_z*pas</f>
        <v>170.929818391612</v>
      </c>
      <c r="I347" s="449" t="n">
        <f aca="false">SQRT(vit_x^2+vit_z^2)</f>
        <v>175.989329016977</v>
      </c>
      <c r="J347" s="450" t="n">
        <f aca="false">J346+0.5*(vit_x+G346)*pas*(K346&gt;=0)</f>
        <v>81.4850475022007</v>
      </c>
      <c r="K347" s="451" t="n">
        <f aca="false">K346+0.5*(vit_z+H346)*pas</f>
        <v>361.541776075727</v>
      </c>
      <c r="L347" s="449" t="n">
        <f aca="false">SQRT(pos_x^2+pos_z^2)</f>
        <v>370.610670130296</v>
      </c>
      <c r="M347" s="450" t="n">
        <f aca="false">IF(AND(L346&gt;L_rampe,G347&gt;0),ATAN2(G347,H347),$M$4)</f>
        <v>1.33043085959328</v>
      </c>
      <c r="N347" s="449" t="n">
        <f aca="false">DEGREES(Beta)</f>
        <v>76.2280731886573</v>
      </c>
      <c r="O347" s="438"/>
      <c r="P347" s="452" t="n">
        <f aca="false">MATCH(t-pas/2-T_ini,CdP_t)</f>
        <v>9</v>
      </c>
      <c r="Q347" s="449" t="n">
        <f aca="false">(INDEX(CdP,2,i_P+1)-INDEX(CdP,2,i_P+0))/(INDEX(CdP,1,i_P+1)-INDEX(CdP,1,i_P+0))*(t-pas/2-T_ini-INDEX(CdP,1,i_P+0))+INDEX(CdP,2,i_P+0)</f>
        <v>93.3333333333505</v>
      </c>
      <c r="R347" s="450" t="n">
        <f aca="false">Poussee/(g*ISP)</f>
        <v>0.0468396514394161</v>
      </c>
      <c r="S347" s="451" t="n">
        <f aca="false">S346-Débit*pas</f>
        <v>8.6555973595792</v>
      </c>
      <c r="T347" s="449" t="n">
        <f aca="false">m*g</f>
        <v>84.9114100974719</v>
      </c>
      <c r="U347" s="453" t="n">
        <f aca="false">IF(pos_xz&lt;L_rampe,Poids*COS(Beta),0)</f>
        <v>0</v>
      </c>
      <c r="V347" s="450" t="n">
        <f aca="false">Rho_moyen*(20000-Alt_rampe-pos_z)/(20000+Alt_rampe+pos_z)</f>
        <v>1.18149753043621</v>
      </c>
      <c r="W347" s="449" t="n">
        <f aca="false">1/2*Rho*Sref*Cx*vit_xz^2</f>
        <v>81.3657676465664</v>
      </c>
      <c r="X347" s="438"/>
      <c r="Y347" s="454" t="str">
        <f aca="false">IF(AND(pos_z&lt;=0,K346&gt;0),"Impact balistique","") &amp; IF(AND(H348&lt;0,vit_z&gt;=0),"Apogée","") &amp; IF(AND(Poussee=0,Q346&gt;0),"Fin de propulsion","") &amp; IF(AND(L348&gt;L_rampe,pos_xz&lt;=L_rampe),"Sortie de rampe","")</f>
        <v/>
      </c>
      <c r="Z347" s="455" t="str">
        <f aca="false">IF(ABS(t-T_para)&lt;pas/2,"Para","")</f>
        <v/>
      </c>
      <c r="AA347" s="456" t="str">
        <f aca="false">IF(ABS(t-T_satellite)&lt;pas/2,"Satellite","")</f>
        <v/>
      </c>
      <c r="AB347" s="444"/>
      <c r="AC347" s="452" t="e">
        <f aca="false">IF(ABS(t-ROUND(t,0))&lt;0.001,t,NA())</f>
        <v>#N/A</v>
      </c>
      <c r="AD347" s="457" t="e">
        <f aca="false">IF(ABS(t-ROUND(t,0))&lt;0.001,pos_x,NA())</f>
        <v>#N/A</v>
      </c>
      <c r="AE347" s="458" t="n">
        <f aca="false">IF(t&lt;T_para, pos_z, NA())</f>
        <v>361.541776075727</v>
      </c>
      <c r="AF347" s="444"/>
      <c r="AG347" s="450" t="n">
        <f aca="false">IF(AND(L346&lt;L_rampe,Poussee&lt;Poids*SIN(M346)),0,(-W346+Poussee)/m-Poids*SIN(M346)/m)</f>
        <v>-8.15596754089139</v>
      </c>
      <c r="AH347" s="449" t="n">
        <f aca="false">IF(AND(L346&lt;L_rampe,Poussee&lt;Poids*SIN(M346)), g*SIN(M346), (-W346+Poussee)/m)</f>
        <v>1.37231478108835</v>
      </c>
    </row>
    <row r="348" customFormat="false" ht="12" hidden="false" customHeight="false" outlineLevel="0" collapsed="false">
      <c r="A348" s="448" t="n">
        <f aca="false">IF(B347+0.01&lt;=T_ini+ROUNDUP(Temps_fin_propu,0), 0.01, IF(K347&gt;0, 0.1, 0.0001))</f>
        <v>0.01</v>
      </c>
      <c r="B348" s="449" t="n">
        <f aca="false">B347+pas</f>
        <v>3.43999999999997</v>
      </c>
      <c r="C348" s="432"/>
      <c r="D348" s="450" t="n">
        <f aca="false">IF(AND(L347&lt;L_rampe,Poussee&lt;Poids*SIN(M347)),0,(-W347+Poussee)/m*COS(M347)-U347/m*SIN(M347))</f>
        <v>0.168210923336233</v>
      </c>
      <c r="E348" s="451" t="n">
        <f aca="false">IF(AND(L347&lt;L_rampe,Poussee&lt;Poids*SIN(M347)),0,(-W347+Poussee)/m*SIN(M347)+U347/m*COS(M347)-Poids/m)</f>
        <v>-9.12371637813607</v>
      </c>
      <c r="F348" s="449" t="n">
        <f aca="false">SQRT(acc_x^2+acc_z^2)</f>
        <v>9.12526687080427</v>
      </c>
      <c r="G348" s="450" t="n">
        <f aca="false">G347+acc_x*pas</f>
        <v>41.8972798786469</v>
      </c>
      <c r="H348" s="451" t="n">
        <f aca="false">H347+acc_z*pas</f>
        <v>170.838581227831</v>
      </c>
      <c r="I348" s="449" t="n">
        <f aca="false">SQRT(vit_x^2+vit_z^2)</f>
        <v>175.901116816147</v>
      </c>
      <c r="J348" s="450" t="n">
        <f aca="false">J347+0.5*(vit_x+G347)*pas*(K347&gt;=0)</f>
        <v>81.904011890441</v>
      </c>
      <c r="K348" s="451" t="n">
        <f aca="false">K347+0.5*(vit_z+H347)*pas</f>
        <v>363.250618073825</v>
      </c>
      <c r="L348" s="449" t="n">
        <f aca="false">SQRT(pos_x^2+pos_z^2)</f>
        <v>372.369814424807</v>
      </c>
      <c r="M348" s="450" t="n">
        <f aca="false">IF(AND(L347&gt;L_rampe,G348&gt;0),ATAN2(G348,H348),$M$4)</f>
        <v>1.33029809493938</v>
      </c>
      <c r="N348" s="449" t="n">
        <f aca="false">DEGREES(Beta)</f>
        <v>76.2204663343202</v>
      </c>
      <c r="O348" s="438"/>
      <c r="P348" s="452" t="n">
        <f aca="false">MATCH(t-pas/2-T_ini,CdP_t)</f>
        <v>9</v>
      </c>
      <c r="Q348" s="449" t="n">
        <f aca="false">(INDEX(CdP,2,i_P+1)-INDEX(CdP,2,i_P+0))/(INDEX(CdP,1,i_P+1)-INDEX(CdP,1,i_P+0))*(t-pas/2-T_ini-INDEX(CdP,1,i_P+0))+INDEX(CdP,2,i_P+0)</f>
        <v>87.4814814814987</v>
      </c>
      <c r="R348" s="450" t="n">
        <f aca="false">Poussee/(g*ISP)</f>
        <v>0.0439028796428184</v>
      </c>
      <c r="S348" s="451" t="n">
        <f aca="false">S347-Débit*pas</f>
        <v>8.65515833078277</v>
      </c>
      <c r="T348" s="449" t="n">
        <f aca="false">m*g</f>
        <v>84.907103224979</v>
      </c>
      <c r="U348" s="453" t="n">
        <f aca="false">IF(pos_xz&lt;L_rampe,Poids*COS(Beta),0)</f>
        <v>0</v>
      </c>
      <c r="V348" s="450" t="n">
        <f aca="false">Rho_moyen*(20000-Alt_rampe-pos_z)/(20000+Alt_rampe+pos_z)</f>
        <v>1.18129558212622</v>
      </c>
      <c r="W348" s="449" t="n">
        <f aca="false">1/2*Rho*Sref*Cx*vit_xz^2</f>
        <v>81.2703276087785</v>
      </c>
      <c r="X348" s="438"/>
      <c r="Y348" s="454" t="str">
        <f aca="false">IF(AND(pos_z&lt;=0,K347&gt;0),"Impact balistique","") &amp; IF(AND(H349&lt;0,vit_z&gt;=0),"Apogée","") &amp; IF(AND(Poussee=0,Q347&gt;0),"Fin de propulsion","") &amp; IF(AND(L349&gt;L_rampe,pos_xz&lt;=L_rampe),"Sortie de rampe","")</f>
        <v/>
      </c>
      <c r="Z348" s="455" t="str">
        <f aca="false">IF(ABS(t-T_para)&lt;pas/2,"Para","")</f>
        <v/>
      </c>
      <c r="AA348" s="456" t="str">
        <f aca="false">IF(ABS(t-T_satellite)&lt;pas/2,"Satellite","")</f>
        <v/>
      </c>
      <c r="AB348" s="444"/>
      <c r="AC348" s="452" t="e">
        <f aca="false">IF(ABS(t-ROUND(t,0))&lt;0.001,t,NA())</f>
        <v>#N/A</v>
      </c>
      <c r="AD348" s="457" t="e">
        <f aca="false">IF(ABS(t-ROUND(t,0))&lt;0.001,pos_x,NA())</f>
        <v>#N/A</v>
      </c>
      <c r="AE348" s="458" t="n">
        <f aca="false">IF(t&lt;T_para, pos_z, NA())</f>
        <v>363.250618073825</v>
      </c>
      <c r="AF348" s="444"/>
      <c r="AG348" s="450" t="n">
        <f aca="false">IF(AND(L347&lt;L_rampe,Poussee&lt;Poids*SIN(M347)),0,(-W347+Poussee)/m-Poids*SIN(M347)/m)</f>
        <v>-8.82137510869817</v>
      </c>
      <c r="AH348" s="449" t="n">
        <f aca="false">IF(AND(L347&lt;L_rampe,Poussee&lt;Poids*SIN(M347)), g*SIN(M347), (-W347+Poussee)/m)</f>
        <v>0.706597568894988</v>
      </c>
    </row>
    <row r="349" customFormat="false" ht="12" hidden="false" customHeight="false" outlineLevel="0" collapsed="false">
      <c r="A349" s="448" t="n">
        <f aca="false">IF(B348+0.01&lt;=T_ini+ROUNDUP(Temps_fin_propu,0), 0.01, IF(K348&gt;0, 0.1, 0.0001))</f>
        <v>0.01</v>
      </c>
      <c r="B349" s="449" t="n">
        <f aca="false">B348+pas</f>
        <v>3.44999999999997</v>
      </c>
      <c r="C349" s="432"/>
      <c r="D349" s="450" t="n">
        <f aca="false">IF(AND(L348&lt;L_rampe,Poussee&lt;Poids*SIN(M348)),0,(-W348+Poussee)/m*COS(M348)-U348/m*SIN(M348))</f>
        <v>0.00988831813136123</v>
      </c>
      <c r="E349" s="451" t="n">
        <f aca="false">IF(AND(L348&lt;L_rampe,Poussee&lt;Poids*SIN(M348)),0,(-W348+Poussee)/m*SIN(M348)+U348/m*COS(M348)-Poids/m)</f>
        <v>-9.76967981107165</v>
      </c>
      <c r="F349" s="449" t="n">
        <f aca="false">SQRT(acc_x^2+acc_z^2)</f>
        <v>9.76968481526893</v>
      </c>
      <c r="G349" s="450" t="n">
        <f aca="false">G348+acc_x*pas</f>
        <v>41.8973787618282</v>
      </c>
      <c r="H349" s="451" t="n">
        <f aca="false">H348+acc_z*pas</f>
        <v>170.74088442972</v>
      </c>
      <c r="I349" s="449" t="n">
        <f aca="false">SQRT(vit_x^2+vit_z^2)</f>
        <v>175.806256893647</v>
      </c>
      <c r="J349" s="450" t="n">
        <f aca="false">J348+0.5*(vit_x+G348)*pas*(K348&gt;=0)</f>
        <v>82.3229851836434</v>
      </c>
      <c r="K349" s="451" t="n">
        <f aca="false">K348+0.5*(vit_z+H348)*pas</f>
        <v>364.958515402112</v>
      </c>
      <c r="L349" s="449" t="n">
        <f aca="false">SQRT(pos_x^2+pos_z^2)</f>
        <v>374.128042057877</v>
      </c>
      <c r="M349" s="450" t="n">
        <f aca="false">IF(AND(L348&gt;L_rampe,G349&gt;0),ATAN2(G349,H349),$M$4)</f>
        <v>1.33016518669776</v>
      </c>
      <c r="N349" s="449" t="n">
        <f aca="false">DEGREES(Beta)</f>
        <v>76.2128512530129</v>
      </c>
      <c r="O349" s="438"/>
      <c r="P349" s="452" t="n">
        <f aca="false">MATCH(t-pas/2-T_ini,CdP_t)</f>
        <v>9</v>
      </c>
      <c r="Q349" s="449" t="n">
        <f aca="false">(INDEX(CdP,2,i_P+1)-INDEX(CdP,2,i_P+0))/(INDEX(CdP,1,i_P+1)-INDEX(CdP,1,i_P+0))*(t-pas/2-T_ini-INDEX(CdP,1,i_P+0))+INDEX(CdP,2,i_P+0)</f>
        <v>81.629629629647</v>
      </c>
      <c r="R349" s="450" t="n">
        <f aca="false">Poussee/(g*ISP)</f>
        <v>0.0409661078462207</v>
      </c>
      <c r="S349" s="451" t="n">
        <f aca="false">S348-Débit*pas</f>
        <v>8.65474866970431</v>
      </c>
      <c r="T349" s="449" t="n">
        <f aca="false">m*g</f>
        <v>84.9030844497993</v>
      </c>
      <c r="U349" s="453" t="n">
        <f aca="false">IF(pos_xz&lt;L_rampe,Poids*COS(Beta),0)</f>
        <v>0</v>
      </c>
      <c r="V349" s="450" t="n">
        <f aca="false">Rho_moyen*(20000-Alt_rampe-pos_z)/(20000+Alt_rampe+pos_z)</f>
        <v>1.18109377931907</v>
      </c>
      <c r="W349" s="449" t="n">
        <f aca="false">1/2*Rho*Sref*Cx*vit_xz^2</f>
        <v>81.1688277656962</v>
      </c>
      <c r="X349" s="438"/>
      <c r="Y349" s="454" t="str">
        <f aca="false">IF(AND(pos_z&lt;=0,K348&gt;0),"Impact balistique","") &amp; IF(AND(H350&lt;0,vit_z&gt;=0),"Apogée","") &amp; IF(AND(Poussee=0,Q348&gt;0),"Fin de propulsion","") &amp; IF(AND(L350&gt;L_rampe,pos_xz&lt;=L_rampe),"Sortie de rampe","")</f>
        <v/>
      </c>
      <c r="Z349" s="455" t="str">
        <f aca="false">IF(ABS(t-T_para)&lt;pas/2,"Para","")</f>
        <v/>
      </c>
      <c r="AA349" s="456" t="str">
        <f aca="false">IF(ABS(t-T_satellite)&lt;pas/2,"Satellite","")</f>
        <v/>
      </c>
      <c r="AB349" s="444"/>
      <c r="AC349" s="452" t="e">
        <f aca="false">IF(ABS(t-ROUND(t,0))&lt;0.001,t,NA())</f>
        <v>#N/A</v>
      </c>
      <c r="AD349" s="457" t="e">
        <f aca="false">IF(ABS(t-ROUND(t,0))&lt;0.001,pos_x,NA())</f>
        <v>#N/A</v>
      </c>
      <c r="AE349" s="458" t="n">
        <f aca="false">IF(t&lt;T_para, pos_z, NA())</f>
        <v>364.958515402112</v>
      </c>
      <c r="AF349" s="444"/>
      <c r="AG349" s="450" t="n">
        <f aca="false">IF(AND(L348&lt;L_rampe,Poussee&lt;Poids*SIN(M348)),0,(-W348+Poussee)/m-Poids*SIN(M348)/m)</f>
        <v>-9.48614752733742</v>
      </c>
      <c r="AH349" s="449" t="n">
        <f aca="false">IF(AND(L348&lt;L_rampe,Poussee&lt;Poids*SIN(M348)), g*SIN(M348), (-W348+Poussee)/m)</f>
        <v>0.04151501500283</v>
      </c>
    </row>
    <row r="350" customFormat="false" ht="12" hidden="false" customHeight="false" outlineLevel="0" collapsed="false">
      <c r="A350" s="448" t="n">
        <f aca="false">IF(B349+0.01&lt;=T_ini+ROUNDUP(Temps_fin_propu,0), 0.01, IF(K349&gt;0, 0.1, 0.0001))</f>
        <v>0.01</v>
      </c>
      <c r="B350" s="449" t="n">
        <f aca="false">B349+pas</f>
        <v>3.45999999999997</v>
      </c>
      <c r="C350" s="432"/>
      <c r="D350" s="450" t="n">
        <f aca="false">IF(AND(L349&lt;L_rampe,Poussee&lt;Poids*SIN(M349)),0,(-W349+Poussee)/m*COS(M349)-U349/m*SIN(M349))</f>
        <v>-0.148453522551299</v>
      </c>
      <c r="E350" s="451" t="n">
        <f aca="false">IF(AND(L349&lt;L_rampe,Poussee&lt;Poids*SIN(M349)),0,(-W349+Poussee)/m*SIN(M349)+U349/m*COS(M349)-Poids/m)</f>
        <v>-10.4149802275509</v>
      </c>
      <c r="F350" s="449" t="n">
        <f aca="false">SQRT(acc_x^2+acc_z^2)</f>
        <v>10.4160381906286</v>
      </c>
      <c r="G350" s="450" t="n">
        <f aca="false">G349+acc_x*pas</f>
        <v>41.8958942266027</v>
      </c>
      <c r="H350" s="451" t="n">
        <f aca="false">H349+acc_z*pas</f>
        <v>170.636734627444</v>
      </c>
      <c r="I350" s="449" t="n">
        <f aca="false">SQRT(vit_x^2+vit_z^2)</f>
        <v>175.704755648114</v>
      </c>
      <c r="J350" s="450" t="n">
        <f aca="false">J349+0.5*(vit_x+G349)*pas*(K349&gt;=0)</f>
        <v>82.7419515485856</v>
      </c>
      <c r="K350" s="451" t="n">
        <f aca="false">K349+0.5*(vit_z+H349)*pas</f>
        <v>366.665403497398</v>
      </c>
      <c r="L350" s="449" t="n">
        <f aca="false">SQRT(pos_x^2+pos_z^2)</f>
        <v>375.885286580864</v>
      </c>
      <c r="M350" s="450" t="n">
        <f aca="false">IF(AND(L349&gt;L_rampe,G350&gt;0),ATAN2(G350,H350),$M$4)</f>
        <v>1.33003212960875</v>
      </c>
      <c r="N350" s="449" t="n">
        <f aca="false">DEGREES(Beta)</f>
        <v>76.2052276433783</v>
      </c>
      <c r="O350" s="438"/>
      <c r="P350" s="452" t="n">
        <f aca="false">MATCH(t-pas/2-T_ini,CdP_t)</f>
        <v>9</v>
      </c>
      <c r="Q350" s="449" t="n">
        <f aca="false">(INDEX(CdP,2,i_P+1)-INDEX(CdP,2,i_P+0))/(INDEX(CdP,1,i_P+1)-INDEX(CdP,1,i_P+0))*(t-pas/2-T_ini-INDEX(CdP,1,i_P+0))+INDEX(CdP,2,i_P+0)</f>
        <v>75.7777777777953</v>
      </c>
      <c r="R350" s="450" t="n">
        <f aca="false">Poussee/(g*ISP)</f>
        <v>0.038029336049623</v>
      </c>
      <c r="S350" s="451" t="n">
        <f aca="false">S349-Débit*pas</f>
        <v>8.65436837634381</v>
      </c>
      <c r="T350" s="449" t="n">
        <f aca="false">m*g</f>
        <v>84.8993537719328</v>
      </c>
      <c r="U350" s="453" t="n">
        <f aca="false">IF(pos_xz&lt;L_rampe,Poids*COS(Beta),0)</f>
        <v>0</v>
      </c>
      <c r="V350" s="450" t="n">
        <f aca="false">Rho_moyen*(20000-Alt_rampe-pos_z)/(20000+Alt_rampe+pos_z)</f>
        <v>1.18089212957687</v>
      </c>
      <c r="W350" s="449" t="n">
        <f aca="false">1/2*Rho*Sref*Cx*vit_xz^2</f>
        <v>81.0612875682797</v>
      </c>
      <c r="X350" s="438"/>
      <c r="Y350" s="454" t="str">
        <f aca="false">IF(AND(pos_z&lt;=0,K349&gt;0),"Impact balistique","") &amp; IF(AND(H351&lt;0,vit_z&gt;=0),"Apogée","") &amp; IF(AND(Poussee=0,Q349&gt;0),"Fin de propulsion","") &amp; IF(AND(L351&gt;L_rampe,pos_xz&lt;=L_rampe),"Sortie de rampe","")</f>
        <v/>
      </c>
      <c r="Z350" s="455" t="str">
        <f aca="false">IF(ABS(t-T_para)&lt;pas/2,"Para","")</f>
        <v/>
      </c>
      <c r="AA350" s="456" t="str">
        <f aca="false">IF(ABS(t-T_satellite)&lt;pas/2,"Satellite","")</f>
        <v/>
      </c>
      <c r="AB350" s="444"/>
      <c r="AC350" s="452" t="e">
        <f aca="false">IF(ABS(t-ROUND(t,0))&lt;0.001,t,NA())</f>
        <v>#N/A</v>
      </c>
      <c r="AD350" s="457" t="e">
        <f aca="false">IF(ABS(t-ROUND(t,0))&lt;0.001,pos_x,NA())</f>
        <v>#N/A</v>
      </c>
      <c r="AE350" s="458" t="n">
        <f aca="false">IF(t&lt;T_para, pos_z, NA())</f>
        <v>366.665403497398</v>
      </c>
      <c r="AF350" s="444"/>
      <c r="AG350" s="450" t="n">
        <f aca="false">IF(AND(L349&lt;L_rampe,Poussee&lt;Poids*SIN(M349)),0,(-W349+Poussee)/m-Poids*SIN(M349)/m)</f>
        <v>-10.1502800887937</v>
      </c>
      <c r="AH350" s="449" t="n">
        <f aca="false">IF(AND(L349&lt;L_rampe,Poussee&lt;Poids*SIN(M349)), g*SIN(M349), (-W349+Poussee)/m)</f>
        <v>-0.62292818533552</v>
      </c>
    </row>
    <row r="351" customFormat="false" ht="12" hidden="false" customHeight="false" outlineLevel="0" collapsed="false">
      <c r="A351" s="448" t="n">
        <f aca="false">IF(B350+0.01&lt;=T_ini+ROUNDUP(Temps_fin_propu,0), 0.01, IF(K350&gt;0, 0.1, 0.0001))</f>
        <v>0.01</v>
      </c>
      <c r="B351" s="449" t="n">
        <f aca="false">B350+pas</f>
        <v>3.46999999999997</v>
      </c>
      <c r="C351" s="432"/>
      <c r="D351" s="450" t="n">
        <f aca="false">IF(AND(L350&lt;L_rampe,Poussee&lt;Poids*SIN(M350)),0,(-W350+Poussee)/m*COS(M350)-U350/m*SIN(M350))</f>
        <v>-0.306813530172239</v>
      </c>
      <c r="E351" s="451" t="n">
        <f aca="false">IF(AND(L350&lt;L_rampe,Poussee&lt;Poids*SIN(M350)),0,(-W350+Poussee)/m*SIN(M350)+U350/m*COS(M350)-Poids/m)</f>
        <v>-11.0596131159045</v>
      </c>
      <c r="F351" s="449" t="n">
        <f aca="false">SQRT(acc_x^2+acc_z^2)</f>
        <v>11.0638680765717</v>
      </c>
      <c r="G351" s="450" t="n">
        <f aca="false">G350+acc_x*pas</f>
        <v>41.892826091301</v>
      </c>
      <c r="H351" s="451" t="n">
        <f aca="false">H350+acc_z*pas</f>
        <v>170.526138496285</v>
      </c>
      <c r="I351" s="449" t="n">
        <f aca="false">SQRT(vit_x^2+vit_z^2)</f>
        <v>175.596619524324</v>
      </c>
      <c r="J351" s="450" t="n">
        <f aca="false">J350+0.5*(vit_x+G350)*pas*(K350&gt;=0)</f>
        <v>83.1608951501751</v>
      </c>
      <c r="K351" s="451" t="n">
        <f aca="false">K350+0.5*(vit_z+H350)*pas</f>
        <v>368.371217863017</v>
      </c>
      <c r="L351" s="449" t="n">
        <f aca="false">SQRT(pos_x^2+pos_z^2)</f>
        <v>377.641481609291</v>
      </c>
      <c r="M351" s="450" t="n">
        <f aca="false">IF(AND(L350&gt;L_rampe,G351&gt;0),ATAN2(G351,H351),$M$4)</f>
        <v>1.32989891838871</v>
      </c>
      <c r="N351" s="449" t="n">
        <f aca="false">DEGREES(Beta)</f>
        <v>76.1975952026861</v>
      </c>
      <c r="O351" s="438"/>
      <c r="P351" s="452" t="n">
        <f aca="false">MATCH(t-pas/2-T_ini,CdP_t)</f>
        <v>9</v>
      </c>
      <c r="Q351" s="449" t="n">
        <f aca="false">(INDEX(CdP,2,i_P+1)-INDEX(CdP,2,i_P+0))/(INDEX(CdP,1,i_P+1)-INDEX(CdP,1,i_P+0))*(t-pas/2-T_ini-INDEX(CdP,1,i_P+0))+INDEX(CdP,2,i_P+0)</f>
        <v>69.9259259259436</v>
      </c>
      <c r="R351" s="450" t="n">
        <f aca="false">Poussee/(g*ISP)</f>
        <v>0.0350925642530253</v>
      </c>
      <c r="S351" s="451" t="n">
        <f aca="false">S350-Débit*pas</f>
        <v>8.65401745070128</v>
      </c>
      <c r="T351" s="449" t="n">
        <f aca="false">m*g</f>
        <v>84.8959111913796</v>
      </c>
      <c r="U351" s="453" t="n">
        <f aca="false">IF(pos_xz&lt;L_rampe,Poids*COS(Beta),0)</f>
        <v>0</v>
      </c>
      <c r="V351" s="450" t="n">
        <f aca="false">Rho_moyen*(20000-Alt_rampe-pos_z)/(20000+Alt_rampe+pos_z)</f>
        <v>1.18069064044881</v>
      </c>
      <c r="W351" s="449" t="n">
        <f aca="false">1/2*Rho*Sref*Cx*vit_xz^2</f>
        <v>80.947727172834</v>
      </c>
      <c r="X351" s="438"/>
      <c r="Y351" s="454" t="str">
        <f aca="false">IF(AND(pos_z&lt;=0,K350&gt;0),"Impact balistique","") &amp; IF(AND(H352&lt;0,vit_z&gt;=0),"Apogée","") &amp; IF(AND(Poussee=0,Q350&gt;0),"Fin de propulsion","") &amp; IF(AND(L352&gt;L_rampe,pos_xz&lt;=L_rampe),"Sortie de rampe","")</f>
        <v/>
      </c>
      <c r="Z351" s="455" t="str">
        <f aca="false">IF(ABS(t-T_para)&lt;pas/2,"Para","")</f>
        <v/>
      </c>
      <c r="AA351" s="456" t="str">
        <f aca="false">IF(ABS(t-T_satellite)&lt;pas/2,"Satellite","")</f>
        <v/>
      </c>
      <c r="AB351" s="444"/>
      <c r="AC351" s="452" t="e">
        <f aca="false">IF(ABS(t-ROUND(t,0))&lt;0.001,t,NA())</f>
        <v>#N/A</v>
      </c>
      <c r="AD351" s="457" t="e">
        <f aca="false">IF(ABS(t-ROUND(t,0))&lt;0.001,pos_x,NA())</f>
        <v>#N/A</v>
      </c>
      <c r="AE351" s="458" t="n">
        <f aca="false">IF(t&lt;T_para, pos_z, NA())</f>
        <v>368.371217863017</v>
      </c>
      <c r="AF351" s="444"/>
      <c r="AG351" s="450" t="n">
        <f aca="false">IF(AND(L350&lt;L_rampe,Poussee&lt;Poids*SIN(M350)),0,(-W350+Poussee)/m-Poids*SIN(M350)/m)</f>
        <v>-10.8137681791231</v>
      </c>
      <c r="AH351" s="449" t="n">
        <f aca="false">IF(AND(L350&lt;L_rampe,Poussee&lt;Poids*SIN(M350)), g*SIN(M350), (-W350+Poussee)/m)</f>
        <v>-1.2867274310192</v>
      </c>
    </row>
    <row r="352" customFormat="false" ht="12" hidden="false" customHeight="false" outlineLevel="0" collapsed="false">
      <c r="A352" s="448" t="n">
        <f aca="false">IF(B351+0.01&lt;=T_ini+ROUNDUP(Temps_fin_propu,0), 0.01, IF(K351&gt;0, 0.1, 0.0001))</f>
        <v>0.01</v>
      </c>
      <c r="B352" s="449" t="n">
        <f aca="false">B351+pas</f>
        <v>3.47999999999997</v>
      </c>
      <c r="C352" s="432"/>
      <c r="D352" s="450" t="n">
        <f aca="false">IF(AND(L351&lt;L_rampe,Poussee&lt;Poids*SIN(M351)),0,(-W351+Poussee)/m*COS(M351)-U351/m*SIN(M351))</f>
        <v>-0.461489304270032</v>
      </c>
      <c r="E352" s="451" t="n">
        <f aca="false">IF(AND(L351&lt;L_rampe,Poussee&lt;Poids*SIN(M351)),0,(-W351+Poussee)/m*SIN(M351)+U351/m*COS(M351)-Poids/m)</f>
        <v>-11.6885075240089</v>
      </c>
      <c r="F352" s="449" t="n">
        <f aca="false">SQRT(acc_x^2+acc_z^2)</f>
        <v>11.6976143087712</v>
      </c>
      <c r="G352" s="450" t="n">
        <f aca="false">G351+acc_x*pas</f>
        <v>41.8882111982583</v>
      </c>
      <c r="H352" s="451" t="n">
        <f aca="false">H351+acc_z*pas</f>
        <v>170.409253421045</v>
      </c>
      <c r="I352" s="449" t="n">
        <f aca="false">SQRT(vit_x^2+vit_z^2)</f>
        <v>175.482010157474</v>
      </c>
      <c r="J352" s="450" t="n">
        <f aca="false">J351+0.5*(vit_x+G351)*pas*(K351&gt;=0)</f>
        <v>83.5798003366229</v>
      </c>
      <c r="K352" s="451" t="n">
        <f aca="false">K351+0.5*(vit_z+H351)*pas</f>
        <v>370.075894822603</v>
      </c>
      <c r="L352" s="449" t="n">
        <f aca="false">SQRT(pos_x^2+pos_z^2)</f>
        <v>379.39656159889</v>
      </c>
      <c r="M352" s="450" t="n">
        <f aca="false">IF(AND(L351&gt;L_rampe,G352&gt;0),ATAN2(G352,H352),$M$4)</f>
        <v>1.32976554784673</v>
      </c>
      <c r="N352" s="449" t="n">
        <f aca="false">DEGREES(Beta)</f>
        <v>76.1899536335194</v>
      </c>
      <c r="O352" s="438"/>
      <c r="P352" s="452" t="n">
        <f aca="false">MATCH(t-pas/2-T_ini,CdP_t)</f>
        <v>10</v>
      </c>
      <c r="Q352" s="449" t="n">
        <f aca="false">(INDEX(CdP,2,i_P+1)-INDEX(CdP,2,i_P+0))/(INDEX(CdP,1,i_P+1)-INDEX(CdP,1,i_P+0))*(t-pas/2-T_ini-INDEX(CdP,1,i_P+0))+INDEX(CdP,2,i_P+0)</f>
        <v>64.2083333333502</v>
      </c>
      <c r="R352" s="450" t="n">
        <f aca="false">Poussee/(g*ISP)</f>
        <v>0.0322231709232795</v>
      </c>
      <c r="S352" s="451" t="n">
        <f aca="false">S351-Débit*pas</f>
        <v>8.65369521899205</v>
      </c>
      <c r="T352" s="449" t="n">
        <f aca="false">m*g</f>
        <v>84.892750098312</v>
      </c>
      <c r="U352" s="453" t="n">
        <f aca="false">IF(pos_xz&lt;L_rampe,Poids*COS(Beta),0)</f>
        <v>0</v>
      </c>
      <c r="V352" s="450" t="n">
        <f aca="false">Rho_moyen*(20000-Alt_rampe-pos_z)/(20000+Alt_rampe+pos_z)</f>
        <v>1.18048931938217</v>
      </c>
      <c r="W352" s="449" t="n">
        <f aca="false">1/2*Rho*Sref*Cx*vit_xz^2</f>
        <v>80.8283103527085</v>
      </c>
      <c r="X352" s="438"/>
      <c r="Y352" s="454" t="str">
        <f aca="false">IF(AND(pos_z&lt;=0,K351&gt;0),"Impact balistique","") &amp; IF(AND(H353&lt;0,vit_z&gt;=0),"Apogée","") &amp; IF(AND(Poussee=0,Q351&gt;0),"Fin de propulsion","") &amp; IF(AND(L353&gt;L_rampe,pos_xz&lt;=L_rampe),"Sortie de rampe","")</f>
        <v/>
      </c>
      <c r="Z352" s="455" t="str">
        <f aca="false">IF(ABS(t-T_para)&lt;pas/2,"Para","")</f>
        <v/>
      </c>
      <c r="AA352" s="456" t="str">
        <f aca="false">IF(ABS(t-T_satellite)&lt;pas/2,"Satellite","")</f>
        <v/>
      </c>
      <c r="AB352" s="444"/>
      <c r="AC352" s="452" t="e">
        <f aca="false">IF(ABS(t-ROUND(t,0))&lt;0.001,t,NA())</f>
        <v>#N/A</v>
      </c>
      <c r="AD352" s="457" t="e">
        <f aca="false">IF(ABS(t-ROUND(t,0))&lt;0.001,pos_x,NA())</f>
        <v>#N/A</v>
      </c>
      <c r="AE352" s="458" t="n">
        <f aca="false">IF(t&lt;T_para, pos_z, NA())</f>
        <v>370.075894822603</v>
      </c>
      <c r="AF352" s="444"/>
      <c r="AG352" s="450" t="n">
        <f aca="false">IF(AND(L351&lt;L_rampe,Poussee&lt;Poids*SIN(M351)),0,(-W351+Poussee)/m-Poids*SIN(M351)/m)</f>
        <v>-11.4610927560711</v>
      </c>
      <c r="AH352" s="449" t="n">
        <f aca="false">IF(AND(L351&lt;L_rampe,Poussee&lt;Poids*SIN(M351)), g*SIN(M351), (-W351+Poussee)/m)</f>
        <v>-1.9343636927201</v>
      </c>
    </row>
    <row r="353" customFormat="false" ht="12" hidden="false" customHeight="false" outlineLevel="0" collapsed="false">
      <c r="A353" s="448" t="n">
        <f aca="false">IF(B352+0.01&lt;=T_ini+ROUNDUP(Temps_fin_propu,0), 0.01, IF(K352&gt;0, 0.1, 0.0001))</f>
        <v>0.01</v>
      </c>
      <c r="B353" s="449" t="n">
        <f aca="false">B352+pas</f>
        <v>3.48999999999997</v>
      </c>
      <c r="C353" s="432"/>
      <c r="D353" s="450" t="n">
        <f aca="false">IF(AND(L352&lt;L_rampe,Poussee&lt;Poids*SIN(M352)),0,(-W352+Poussee)/m*COS(M352)-U352/m*SIN(M352))</f>
        <v>-0.612477464001297</v>
      </c>
      <c r="E353" s="451" t="n">
        <f aca="false">IF(AND(L352&lt;L_rampe,Poussee&lt;Poids*SIN(M352)),0,(-W352+Poussee)/m*SIN(M352)+U352/m*COS(M352)-Poids/m)</f>
        <v>-12.3016754473874</v>
      </c>
      <c r="F353" s="449" t="n">
        <f aca="false">SQRT(acc_x^2+acc_z^2)</f>
        <v>12.3169130652434</v>
      </c>
      <c r="G353" s="450" t="n">
        <f aca="false">G352+acc_x*pas</f>
        <v>41.8820864236183</v>
      </c>
      <c r="H353" s="451" t="n">
        <f aca="false">H352+acc_z*pas</f>
        <v>170.286236666571</v>
      </c>
      <c r="I353" s="449" t="n">
        <f aca="false">SQRT(vit_x^2+vit_z^2)</f>
        <v>175.361089074113</v>
      </c>
      <c r="J353" s="450" t="n">
        <f aca="false">J352+0.5*(vit_x+G352)*pas*(K352&gt;=0)</f>
        <v>83.9986518247323</v>
      </c>
      <c r="K353" s="451" t="n">
        <f aca="false">K352+0.5*(vit_z+H352)*pas</f>
        <v>371.779372273042</v>
      </c>
      <c r="L353" s="449" t="n">
        <f aca="false">SQRT(pos_x^2+pos_z^2)</f>
        <v>381.150462620878</v>
      </c>
      <c r="M353" s="450" t="n">
        <f aca="false">IF(AND(L352&gt;L_rampe,G353&gt;0),ATAN2(G353,H353),$M$4)</f>
        <v>1.32963201288428</v>
      </c>
      <c r="N353" s="449" t="n">
        <f aca="false">DEGREES(Beta)</f>
        <v>76.1823026437537</v>
      </c>
      <c r="O353" s="438"/>
      <c r="P353" s="452" t="n">
        <f aca="false">MATCH(t-pas/2-T_ini,CdP_t)</f>
        <v>10</v>
      </c>
      <c r="Q353" s="449" t="n">
        <f aca="false">(INDEX(CdP,2,i_P+1)-INDEX(CdP,2,i_P+0))/(INDEX(CdP,1,i_P+1)-INDEX(CdP,1,i_P+0))*(t-pas/2-T_ini-INDEX(CdP,1,i_P+0))+INDEX(CdP,2,i_P+0)</f>
        <v>58.625000000017</v>
      </c>
      <c r="R353" s="450" t="n">
        <f aca="false">Poussee/(g*ISP)</f>
        <v>0.0294211560603864</v>
      </c>
      <c r="S353" s="451" t="n">
        <f aca="false">S352-Débit*pas</f>
        <v>8.65340100743144</v>
      </c>
      <c r="T353" s="449" t="n">
        <f aca="false">m*g</f>
        <v>84.8898638829025</v>
      </c>
      <c r="U353" s="453" t="n">
        <f aca="false">IF(pos_xz&lt;L_rampe,Poids*COS(Beta),0)</f>
        <v>0</v>
      </c>
      <c r="V353" s="450" t="n">
        <f aca="false">Rho_moyen*(20000-Alt_rampe-pos_z)/(20000+Alt_rampe+pos_z)</f>
        <v>1.18028817363354</v>
      </c>
      <c r="W353" s="449" t="n">
        <f aca="false">1/2*Rho*Sref*Cx*vit_xz^2</f>
        <v>80.7032009332544</v>
      </c>
      <c r="X353" s="438"/>
      <c r="Y353" s="454" t="str">
        <f aca="false">IF(AND(pos_z&lt;=0,K352&gt;0),"Impact balistique","") &amp; IF(AND(H354&lt;0,vit_z&gt;=0),"Apogée","") &amp; IF(AND(Poussee=0,Q352&gt;0),"Fin de propulsion","") &amp; IF(AND(L354&gt;L_rampe,pos_xz&lt;=L_rampe),"Sortie de rampe","")</f>
        <v/>
      </c>
      <c r="Z353" s="455" t="str">
        <f aca="false">IF(ABS(t-T_para)&lt;pas/2,"Para","")</f>
        <v/>
      </c>
      <c r="AA353" s="456" t="str">
        <f aca="false">IF(ABS(t-T_satellite)&lt;pas/2,"Satellite","")</f>
        <v/>
      </c>
      <c r="AB353" s="444"/>
      <c r="AC353" s="452" t="e">
        <f aca="false">IF(ABS(t-ROUND(t,0))&lt;0.001,t,NA())</f>
        <v>#N/A</v>
      </c>
      <c r="AD353" s="457" t="e">
        <f aca="false">IF(ABS(t-ROUND(t,0))&lt;0.001,pos_x,NA())</f>
        <v>#N/A</v>
      </c>
      <c r="AE353" s="458" t="n">
        <f aca="false">IF(t&lt;T_para, pos_z, NA())</f>
        <v>371.779372273042</v>
      </c>
      <c r="AF353" s="444"/>
      <c r="AG353" s="450" t="n">
        <f aca="false">IF(AND(L352&lt;L_rampe,Poussee&lt;Poids*SIN(M352)),0,(-W352+Poussee)/m-Poids*SIN(M352)/m)</f>
        <v>-12.0922646844501</v>
      </c>
      <c r="AH353" s="449" t="n">
        <f aca="false">IF(AND(L352&lt;L_rampe,Poussee&lt;Poids*SIN(M352)), g*SIN(M352), (-W352+Poussee)/m)</f>
        <v>-2.56584784798757</v>
      </c>
    </row>
    <row r="354" customFormat="false" ht="12" hidden="false" customHeight="false" outlineLevel="0" collapsed="false">
      <c r="A354" s="448" t="n">
        <f aca="false">IF(B353+0.01&lt;=T_ini+ROUNDUP(Temps_fin_propu,0), 0.01, IF(K353&gt;0, 0.1, 0.0001))</f>
        <v>0.01</v>
      </c>
      <c r="B354" s="449" t="n">
        <f aca="false">B353+pas</f>
        <v>3.49999999999997</v>
      </c>
      <c r="C354" s="432"/>
      <c r="D354" s="450" t="n">
        <f aca="false">IF(AND(L353&lt;L_rampe,Poussee&lt;Poids*SIN(M353)),0,(-W353+Poussee)/m*COS(M353)-U353/m*SIN(M353))</f>
        <v>-0.763480359710341</v>
      </c>
      <c r="E354" s="451" t="n">
        <f aca="false">IF(AND(L353&lt;L_rampe,Poussee&lt;Poids*SIN(M353)),0,(-W353+Poussee)/m*SIN(M353)+U353/m*COS(M353)-Poids/m)</f>
        <v>-12.9141958108037</v>
      </c>
      <c r="F354" s="449" t="n">
        <f aca="false">SQRT(acc_x^2+acc_z^2)</f>
        <v>12.936744401102</v>
      </c>
      <c r="G354" s="450" t="n">
        <f aca="false">G353+acc_x*pas</f>
        <v>41.8744516200211</v>
      </c>
      <c r="H354" s="451" t="n">
        <f aca="false">H353+acc_z*pas</f>
        <v>170.157094708463</v>
      </c>
      <c r="I354" s="449" t="n">
        <f aca="false">SQRT(vit_x^2+vit_z^2)</f>
        <v>175.233862532624</v>
      </c>
      <c r="J354" s="450" t="n">
        <f aca="false">J353+0.5*(vit_x+G353)*pas*(K353&gt;=0)</f>
        <v>84.4174345149504</v>
      </c>
      <c r="K354" s="451" t="n">
        <f aca="false">K353+0.5*(vit_z+H353)*pas</f>
        <v>373.481588929917</v>
      </c>
      <c r="L354" s="449" t="n">
        <f aca="false">SQRT(pos_x^2+pos_z^2)</f>
        <v>382.903121585214</v>
      </c>
      <c r="M354" s="450" t="n">
        <f aca="false">IF(AND(L353&gt;L_rampe,G354&gt;0),ATAN2(G354,H354),$M$4)</f>
        <v>1.32949830837652</v>
      </c>
      <c r="N354" s="449" t="n">
        <f aca="false">DEGREES(Beta)</f>
        <v>76.1746419397572</v>
      </c>
      <c r="O354" s="438"/>
      <c r="P354" s="452" t="n">
        <f aca="false">MATCH(t-pas/2-T_ini,CdP_t)</f>
        <v>10</v>
      </c>
      <c r="Q354" s="449" t="n">
        <f aca="false">(INDEX(CdP,2,i_P+1)-INDEX(CdP,2,i_P+0))/(INDEX(CdP,1,i_P+1)-INDEX(CdP,1,i_P+0))*(t-pas/2-T_ini-INDEX(CdP,1,i_P+0))+INDEX(CdP,2,i_P+0)</f>
        <v>53.0416666666838</v>
      </c>
      <c r="R354" s="450" t="n">
        <f aca="false">Poussee/(g*ISP)</f>
        <v>0.0266191411974933</v>
      </c>
      <c r="S354" s="451" t="n">
        <f aca="false">S353-Débit*pas</f>
        <v>8.65313481601947</v>
      </c>
      <c r="T354" s="449" t="n">
        <f aca="false">m*g</f>
        <v>84.887252545151</v>
      </c>
      <c r="U354" s="453" t="n">
        <f aca="false">IF(pos_xz&lt;L_rampe,Poids*COS(Beta),0)</f>
        <v>0</v>
      </c>
      <c r="V354" s="450" t="n">
        <f aca="false">Rho_moyen*(20000-Alt_rampe-pos_z)/(20000+Alt_rampe+pos_z)</f>
        <v>1.18008721035802</v>
      </c>
      <c r="W354" s="449" t="n">
        <f aca="false">1/2*Rho*Sref*Cx*vit_xz^2</f>
        <v>80.5724200593028</v>
      </c>
      <c r="X354" s="438"/>
      <c r="Y354" s="454" t="str">
        <f aca="false">IF(AND(pos_z&lt;=0,K353&gt;0),"Impact balistique","") &amp; IF(AND(H355&lt;0,vit_z&gt;=0),"Apogée","") &amp; IF(AND(Poussee=0,Q353&gt;0),"Fin de propulsion","") &amp; IF(AND(L355&gt;L_rampe,pos_xz&lt;=L_rampe),"Sortie de rampe","")</f>
        <v/>
      </c>
      <c r="Z354" s="455" t="str">
        <f aca="false">IF(ABS(t-T_para)&lt;pas/2,"Para","")</f>
        <v/>
      </c>
      <c r="AA354" s="456" t="str">
        <f aca="false">IF(ABS(t-T_satellite)&lt;pas/2,"Satellite","")</f>
        <v>Satellite</v>
      </c>
      <c r="AB354" s="444"/>
      <c r="AC354" s="452" t="e">
        <f aca="false">IF(ABS(t-ROUND(t,0))&lt;0.001,t,NA())</f>
        <v>#N/A</v>
      </c>
      <c r="AD354" s="457" t="e">
        <f aca="false">IF(ABS(t-ROUND(t,0))&lt;0.001,pos_x,NA())</f>
        <v>#N/A</v>
      </c>
      <c r="AE354" s="458" t="n">
        <f aca="false">IF(t&lt;T_para, pos_z, NA())</f>
        <v>373.481588929917</v>
      </c>
      <c r="AF354" s="444"/>
      <c r="AG354" s="450" t="n">
        <f aca="false">IF(AND(L353&lt;L_rampe,Poussee&lt;Poids*SIN(M353)),0,(-W353+Poussee)/m-Poids*SIN(M353)/m)</f>
        <v>-12.7228107808008</v>
      </c>
      <c r="AH354" s="449" t="n">
        <f aca="false">IF(AND(L353&lt;L_rampe,Poussee&lt;Poids*SIN(M353)), g*SIN(M353), (-W353+Poussee)/m)</f>
        <v>-3.19670672590944</v>
      </c>
    </row>
    <row r="355" customFormat="false" ht="12" hidden="false" customHeight="false" outlineLevel="0" collapsed="false">
      <c r="A355" s="448" t="n">
        <f aca="false">IF(B354+0.01&lt;=T_ini+ROUNDUP(Temps_fin_propu,0), 0.01, IF(K354&gt;0, 0.1, 0.0001))</f>
        <v>0.01</v>
      </c>
      <c r="B355" s="449" t="n">
        <f aca="false">B354+pas</f>
        <v>3.50999999999997</v>
      </c>
      <c r="C355" s="432"/>
      <c r="D355" s="450" t="n">
        <f aca="false">IF(AND(L354&lt;L_rampe,Poussee&lt;Poids*SIN(M354)),0,(-W354+Poussee)/m*COS(M354)-U354/m*SIN(M354))</f>
        <v>-0.914497166909245</v>
      </c>
      <c r="E355" s="451" t="n">
        <f aca="false">IF(AND(L354&lt;L_rampe,Poussee&lt;Poids*SIN(M354)),0,(-W354+Poussee)/m*SIN(M354)+U354/m*COS(M354)-Poids/m)</f>
        <v>-13.5260649279046</v>
      </c>
      <c r="F355" s="449" t="n">
        <f aca="false">SQRT(acc_x^2+acc_z^2)</f>
        <v>13.5569442538566</v>
      </c>
      <c r="G355" s="450" t="n">
        <f aca="false">G354+acc_x*pas</f>
        <v>41.865306648352</v>
      </c>
      <c r="H355" s="451" t="n">
        <f aca="false">H354+acc_z*pas</f>
        <v>170.021834059184</v>
      </c>
      <c r="I355" s="449" t="n">
        <f aca="false">SQRT(vit_x^2+vit_z^2)</f>
        <v>175.100336828943</v>
      </c>
      <c r="J355" s="450" t="n">
        <f aca="false">J354+0.5*(vit_x+G354)*pas*(K354&gt;=0)</f>
        <v>84.8361333062923</v>
      </c>
      <c r="K355" s="451" t="n">
        <f aca="false">K354+0.5*(vit_z+H354)*pas</f>
        <v>375.182483573755</v>
      </c>
      <c r="L355" s="449" t="n">
        <f aca="false">SQRT(pos_x^2+pos_z^2)</f>
        <v>384.654475464584</v>
      </c>
      <c r="M355" s="450" t="n">
        <f aca="false">IF(AND(L354&gt;L_rampe,G355&gt;0),ATAN2(G355,H355),$M$4)</f>
        <v>1.32936442917116</v>
      </c>
      <c r="N355" s="449" t="n">
        <f aca="false">DEGREES(Beta)</f>
        <v>76.1669712263252</v>
      </c>
      <c r="O355" s="438"/>
      <c r="P355" s="452" t="n">
        <f aca="false">MATCH(t-pas/2-T_ini,CdP_t)</f>
        <v>10</v>
      </c>
      <c r="Q355" s="449" t="n">
        <f aca="false">(INDEX(CdP,2,i_P+1)-INDEX(CdP,2,i_P+0))/(INDEX(CdP,1,i_P+1)-INDEX(CdP,1,i_P+0))*(t-pas/2-T_ini-INDEX(CdP,1,i_P+0))+INDEX(CdP,2,i_P+0)</f>
        <v>47.4583333333506</v>
      </c>
      <c r="R355" s="450" t="n">
        <f aca="false">Poussee/(g*ISP)</f>
        <v>0.0238171263346003</v>
      </c>
      <c r="S355" s="451" t="n">
        <f aca="false">S354-Débit*pas</f>
        <v>8.65289664475612</v>
      </c>
      <c r="T355" s="449" t="n">
        <f aca="false">m*g</f>
        <v>84.8849160850576</v>
      </c>
      <c r="U355" s="453" t="n">
        <f aca="false">IF(pos_xz&lt;L_rampe,Poids*COS(Beta),0)</f>
        <v>0</v>
      </c>
      <c r="V355" s="450" t="n">
        <f aca="false">Rho_moyen*(20000-Alt_rampe-pos_z)/(20000+Alt_rampe+pos_z)</f>
        <v>1.17988643669833</v>
      </c>
      <c r="W355" s="449" t="n">
        <f aca="false">1/2*Rho*Sref*Cx*vit_xz^2</f>
        <v>80.4359894986924</v>
      </c>
      <c r="X355" s="438"/>
      <c r="Y355" s="454" t="str">
        <f aca="false">IF(AND(pos_z&lt;=0,K354&gt;0),"Impact balistique","") &amp; IF(AND(H356&lt;0,vit_z&gt;=0),"Apogée","") &amp; IF(AND(Poussee=0,Q354&gt;0),"Fin de propulsion","") &amp; IF(AND(L356&gt;L_rampe,pos_xz&lt;=L_rampe),"Sortie de rampe","")</f>
        <v/>
      </c>
      <c r="Z355" s="455" t="str">
        <f aca="false">IF(ABS(t-T_para)&lt;pas/2,"Para","")</f>
        <v/>
      </c>
      <c r="AA355" s="456" t="str">
        <f aca="false">IF(ABS(t-T_satellite)&lt;pas/2,"Satellite","")</f>
        <v/>
      </c>
      <c r="AB355" s="444"/>
      <c r="AC355" s="452" t="e">
        <f aca="false">IF(ABS(t-ROUND(t,0))&lt;0.001,t,NA())</f>
        <v>#N/A</v>
      </c>
      <c r="AD355" s="457" t="e">
        <f aca="false">IF(ABS(t-ROUND(t,0))&lt;0.001,pos_x,NA())</f>
        <v>#N/A</v>
      </c>
      <c r="AE355" s="458" t="n">
        <f aca="false">IF(t&lt;T_para, pos_z, NA())</f>
        <v>375.182483573755</v>
      </c>
      <c r="AF355" s="444"/>
      <c r="AG355" s="450" t="n">
        <f aca="false">IF(AND(L354&lt;L_rampe,Poussee&lt;Poids*SIN(M354)),0,(-W354+Poussee)/m-Poids*SIN(M354)/m)</f>
        <v>-13.3527272898356</v>
      </c>
      <c r="AH355" s="449" t="n">
        <f aca="false">IF(AND(L354&lt;L_rampe,Poussee&lt;Poids*SIN(M354)), g*SIN(M354), (-W354+Poussee)/m)</f>
        <v>-3.82693658383406</v>
      </c>
    </row>
    <row r="356" customFormat="false" ht="12" hidden="false" customHeight="false" outlineLevel="0" collapsed="false">
      <c r="A356" s="448" t="n">
        <f aca="false">IF(B355+0.01&lt;=T_ini+ROUNDUP(Temps_fin_propu,0), 0.01, IF(K355&gt;0, 0.1, 0.0001))</f>
        <v>0.01</v>
      </c>
      <c r="B356" s="449" t="n">
        <f aca="false">B355+pas</f>
        <v>3.51999999999997</v>
      </c>
      <c r="C356" s="432"/>
      <c r="D356" s="450" t="n">
        <f aca="false">IF(AND(L355&lt;L_rampe,Poussee&lt;Poids*SIN(M355)),0,(-W355+Poussee)/m*COS(M355)-U355/m*SIN(M355))</f>
        <v>-1.06552709121673</v>
      </c>
      <c r="E356" s="451" t="n">
        <f aca="false">IF(AND(L355&lt;L_rampe,Poussee&lt;Poids*SIN(M355)),0,(-W355+Poussee)/m*SIN(M355)+U355/m*COS(M355)-Poids/m)</f>
        <v>-14.1372791910996</v>
      </c>
      <c r="F356" s="449" t="n">
        <f aca="false">SQRT(acc_x^2+acc_z^2)</f>
        <v>14.177376728761</v>
      </c>
      <c r="G356" s="450" t="n">
        <f aca="false">G355+acc_x*pas</f>
        <v>41.8546513774399</v>
      </c>
      <c r="H356" s="451" t="n">
        <f aca="false">H355+acc_z*pas</f>
        <v>169.880461267273</v>
      </c>
      <c r="I356" s="449" t="n">
        <f aca="false">SQRT(vit_x^2+vit_z^2)</f>
        <v>174.960518295725</v>
      </c>
      <c r="J356" s="450" t="n">
        <f aca="false">J355+0.5*(vit_x+G355)*pas*(K355&gt;=0)</f>
        <v>85.2547330964213</v>
      </c>
      <c r="K356" s="451" t="n">
        <f aca="false">K355+0.5*(vit_z+H355)*pas</f>
        <v>376.881995050387</v>
      </c>
      <c r="L356" s="449" t="n">
        <f aca="false">SQRT(pos_x^2+pos_z^2)</f>
        <v>386.404461294771</v>
      </c>
      <c r="M356" s="450" t="n">
        <f aca="false">IF(AND(L355&gt;L_rampe,G356&gt;0),ATAN2(G356,H356),$M$4)</f>
        <v>1.32923037008728</v>
      </c>
      <c r="N356" s="449" t="n">
        <f aca="false">DEGREES(Beta)</f>
        <v>76.1592902066137</v>
      </c>
      <c r="O356" s="438"/>
      <c r="P356" s="452" t="n">
        <f aca="false">MATCH(t-pas/2-T_ini,CdP_t)</f>
        <v>10</v>
      </c>
      <c r="Q356" s="449" t="n">
        <f aca="false">(INDEX(CdP,2,i_P+1)-INDEX(CdP,2,i_P+0))/(INDEX(CdP,1,i_P+1)-INDEX(CdP,1,i_P+0))*(t-pas/2-T_ini-INDEX(CdP,1,i_P+0))+INDEX(CdP,2,i_P+0)</f>
        <v>41.8750000000173</v>
      </c>
      <c r="R356" s="450" t="n">
        <f aca="false">Poussee/(g*ISP)</f>
        <v>0.0210151114717072</v>
      </c>
      <c r="S356" s="451" t="n">
        <f aca="false">S355-Débit*pas</f>
        <v>8.65268649364141</v>
      </c>
      <c r="T356" s="449" t="n">
        <f aca="false">m*g</f>
        <v>84.8828545026222</v>
      </c>
      <c r="U356" s="453" t="n">
        <f aca="false">IF(pos_xz&lt;L_rampe,Poids*COS(Beta),0)</f>
        <v>0</v>
      </c>
      <c r="V356" s="450" t="n">
        <f aca="false">Rho_moyen*(20000-Alt_rampe-pos_z)/(20000+Alt_rampe+pos_z)</f>
        <v>1.17968585978474</v>
      </c>
      <c r="W356" s="449" t="n">
        <f aca="false">1/2*Rho*Sref*Cx*vit_xz^2</f>
        <v>80.2939316384336</v>
      </c>
      <c r="X356" s="438"/>
      <c r="Y356" s="454" t="str">
        <f aca="false">IF(AND(pos_z&lt;=0,K355&gt;0),"Impact balistique","") &amp; IF(AND(H357&lt;0,vit_z&gt;=0),"Apogée","") &amp; IF(AND(Poussee=0,Q355&gt;0),"Fin de propulsion","") &amp; IF(AND(L357&gt;L_rampe,pos_xz&lt;=L_rampe),"Sortie de rampe","")</f>
        <v/>
      </c>
      <c r="Z356" s="455" t="str">
        <f aca="false">IF(ABS(t-T_para)&lt;pas/2,"Para","")</f>
        <v/>
      </c>
      <c r="AA356" s="456" t="str">
        <f aca="false">IF(ABS(t-T_satellite)&lt;pas/2,"Satellite","")</f>
        <v/>
      </c>
      <c r="AB356" s="444"/>
      <c r="AC356" s="452" t="e">
        <f aca="false">IF(ABS(t-ROUND(t,0))&lt;0.001,t,NA())</f>
        <v>#N/A</v>
      </c>
      <c r="AD356" s="457" t="e">
        <f aca="false">IF(ABS(t-ROUND(t,0))&lt;0.001,pos_x,NA())</f>
        <v>#N/A</v>
      </c>
      <c r="AE356" s="458" t="n">
        <f aca="false">IF(t&lt;T_para, pos_z, NA())</f>
        <v>376.881995050387</v>
      </c>
      <c r="AF356" s="444"/>
      <c r="AG356" s="450" t="n">
        <f aca="false">IF(AND(L355&lt;L_rampe,Poussee&lt;Poids*SIN(M355)),0,(-W355+Poussee)/m-Poids*SIN(M355)/m)</f>
        <v>-13.9820105399633</v>
      </c>
      <c r="AH356" s="449" t="n">
        <f aca="false">IF(AND(L355&lt;L_rampe,Poussee&lt;Poids*SIN(M355)), g*SIN(M355), (-W355+Poussee)/m)</f>
        <v>-4.45653376289691</v>
      </c>
    </row>
    <row r="357" customFormat="false" ht="12" hidden="false" customHeight="false" outlineLevel="0" collapsed="false">
      <c r="A357" s="448" t="n">
        <f aca="false">IF(B356+0.01&lt;=T_ini+ROUNDUP(Temps_fin_propu,0), 0.01, IF(K356&gt;0, 0.1, 0.0001))</f>
        <v>0.01</v>
      </c>
      <c r="B357" s="449" t="n">
        <f aca="false">B356+pas</f>
        <v>3.52999999999997</v>
      </c>
      <c r="C357" s="432"/>
      <c r="D357" s="450" t="n">
        <f aca="false">IF(AND(L356&lt;L_rampe,Poussee&lt;Poids*SIN(M356)),0,(-W356+Poussee)/m*COS(M356)-U356/m*SIN(M356))</f>
        <v>-1.21656936838768</v>
      </c>
      <c r="E357" s="451" t="n">
        <f aca="false">IF(AND(L356&lt;L_rampe,Poussee&lt;Poids*SIN(M356)),0,(-W356+Poussee)/m*SIN(M356)+U356/m*COS(M356)-Poids/m)</f>
        <v>-14.747835071223</v>
      </c>
      <c r="F357" s="449" t="n">
        <f aca="false">SQRT(acc_x^2+acc_z^2)</f>
        <v>14.7979282440514</v>
      </c>
      <c r="G357" s="450" t="n">
        <f aca="false">G356+acc_x*pas</f>
        <v>41.842485683756</v>
      </c>
      <c r="H357" s="451" t="n">
        <f aca="false">H356+acc_z*pas</f>
        <v>169.732982916561</v>
      </c>
      <c r="I357" s="449" t="n">
        <f aca="false">SQRT(vit_x^2+vit_z^2)</f>
        <v>174.814413301504</v>
      </c>
      <c r="J357" s="450" t="n">
        <f aca="false">J356+0.5*(vit_x+G356)*pas*(K356&gt;=0)</f>
        <v>85.6732187817273</v>
      </c>
      <c r="K357" s="451" t="n">
        <f aca="false">K356+0.5*(vit_z+H356)*pas</f>
        <v>378.580062271306</v>
      </c>
      <c r="L357" s="449" t="n">
        <f aca="false">SQRT(pos_x^2+pos_z^2)</f>
        <v>388.153016175023</v>
      </c>
      <c r="M357" s="450" t="n">
        <f aca="false">IF(AND(L356&gt;L_rampe,G357&gt;0),ATAN2(G357,H357),$M$4)</f>
        <v>1.32909612591422</v>
      </c>
      <c r="N357" s="449" t="n">
        <f aca="false">DEGREES(Beta)</f>
        <v>76.1515985820729</v>
      </c>
      <c r="O357" s="438"/>
      <c r="P357" s="452" t="n">
        <f aca="false">MATCH(t-pas/2-T_ini,CdP_t)</f>
        <v>10</v>
      </c>
      <c r="Q357" s="449" t="n">
        <f aca="false">(INDEX(CdP,2,i_P+1)-INDEX(CdP,2,i_P+0))/(INDEX(CdP,1,i_P+1)-INDEX(CdP,1,i_P+0))*(t-pas/2-T_ini-INDEX(CdP,1,i_P+0))+INDEX(CdP,2,i_P+0)</f>
        <v>36.2916666666841</v>
      </c>
      <c r="R357" s="450" t="n">
        <f aca="false">Poussee/(g*ISP)</f>
        <v>0.0182130966088141</v>
      </c>
      <c r="S357" s="451" t="n">
        <f aca="false">S356-Débit*pas</f>
        <v>8.65250436267532</v>
      </c>
      <c r="T357" s="449" t="n">
        <f aca="false">m*g</f>
        <v>84.8810677978449</v>
      </c>
      <c r="U357" s="453" t="n">
        <f aca="false">IF(pos_xz&lt;L_rampe,Poids*COS(Beta),0)</f>
        <v>0</v>
      </c>
      <c r="V357" s="450" t="n">
        <f aca="false">Rho_moyen*(20000-Alt_rampe-pos_z)/(20000+Alt_rampe+pos_z)</f>
        <v>1.17948548673507</v>
      </c>
      <c r="W357" s="449" t="n">
        <f aca="false">1/2*Rho*Sref*Cx*vit_xz^2</f>
        <v>80.1462694808708</v>
      </c>
      <c r="X357" s="438"/>
      <c r="Y357" s="454" t="str">
        <f aca="false">IF(AND(pos_z&lt;=0,K356&gt;0),"Impact balistique","") &amp; IF(AND(H358&lt;0,vit_z&gt;=0),"Apogée","") &amp; IF(AND(Poussee=0,Q356&gt;0),"Fin de propulsion","") &amp; IF(AND(L358&gt;L_rampe,pos_xz&lt;=L_rampe),"Sortie de rampe","")</f>
        <v/>
      </c>
      <c r="Z357" s="455" t="str">
        <f aca="false">IF(ABS(t-T_para)&lt;pas/2,"Para","")</f>
        <v/>
      </c>
      <c r="AA357" s="456" t="str">
        <f aca="false">IF(ABS(t-T_satellite)&lt;pas/2,"Satellite","")</f>
        <v/>
      </c>
      <c r="AB357" s="444"/>
      <c r="AC357" s="452" t="e">
        <f aca="false">IF(ABS(t-ROUND(t,0))&lt;0.001,t,NA())</f>
        <v>#N/A</v>
      </c>
      <c r="AD357" s="457" t="e">
        <f aca="false">IF(ABS(t-ROUND(t,0))&lt;0.001,pos_x,NA())</f>
        <v>#N/A</v>
      </c>
      <c r="AE357" s="458" t="n">
        <f aca="false">IF(t&lt;T_para, pos_z, NA())</f>
        <v>378.580062271306</v>
      </c>
      <c r="AF357" s="444"/>
      <c r="AG357" s="450" t="n">
        <f aca="false">IF(AND(L356&lt;L_rampe,Poussee&lt;Poids*SIN(M356)),0,(-W356+Poussee)/m-Poids*SIN(M356)/m)</f>
        <v>-14.6106569429718</v>
      </c>
      <c r="AH357" s="449" t="n">
        <f aca="false">IF(AND(L356&lt;L_rampe,Poussee&lt;Poids*SIN(M356)), g*SIN(M356), (-W356+Poussee)/m)</f>
        <v>-5.08549468770729</v>
      </c>
    </row>
    <row r="358" customFormat="false" ht="12" hidden="false" customHeight="false" outlineLevel="0" collapsed="false">
      <c r="A358" s="448" t="n">
        <f aca="false">IF(B357+0.01&lt;=T_ini+ROUNDUP(Temps_fin_propu,0), 0.01, IF(K357&gt;0, 0.1, 0.0001))</f>
        <v>0.01</v>
      </c>
      <c r="B358" s="449" t="n">
        <f aca="false">B357+pas</f>
        <v>3.53999999999997</v>
      </c>
      <c r="C358" s="432"/>
      <c r="D358" s="450" t="n">
        <f aca="false">IF(AND(L357&lt;L_rampe,Poussee&lt;Poids*SIN(M357)),0,(-W357+Poussee)/m*COS(M357)-U357/m*SIN(M357))</f>
        <v>-1.36762326434527</v>
      </c>
      <c r="E358" s="451" t="n">
        <f aca="false">IF(AND(L357&lt;L_rampe,Poussee&lt;Poids*SIN(M357)),0,(-W357+Poussee)/m*SIN(M357)+U357/m*COS(M357)-Poids/m)</f>
        <v>-15.3577291171907</v>
      </c>
      <c r="F358" s="449" t="n">
        <f aca="false">SQRT(acc_x^2+acc_z^2)</f>
        <v>15.4185030735861</v>
      </c>
      <c r="G358" s="450" t="n">
        <f aca="false">G357+acc_x*pas</f>
        <v>41.8288094511126</v>
      </c>
      <c r="H358" s="451" t="n">
        <f aca="false">H357+acc_z*pas</f>
        <v>169.579405625389</v>
      </c>
      <c r="I358" s="449" t="n">
        <f aca="false">SQRT(vit_x^2+vit_z^2)</f>
        <v>174.662028249868</v>
      </c>
      <c r="J358" s="450" t="n">
        <f aca="false">J357+0.5*(vit_x+G357)*pas*(K357&gt;=0)</f>
        <v>86.0915752574016</v>
      </c>
      <c r="K358" s="451" t="n">
        <f aca="false">K357+0.5*(vit_z+H357)*pas</f>
        <v>380.276624214016</v>
      </c>
      <c r="L358" s="449" t="n">
        <f aca="false">SQRT(pos_x^2+pos_z^2)</f>
        <v>389.900077268406</v>
      </c>
      <c r="M358" s="450" t="n">
        <f aca="false">IF(AND(L357&gt;L_rampe,G358&gt;0),ATAN2(G358,H358),$M$4)</f>
        <v>1.32896169141032</v>
      </c>
      <c r="N358" s="449" t="n">
        <f aca="false">DEGREES(Beta)</f>
        <v>76.1438960523787</v>
      </c>
      <c r="O358" s="438"/>
      <c r="P358" s="452" t="n">
        <f aca="false">MATCH(t-pas/2-T_ini,CdP_t)</f>
        <v>10</v>
      </c>
      <c r="Q358" s="449" t="n">
        <f aca="false">(INDEX(CdP,2,i_P+1)-INDEX(CdP,2,i_P+0))/(INDEX(CdP,1,i_P+1)-INDEX(CdP,1,i_P+0))*(t-pas/2-T_ini-INDEX(CdP,1,i_P+0))+INDEX(CdP,2,i_P+0)</f>
        <v>30.7083333333509</v>
      </c>
      <c r="R358" s="450" t="n">
        <f aca="false">Poussee/(g*ISP)</f>
        <v>0.015411081745921</v>
      </c>
      <c r="S358" s="451" t="n">
        <f aca="false">S357-Débit*pas</f>
        <v>8.65235025185786</v>
      </c>
      <c r="T358" s="449" t="n">
        <f aca="false">m*g</f>
        <v>84.8795559707256</v>
      </c>
      <c r="U358" s="453" t="n">
        <f aca="false">IF(pos_xz&lt;L_rampe,Poids*COS(Beta),0)</f>
        <v>0</v>
      </c>
      <c r="V358" s="450" t="n">
        <f aca="false">Rho_moyen*(20000-Alt_rampe-pos_z)/(20000+Alt_rampe+pos_z)</f>
        <v>1.17928532465465</v>
      </c>
      <c r="W358" s="449" t="n">
        <f aca="false">1/2*Rho*Sref*Cx*vit_xz^2</f>
        <v>79.9930266398437</v>
      </c>
      <c r="X358" s="438"/>
      <c r="Y358" s="454" t="str">
        <f aca="false">IF(AND(pos_z&lt;=0,K357&gt;0),"Impact balistique","") &amp; IF(AND(H359&lt;0,vit_z&gt;=0),"Apogée","") &amp; IF(AND(Poussee=0,Q357&gt;0),"Fin de propulsion","") &amp; IF(AND(L359&gt;L_rampe,pos_xz&lt;=L_rampe),"Sortie de rampe","")</f>
        <v/>
      </c>
      <c r="Z358" s="455" t="str">
        <f aca="false">IF(ABS(t-T_para)&lt;pas/2,"Para","")</f>
        <v/>
      </c>
      <c r="AA358" s="456" t="str">
        <f aca="false">IF(ABS(t-T_satellite)&lt;pas/2,"Satellite","")</f>
        <v/>
      </c>
      <c r="AB358" s="444"/>
      <c r="AC358" s="452" t="e">
        <f aca="false">IF(ABS(t-ROUND(t,0))&lt;0.001,t,NA())</f>
        <v>#N/A</v>
      </c>
      <c r="AD358" s="457" t="e">
        <f aca="false">IF(ABS(t-ROUND(t,0))&lt;0.001,pos_x,NA())</f>
        <v>#N/A</v>
      </c>
      <c r="AE358" s="458" t="n">
        <f aca="false">IF(t&lt;T_para, pos_z, NA())</f>
        <v>380.276624214016</v>
      </c>
      <c r="AF358" s="444"/>
      <c r="AG358" s="450" t="n">
        <f aca="false">IF(AND(L357&lt;L_rampe,Poussee&lt;Poids*SIN(M357)),0,(-W357+Poussee)/m-Poids*SIN(M357)/m)</f>
        <v>-15.2386629937082</v>
      </c>
      <c r="AH358" s="449" t="n">
        <f aca="false">IF(AND(L357&lt;L_rampe,Poussee&lt;Poids*SIN(M357)), g*SIN(M357), (-W357+Poussee)/m)</f>
        <v>-5.71381586603067</v>
      </c>
    </row>
    <row r="359" customFormat="false" ht="12" hidden="false" customHeight="false" outlineLevel="0" collapsed="false">
      <c r="A359" s="448" t="n">
        <f aca="false">IF(B358+0.01&lt;=T_ini+ROUNDUP(Temps_fin_propu,0), 0.01, IF(K358&gt;0, 0.1, 0.0001))</f>
        <v>0.01</v>
      </c>
      <c r="B359" s="449" t="n">
        <f aca="false">B358+pas</f>
        <v>3.54999999999997</v>
      </c>
      <c r="C359" s="432"/>
      <c r="D359" s="450" t="n">
        <f aca="false">IF(AND(L358&lt;L_rampe,Poussee&lt;Poids*SIN(M358)),0,(-W358+Poussee)/m*COS(M358)-U358/m*SIN(M358))</f>
        <v>-1.51868807521579</v>
      </c>
      <c r="E359" s="451" t="n">
        <f aca="false">IF(AND(L358&lt;L_rampe,Poussee&lt;Poids*SIN(M358)),0,(-W358+Poussee)/m*SIN(M358)+U358/m*COS(M358)-Poids/m)</f>
        <v>-15.9669579556515</v>
      </c>
      <c r="F359" s="449" t="n">
        <f aca="false">SQRT(acc_x^2+acc_z^2)</f>
        <v>16.0390199147999</v>
      </c>
      <c r="G359" s="450" t="n">
        <f aca="false">G358+acc_x*pas</f>
        <v>41.8136225703604</v>
      </c>
      <c r="H359" s="451" t="n">
        <f aca="false">H358+acc_z*pas</f>
        <v>169.419736045833</v>
      </c>
      <c r="I359" s="449" t="n">
        <f aca="false">SQRT(vit_x^2+vit_z^2)</f>
        <v>174.503369578631</v>
      </c>
      <c r="J359" s="450" t="n">
        <f aca="false">J358+0.5*(vit_x+G358)*pas*(K358&gt;=0)</f>
        <v>86.509787417509</v>
      </c>
      <c r="K359" s="451" t="n">
        <f aca="false">K358+0.5*(vit_z+H358)*pas</f>
        <v>381.971619922372</v>
      </c>
      <c r="L359" s="449" t="n">
        <f aca="false">SQRT(pos_x^2+pos_z^2)</f>
        <v>391.645581802149</v>
      </c>
      <c r="M359" s="450" t="n">
        <f aca="false">IF(AND(L358&gt;L_rampe,G359&gt;0),ATAN2(G359,H359),$M$4)</f>
        <v>1.32882706130178</v>
      </c>
      <c r="N359" s="449" t="n">
        <f aca="false">DEGREES(Beta)</f>
        <v>76.1361823153641</v>
      </c>
      <c r="O359" s="438"/>
      <c r="P359" s="452" t="n">
        <f aca="false">MATCH(t-pas/2-T_ini,CdP_t)</f>
        <v>10</v>
      </c>
      <c r="Q359" s="449" t="n">
        <f aca="false">(INDEX(CdP,2,i_P+1)-INDEX(CdP,2,i_P+0))/(INDEX(CdP,1,i_P+1)-INDEX(CdP,1,i_P+0))*(t-pas/2-T_ini-INDEX(CdP,1,i_P+0))+INDEX(CdP,2,i_P+0)</f>
        <v>25.1250000000176</v>
      </c>
      <c r="R359" s="450" t="n">
        <f aca="false">Poussee/(g*ISP)</f>
        <v>0.0126090668830279</v>
      </c>
      <c r="S359" s="451" t="n">
        <f aca="false">S358-Débit*pas</f>
        <v>8.65222416118903</v>
      </c>
      <c r="T359" s="449" t="n">
        <f aca="false">m*g</f>
        <v>84.8783190212644</v>
      </c>
      <c r="U359" s="453" t="n">
        <f aca="false">IF(pos_xz&lt;L_rampe,Poids*COS(Beta),0)</f>
        <v>0</v>
      </c>
      <c r="V359" s="450" t="n">
        <f aca="false">Rho_moyen*(20000-Alt_rampe-pos_z)/(20000+Alt_rampe+pos_z)</f>
        <v>1.17908538063633</v>
      </c>
      <c r="W359" s="449" t="n">
        <f aca="false">1/2*Rho*Sref*Cx*vit_xz^2</f>
        <v>79.8342273368478</v>
      </c>
      <c r="X359" s="438"/>
      <c r="Y359" s="454" t="str">
        <f aca="false">IF(AND(pos_z&lt;=0,K358&gt;0),"Impact balistique","") &amp; IF(AND(H360&lt;0,vit_z&gt;=0),"Apogée","") &amp; IF(AND(Poussee=0,Q358&gt;0),"Fin de propulsion","") &amp; IF(AND(L360&gt;L_rampe,pos_xz&lt;=L_rampe),"Sortie de rampe","")</f>
        <v/>
      </c>
      <c r="Z359" s="455" t="str">
        <f aca="false">IF(ABS(t-T_para)&lt;pas/2,"Para","")</f>
        <v/>
      </c>
      <c r="AA359" s="456" t="str">
        <f aca="false">IF(ABS(t-T_satellite)&lt;pas/2,"Satellite","")</f>
        <v/>
      </c>
      <c r="AB359" s="444"/>
      <c r="AC359" s="452" t="e">
        <f aca="false">IF(ABS(t-ROUND(t,0))&lt;0.001,t,NA())</f>
        <v>#N/A</v>
      </c>
      <c r="AD359" s="457" t="e">
        <f aca="false">IF(ABS(t-ROUND(t,0))&lt;0.001,pos_x,NA())</f>
        <v>#N/A</v>
      </c>
      <c r="AE359" s="458" t="n">
        <f aca="false">IF(t&lt;T_para, pos_z, NA())</f>
        <v>381.971619922372</v>
      </c>
      <c r="AF359" s="444"/>
      <c r="AG359" s="450" t="n">
        <f aca="false">IF(AND(L358&lt;L_rampe,Poussee&lt;Poids*SIN(M358)),0,(-W358+Poussee)/m-Poids*SIN(M358)/m)</f>
        <v>-15.8660252697537</v>
      </c>
      <c r="AH359" s="449" t="n">
        <f aca="false">IF(AND(L358&lt;L_rampe,Poussee&lt;Poids*SIN(M358)), g*SIN(M358), (-W358+Poussee)/m)</f>
        <v>-6.34149388846692</v>
      </c>
    </row>
    <row r="360" customFormat="false" ht="12" hidden="false" customHeight="false" outlineLevel="0" collapsed="false">
      <c r="A360" s="448" t="n">
        <f aca="false">IF(B359+0.01&lt;=T_ini+ROUNDUP(Temps_fin_propu,0), 0.01, IF(K359&gt;0, 0.1, 0.0001))</f>
        <v>0.01</v>
      </c>
      <c r="B360" s="449" t="n">
        <f aca="false">B359+pas</f>
        <v>3.55999999999997</v>
      </c>
      <c r="C360" s="432"/>
      <c r="D360" s="450" t="n">
        <f aca="false">IF(AND(L359&lt;L_rampe,Poussee&lt;Poids*SIN(M359)),0,(-W359+Poussee)/m*COS(M359)-U359/m*SIN(M359))</f>
        <v>-1.66976312736617</v>
      </c>
      <c r="E360" s="451" t="n">
        <f aca="false">IF(AND(L359&lt;L_rampe,Poussee&lt;Poids*SIN(M359)),0,(-W359+Poussee)/m*SIN(M359)+U359/m*COS(M359)-Poids/m)</f>
        <v>-16.575518290634</v>
      </c>
      <c r="F360" s="449" t="n">
        <f aca="false">SQRT(acc_x^2+acc_z^2)</f>
        <v>16.6594092183563</v>
      </c>
      <c r="G360" s="450" t="n">
        <f aca="false">G359+acc_x*pas</f>
        <v>41.7969249390867</v>
      </c>
      <c r="H360" s="451" t="n">
        <f aca="false">H359+acc_z*pas</f>
        <v>169.253980862926</v>
      </c>
      <c r="I360" s="449" t="n">
        <f aca="false">SQRT(vit_x^2+vit_z^2)</f>
        <v>174.338443759004</v>
      </c>
      <c r="J360" s="450" t="n">
        <f aca="false">J359+0.5*(vit_x+G359)*pas*(K359&gt;=0)</f>
        <v>86.9278401550562</v>
      </c>
      <c r="K360" s="451" t="n">
        <f aca="false">K359+0.5*(vit_z+H359)*pas</f>
        <v>383.664988506916</v>
      </c>
      <c r="L360" s="449" t="n">
        <f aca="false">SQRT(pos_x^2+pos_z^2)</f>
        <v>393.389467067987</v>
      </c>
      <c r="M360" s="450" t="n">
        <f aca="false">IF(AND(L359&gt;L_rampe,G360&gt;0),ATAN2(G360,H360),$M$4)</f>
        <v>1.32869223028142</v>
      </c>
      <c r="N360" s="449" t="n">
        <f aca="false">DEGREES(Beta)</f>
        <v>76.1284570669498</v>
      </c>
      <c r="O360" s="438"/>
      <c r="P360" s="452" t="n">
        <f aca="false">MATCH(t-pas/2-T_ini,CdP_t)</f>
        <v>10</v>
      </c>
      <c r="Q360" s="449" t="n">
        <f aca="false">(INDEX(CdP,2,i_P+1)-INDEX(CdP,2,i_P+0))/(INDEX(CdP,1,i_P+1)-INDEX(CdP,1,i_P+0))*(t-pas/2-T_ini-INDEX(CdP,1,i_P+0))+INDEX(CdP,2,i_P+0)</f>
        <v>19.5416666666844</v>
      </c>
      <c r="R360" s="450" t="n">
        <f aca="false">Poussee/(g*ISP)</f>
        <v>0.00980705202013486</v>
      </c>
      <c r="S360" s="451" t="n">
        <f aca="false">S359-Débit*pas</f>
        <v>8.65212609066883</v>
      </c>
      <c r="T360" s="449" t="n">
        <f aca="false">m*g</f>
        <v>84.8773569494612</v>
      </c>
      <c r="U360" s="453" t="n">
        <f aca="false">IF(pos_xz&lt;L_rampe,Poids*COS(Beta),0)</f>
        <v>0</v>
      </c>
      <c r="V360" s="450" t="n">
        <f aca="false">Rho_moyen*(20000-Alt_rampe-pos_z)/(20000+Alt_rampe+pos_z)</f>
        <v>1.17888566176044</v>
      </c>
      <c r="W360" s="449" t="n">
        <f aca="false">1/2*Rho*Sref*Cx*vit_xz^2</f>
        <v>79.6698963971958</v>
      </c>
      <c r="X360" s="438"/>
      <c r="Y360" s="454" t="str">
        <f aca="false">IF(AND(pos_z&lt;=0,K359&gt;0),"Impact balistique","") &amp; IF(AND(H361&lt;0,vit_z&gt;=0),"Apogée","") &amp; IF(AND(Poussee=0,Q359&gt;0),"Fin de propulsion","") &amp; IF(AND(L361&gt;L_rampe,pos_xz&lt;=L_rampe),"Sortie de rampe","")</f>
        <v/>
      </c>
      <c r="Z360" s="455" t="str">
        <f aca="false">IF(ABS(t-T_para)&lt;pas/2,"Para","")</f>
        <v/>
      </c>
      <c r="AA360" s="456" t="str">
        <f aca="false">IF(ABS(t-T_satellite)&lt;pas/2,"Satellite","")</f>
        <v/>
      </c>
      <c r="AB360" s="444"/>
      <c r="AC360" s="452" t="e">
        <f aca="false">IF(ABS(t-ROUND(t,0))&lt;0.001,t,NA())</f>
        <v>#N/A</v>
      </c>
      <c r="AD360" s="457" t="e">
        <f aca="false">IF(ABS(t-ROUND(t,0))&lt;0.001,pos_x,NA())</f>
        <v>#N/A</v>
      </c>
      <c r="AE360" s="458" t="n">
        <f aca="false">IF(t&lt;T_para, pos_z, NA())</f>
        <v>383.664988506916</v>
      </c>
      <c r="AF360" s="444"/>
      <c r="AG360" s="450" t="n">
        <f aca="false">IF(AND(L359&lt;L_rampe,Poussee&lt;Poids*SIN(M359)),0,(-W359+Poussee)/m-Poids*SIN(M359)/m)</f>
        <v>-16.4927404310943</v>
      </c>
      <c r="AH360" s="449" t="n">
        <f aca="false">IF(AND(L359&lt;L_rampe,Poussee&lt;Poids*SIN(M359)), g*SIN(M359), (-W359+Poussee)/m)</f>
        <v>-6.96852542812429</v>
      </c>
    </row>
    <row r="361" customFormat="false" ht="12" hidden="false" customHeight="false" outlineLevel="0" collapsed="false">
      <c r="A361" s="448" t="n">
        <f aca="false">IF(B360+0.01&lt;=T_ini+ROUNDUP(Temps_fin_propu,0), 0.01, IF(K360&gt;0, 0.1, 0.0001))</f>
        <v>0.01</v>
      </c>
      <c r="B361" s="449" t="n">
        <f aca="false">B360+pas</f>
        <v>3.56999999999997</v>
      </c>
      <c r="C361" s="432"/>
      <c r="D361" s="450" t="n">
        <f aca="false">IF(AND(L360&lt;L_rampe,Poussee&lt;Poids*SIN(M360)),0,(-W360+Poussee)/m*COS(M360)-U360/m*SIN(M360))</f>
        <v>-1.82084777744446</v>
      </c>
      <c r="E361" s="451" t="n">
        <f aca="false">IF(AND(L360&lt;L_rampe,Poussee&lt;Poids*SIN(M360)),0,(-W360+Poussee)/m*SIN(M360)+U360/m*COS(M360)-Poids/m)</f>
        <v>-17.1834069031879</v>
      </c>
      <c r="F361" s="449" t="n">
        <f aca="false">SQRT(acc_x^2+acc_z^2)</f>
        <v>17.2796110902169</v>
      </c>
      <c r="G361" s="450" t="n">
        <f aca="false">G360+acc_x*pas</f>
        <v>41.7787164613123</v>
      </c>
      <c r="H361" s="451" t="n">
        <f aca="false">H360+acc_z*pas</f>
        <v>169.082146793894</v>
      </c>
      <c r="I361" s="449" t="n">
        <f aca="false">SQRT(vit_x^2+vit_z^2)</f>
        <v>174.167257294782</v>
      </c>
      <c r="J361" s="450" t="n">
        <f aca="false">J360+0.5*(vit_x+G360)*pas*(K360&gt;=0)</f>
        <v>87.3457183620582</v>
      </c>
      <c r="K361" s="451" t="n">
        <f aca="false">K360+0.5*(vit_z+H360)*pas</f>
        <v>385.3566691452</v>
      </c>
      <c r="L361" s="449" t="n">
        <f aca="false">SQRT(pos_x^2+pos_z^2)</f>
        <v>395.13167042249</v>
      </c>
      <c r="M361" s="450" t="n">
        <f aca="false">IF(AND(L360&gt;L_rampe,G361&gt;0),ATAN2(G361,H361),$M$4)</f>
        <v>1.32855719300743</v>
      </c>
      <c r="N361" s="449" t="n">
        <f aca="false">DEGREES(Beta)</f>
        <v>76.1207200010732</v>
      </c>
      <c r="O361" s="438"/>
      <c r="P361" s="452" t="n">
        <f aca="false">MATCH(t-pas/2-T_ini,CdP_t)</f>
        <v>10</v>
      </c>
      <c r="Q361" s="449" t="n">
        <f aca="false">(INDEX(CdP,2,i_P+1)-INDEX(CdP,2,i_P+0))/(INDEX(CdP,1,i_P+1)-INDEX(CdP,1,i_P+0))*(t-pas/2-T_ini-INDEX(CdP,1,i_P+0))+INDEX(CdP,2,i_P+0)</f>
        <v>13.9583333333512</v>
      </c>
      <c r="R361" s="450" t="n">
        <f aca="false">Poussee/(g*ISP)</f>
        <v>0.00700503715724178</v>
      </c>
      <c r="S361" s="451" t="n">
        <f aca="false">S360-Débit*pas</f>
        <v>8.65205604029726</v>
      </c>
      <c r="T361" s="449" t="n">
        <f aca="false">m*g</f>
        <v>84.8766697553161</v>
      </c>
      <c r="U361" s="453" t="n">
        <f aca="false">IF(pos_xz&lt;L_rampe,Poids*COS(Beta),0)</f>
        <v>0</v>
      </c>
      <c r="V361" s="450" t="n">
        <f aca="false">Rho_moyen*(20000-Alt_rampe-pos_z)/(20000+Alt_rampe+pos_z)</f>
        <v>1.17868617509476</v>
      </c>
      <c r="W361" s="449" t="n">
        <f aca="false">1/2*Rho*Sref*Cx*vit_xz^2</f>
        <v>79.5000592461797</v>
      </c>
      <c r="X361" s="438"/>
      <c r="Y361" s="454" t="str">
        <f aca="false">IF(AND(pos_z&lt;=0,K360&gt;0),"Impact balistique","") &amp; IF(AND(H362&lt;0,vit_z&gt;=0),"Apogée","") &amp; IF(AND(Poussee=0,Q360&gt;0),"Fin de propulsion","") &amp; IF(AND(L362&gt;L_rampe,pos_xz&lt;=L_rampe),"Sortie de rampe","")</f>
        <v/>
      </c>
      <c r="Z361" s="455" t="str">
        <f aca="false">IF(ABS(t-T_para)&lt;pas/2,"Para","")</f>
        <v/>
      </c>
      <c r="AA361" s="456" t="str">
        <f aca="false">IF(ABS(t-T_satellite)&lt;pas/2,"Satellite","")</f>
        <v/>
      </c>
      <c r="AB361" s="444"/>
      <c r="AC361" s="452" t="e">
        <f aca="false">IF(ABS(t-ROUND(t,0))&lt;0.001,t,NA())</f>
        <v>#N/A</v>
      </c>
      <c r="AD361" s="457" t="e">
        <f aca="false">IF(ABS(t-ROUND(t,0))&lt;0.001,pos_x,NA())</f>
        <v>#N/A</v>
      </c>
      <c r="AE361" s="458" t="n">
        <f aca="false">IF(t&lt;T_para, pos_z, NA())</f>
        <v>385.3566691452</v>
      </c>
      <c r="AF361" s="444"/>
      <c r="AG361" s="450" t="n">
        <f aca="false">IF(AND(L360&lt;L_rampe,Poussee&lt;Poids*SIN(M360)),0,(-W360+Poussee)/m-Poids*SIN(M360)/m)</f>
        <v>-17.1188052197881</v>
      </c>
      <c r="AH361" s="449" t="n">
        <f aca="false">IF(AND(L360&lt;L_rampe,Poussee&lt;Poids*SIN(M360)), g*SIN(M360), (-W360+Poussee)/m)</f>
        <v>-7.59490724028955</v>
      </c>
    </row>
    <row r="362" customFormat="false" ht="12" hidden="false" customHeight="false" outlineLevel="0" collapsed="false">
      <c r="A362" s="448" t="n">
        <f aca="false">IF(B361+0.01&lt;=T_ini+ROUNDUP(Temps_fin_propu,0), 0.01, IF(K361&gt;0, 0.1, 0.0001))</f>
        <v>0.01</v>
      </c>
      <c r="B362" s="449" t="n">
        <f aca="false">B361+pas</f>
        <v>3.57999999999997</v>
      </c>
      <c r="C362" s="432"/>
      <c r="D362" s="450" t="n">
        <f aca="false">IF(AND(L361&lt;L_rampe,Poussee&lt;Poids*SIN(M361)),0,(-W361+Poussee)/m*COS(M361)-U361/m*SIN(M361))</f>
        <v>-1.97194141242316</v>
      </c>
      <c r="E362" s="451" t="n">
        <f aca="false">IF(AND(L361&lt;L_rampe,Poussee&lt;Poids*SIN(M361)),0,(-W361+Poussee)/m*SIN(M361)+U361/m*COS(M361)-Poids/m)</f>
        <v>-17.7906206510208</v>
      </c>
      <c r="F362" s="449" t="n">
        <f aca="false">SQRT(acc_x^2+acc_z^2)</f>
        <v>17.899573628513</v>
      </c>
      <c r="G362" s="450" t="n">
        <f aca="false">G361+acc_x*pas</f>
        <v>41.758997047188</v>
      </c>
      <c r="H362" s="451" t="n">
        <f aca="false">H361+acc_z*pas</f>
        <v>168.904240587384</v>
      </c>
      <c r="I362" s="449" t="n">
        <f aca="false">SQRT(vit_x^2+vit_z^2)</f>
        <v>173.98981672152</v>
      </c>
      <c r="J362" s="450" t="n">
        <f aca="false">J361+0.5*(vit_x+G361)*pas*(K361&gt;=0)</f>
        <v>87.7634069296007</v>
      </c>
      <c r="K362" s="451" t="n">
        <f aca="false">K361+0.5*(vit_z+H361)*pas</f>
        <v>387.046601082107</v>
      </c>
      <c r="L362" s="449" t="n">
        <f aca="false">SQRT(pos_x^2+pos_z^2)</f>
        <v>396.872129287384</v>
      </c>
      <c r="M362" s="450" t="n">
        <f aca="false">IF(AND(L361&gt;L_rampe,G362&gt;0),ATAN2(G362,H362),$M$4)</f>
        <v>1.32842194410215</v>
      </c>
      <c r="N362" s="449" t="n">
        <f aca="false">DEGREES(Beta)</f>
        <v>76.1129708096169</v>
      </c>
      <c r="O362" s="438"/>
      <c r="P362" s="452" t="n">
        <f aca="false">MATCH(t-pas/2-T_ini,CdP_t)</f>
        <v>10</v>
      </c>
      <c r="Q362" s="449" t="n">
        <f aca="false">(INDEX(CdP,2,i_P+1)-INDEX(CdP,2,i_P+0))/(INDEX(CdP,1,i_P+1)-INDEX(CdP,1,i_P+0))*(t-pas/2-T_ini-INDEX(CdP,1,i_P+0))+INDEX(CdP,2,i_P+0)</f>
        <v>8.37500000001795</v>
      </c>
      <c r="R362" s="450" t="n">
        <f aca="false">Poussee/(g*ISP)</f>
        <v>0.0042030222943487</v>
      </c>
      <c r="S362" s="451" t="n">
        <f aca="false">S361-Débit*pas</f>
        <v>8.65201401007431</v>
      </c>
      <c r="T362" s="449" t="n">
        <f aca="false">m*g</f>
        <v>84.876257438829</v>
      </c>
      <c r="U362" s="453" t="n">
        <f aca="false">IF(pos_xz&lt;L_rampe,Poids*COS(Beta),0)</f>
        <v>0</v>
      </c>
      <c r="V362" s="450" t="n">
        <f aca="false">Rho_moyen*(20000-Alt_rampe-pos_z)/(20000+Alt_rampe+pos_z)</f>
        <v>1.17848692769453</v>
      </c>
      <c r="W362" s="449" t="n">
        <f aca="false">1/2*Rho*Sref*Cx*vit_xz^2</f>
        <v>79.3247419052354</v>
      </c>
      <c r="X362" s="438"/>
      <c r="Y362" s="454" t="str">
        <f aca="false">IF(AND(pos_z&lt;=0,K361&gt;0),"Impact balistique","") &amp; IF(AND(H363&lt;0,vit_z&gt;=0),"Apogée","") &amp; IF(AND(Poussee=0,Q361&gt;0),"Fin de propulsion","") &amp; IF(AND(L363&gt;L_rampe,pos_xz&lt;=L_rampe),"Sortie de rampe","")</f>
        <v/>
      </c>
      <c r="Z362" s="455" t="str">
        <f aca="false">IF(ABS(t-T_para)&lt;pas/2,"Para","")</f>
        <v/>
      </c>
      <c r="AA362" s="456" t="str">
        <f aca="false">IF(ABS(t-T_satellite)&lt;pas/2,"Satellite","")</f>
        <v/>
      </c>
      <c r="AB362" s="444"/>
      <c r="AC362" s="452" t="e">
        <f aca="false">IF(ABS(t-ROUND(t,0))&lt;0.001,t,NA())</f>
        <v>#N/A</v>
      </c>
      <c r="AD362" s="457" t="e">
        <f aca="false">IF(ABS(t-ROUND(t,0))&lt;0.001,pos_x,NA())</f>
        <v>#N/A</v>
      </c>
      <c r="AE362" s="458" t="n">
        <f aca="false">IF(t&lt;T_para, pos_z, NA())</f>
        <v>387.046601082107</v>
      </c>
      <c r="AF362" s="444"/>
      <c r="AG362" s="450" t="n">
        <f aca="false">IF(AND(L361&lt;L_rampe,Poussee&lt;Poids*SIN(M361)),0,(-W361+Poussee)/m-Poids*SIN(M361)/m)</f>
        <v>-17.744216459628</v>
      </c>
      <c r="AH362" s="449" t="n">
        <f aca="false">IF(AND(L361&lt;L_rampe,Poussee&lt;Poids*SIN(M361)), g*SIN(M361), (-W361+Poussee)/m)</f>
        <v>-8.22063616209411</v>
      </c>
    </row>
    <row r="363" customFormat="false" ht="12" hidden="false" customHeight="false" outlineLevel="0" collapsed="false">
      <c r="A363" s="448" t="n">
        <f aca="false">IF(B362+0.01&lt;=T_ini+ROUNDUP(Temps_fin_propu,0), 0.01, IF(K362&gt;0, 0.1, 0.0001))</f>
        <v>0.01</v>
      </c>
      <c r="B363" s="449" t="n">
        <f aca="false">B362+pas</f>
        <v>3.58999999999997</v>
      </c>
      <c r="C363" s="432"/>
      <c r="D363" s="450" t="n">
        <f aca="false">IF(AND(L362&lt;L_rampe,Poussee&lt;Poids*SIN(M362)),0,(-W362+Poussee)/m*COS(M362)-U362/m*SIN(M362))</f>
        <v>-2.1230434496456</v>
      </c>
      <c r="E363" s="451" t="n">
        <f aca="false">IF(AND(L362&lt;L_rampe,Poussee&lt;Poids*SIN(M362)),0,(-W362+Poussee)/m*SIN(M362)+U362/m*COS(M362)-Poids/m)</f>
        <v>-18.3971564681307</v>
      </c>
      <c r="F363" s="449" t="n">
        <f aca="false">SQRT(acc_x^2+acc_z^2)</f>
        <v>18.5192515940025</v>
      </c>
      <c r="G363" s="450" t="n">
        <f aca="false">G362+acc_x*pas</f>
        <v>41.7377666126916</v>
      </c>
      <c r="H363" s="451" t="n">
        <f aca="false">H362+acc_z*pas</f>
        <v>168.720269022703</v>
      </c>
      <c r="I363" s="449" t="n">
        <f aca="false">SQRT(vit_x^2+vit_z^2)</f>
        <v>173.806128605722</v>
      </c>
      <c r="J363" s="450" t="n">
        <f aca="false">J362+0.5*(vit_x+G362)*pas*(K362&gt;=0)</f>
        <v>88.1808907479001</v>
      </c>
      <c r="K363" s="451" t="n">
        <f aca="false">K362+0.5*(vit_z+H362)*pas</f>
        <v>388.734723630157</v>
      </c>
      <c r="L363" s="449" t="n">
        <f aca="false">SQRT(pos_x^2+pos_z^2)</f>
        <v>398.610781149868</v>
      </c>
      <c r="M363" s="450" t="n">
        <f aca="false">IF(AND(L362&gt;L_rampe,G363&gt;0),ATAN2(G363,H363),$M$4)</f>
        <v>1.32828647815078</v>
      </c>
      <c r="N363" s="449" t="n">
        <f aca="false">DEGREES(Beta)</f>
        <v>76.1052091823359</v>
      </c>
      <c r="O363" s="438"/>
      <c r="P363" s="452" t="n">
        <f aca="false">MATCH(t-pas/2-T_ini,CdP_t)</f>
        <v>10</v>
      </c>
      <c r="Q363" s="449" t="n">
        <f aca="false">(INDEX(CdP,2,i_P+1)-INDEX(CdP,2,i_P+0))/(INDEX(CdP,1,i_P+1)-INDEX(CdP,1,i_P+0))*(t-pas/2-T_ini-INDEX(CdP,1,i_P+0))+INDEX(CdP,2,i_P+0)</f>
        <v>2.79166666668472</v>
      </c>
      <c r="R363" s="450" t="n">
        <f aca="false">Poussee/(g*ISP)</f>
        <v>0.00140100743145562</v>
      </c>
      <c r="S363" s="451" t="n">
        <f aca="false">S362-Débit*pas</f>
        <v>8.652</v>
      </c>
      <c r="T363" s="449" t="n">
        <f aca="false">m*g</f>
        <v>84.87612</v>
      </c>
      <c r="U363" s="453" t="n">
        <f aca="false">IF(pos_xz&lt;L_rampe,Poids*COS(Beta),0)</f>
        <v>0</v>
      </c>
      <c r="V363" s="450" t="n">
        <f aca="false">Rho_moyen*(20000-Alt_rampe-pos_z)/(20000+Alt_rampe+pos_z)</f>
        <v>1.17828792660243</v>
      </c>
      <c r="W363" s="449" t="n">
        <f aca="false">1/2*Rho*Sref*Cx*vit_xz^2</f>
        <v>79.143970988109</v>
      </c>
      <c r="X363" s="438"/>
      <c r="Y363" s="454" t="str">
        <f aca="false">IF(AND(pos_z&lt;=0,K362&gt;0),"Impact balistique","") &amp; IF(AND(H364&lt;0,vit_z&gt;=0),"Apogée","") &amp; IF(AND(Poussee=0,Q362&gt;0),"Fin de propulsion","") &amp; IF(AND(L364&gt;L_rampe,pos_xz&lt;=L_rampe),"Sortie de rampe","")</f>
        <v/>
      </c>
      <c r="Z363" s="455" t="str">
        <f aca="false">IF(ABS(t-T_para)&lt;pas/2,"Para","")</f>
        <v/>
      </c>
      <c r="AA363" s="456" t="str">
        <f aca="false">IF(ABS(t-T_satellite)&lt;pas/2,"Satellite","")</f>
        <v/>
      </c>
      <c r="AB363" s="444"/>
      <c r="AC363" s="452" t="e">
        <f aca="false">IF(ABS(t-ROUND(t,0))&lt;0.001,t,NA())</f>
        <v>#N/A</v>
      </c>
      <c r="AD363" s="457" t="e">
        <f aca="false">IF(ABS(t-ROUND(t,0))&lt;0.001,pos_x,NA())</f>
        <v>#N/A</v>
      </c>
      <c r="AE363" s="458" t="n">
        <f aca="false">IF(t&lt;T_para, pos_z, NA())</f>
        <v>388.734723630157</v>
      </c>
      <c r="AF363" s="444"/>
      <c r="AG363" s="450" t="n">
        <f aca="false">IF(AND(L362&lt;L_rampe,Poussee&lt;Poids*SIN(M362)),0,(-W362+Poussee)/m-Poids*SIN(M362)/m)</f>
        <v>-18.3689710558009</v>
      </c>
      <c r="AH363" s="449" t="n">
        <f aca="false">IF(AND(L362&lt;L_rampe,Poussee&lt;Poids*SIN(M362)), g*SIN(M362), (-W362+Poussee)/m)</f>
        <v>-8.84570911217645</v>
      </c>
    </row>
    <row r="364" customFormat="false" ht="12" hidden="false" customHeight="false" outlineLevel="0" collapsed="false">
      <c r="A364" s="448" t="n">
        <f aca="false">IF(B363+0.01&lt;=T_ini+ROUNDUP(Temps_fin_propu,0), 0.01, IF(K363&gt;0, 0.1, 0.0001))</f>
        <v>0.01</v>
      </c>
      <c r="B364" s="449" t="n">
        <f aca="false">B363+pas</f>
        <v>3.59999999999997</v>
      </c>
      <c r="C364" s="432"/>
      <c r="D364" s="450" t="n">
        <f aca="false">IF(AND(L363&lt;L_rampe,Poussee&lt;Poids*SIN(M363)),0,(-W363+Poussee)/m*COS(M363)-U363/m*SIN(M363))</f>
        <v>-2.1966731731906</v>
      </c>
      <c r="E364" s="451" t="n">
        <f aca="false">IF(AND(L363&lt;L_rampe,Poussee&lt;Poids*SIN(M363)),0,(-W363+Poussee)/m*SIN(M363)+U363/m*COS(M363)-Poids/m)</f>
        <v>-18.6898064394508</v>
      </c>
      <c r="F364" s="449" t="n">
        <f aca="false">SQRT(acc_x^2+acc_z^2)</f>
        <v>18.8184547127003</v>
      </c>
      <c r="G364" s="450" t="n">
        <f aca="false">G363+acc_x*pas</f>
        <v>41.7157998809597</v>
      </c>
      <c r="H364" s="451" t="n">
        <f aca="false">H363+acc_z*pas</f>
        <v>168.533370958308</v>
      </c>
      <c r="I364" s="449" t="n">
        <f aca="false">SQRT(vit_x^2+vit_z^2)</f>
        <v>173.619426004923</v>
      </c>
      <c r="J364" s="450" t="n">
        <f aca="false">J363+0.5*(vit_x+G363)*pas*(K363&gt;=0)</f>
        <v>88.5981585803684</v>
      </c>
      <c r="K364" s="451" t="n">
        <f aca="false">K363+0.5*(vit_z+H363)*pas</f>
        <v>390.420991830062</v>
      </c>
      <c r="L364" s="449" t="n">
        <f aca="false">SQRT(pos_x^2+pos_z^2)</f>
        <v>400.347579692199</v>
      </c>
      <c r="M364" s="450" t="n">
        <f aca="false">IF(AND(L363&gt;L_rampe,G364&gt;0),ATAN2(G364,H364),$M$4)</f>
        <v>1.32815079222169</v>
      </c>
      <c r="N364" s="449" t="n">
        <f aca="false">DEGREES(Beta)</f>
        <v>76.0974349512595</v>
      </c>
      <c r="O364" s="438"/>
      <c r="P364" s="452" t="n">
        <f aca="false">MATCH(t-pas/2-T_ini,CdP_t)</f>
        <v>23</v>
      </c>
      <c r="Q364" s="449" t="n">
        <f aca="false">(INDEX(CdP,2,i_P+1)-INDEX(CdP,2,i_P+0))/(INDEX(CdP,1,i_P+1)-INDEX(CdP,1,i_P+0))*(t-pas/2-T_ini-INDEX(CdP,1,i_P+0))+INDEX(CdP,2,i_P+0)</f>
        <v>0</v>
      </c>
      <c r="R364" s="450" t="n">
        <f aca="false">Poussee/(g*ISP)</f>
        <v>0</v>
      </c>
      <c r="S364" s="451" t="n">
        <f aca="false">S363-Débit*pas</f>
        <v>8.652</v>
      </c>
      <c r="T364" s="449" t="n">
        <f aca="false">m*g</f>
        <v>84.87612</v>
      </c>
      <c r="U364" s="453" t="n">
        <f aca="false">IF(pos_xz&lt;L_rampe,Poids*COS(Beta),0)</f>
        <v>0</v>
      </c>
      <c r="V364" s="450" t="n">
        <f aca="false">Rho_moyen*(20000-Alt_rampe-pos_z)/(20000+Alt_rampe+pos_z)</f>
        <v>1.17808917700292</v>
      </c>
      <c r="W364" s="449" t="n">
        <f aca="false">1/2*Rho*Sref*Cx*vit_xz^2</f>
        <v>78.9607082826074</v>
      </c>
      <c r="X364" s="438"/>
      <c r="Y364" s="454" t="str">
        <f aca="false">IF(AND(pos_z&lt;=0,K363&gt;0),"Impact balistique","") &amp; IF(AND(H365&lt;0,vit_z&gt;=0),"Apogée","") &amp; IF(AND(Poussee=0,Q363&gt;0),"Fin de propulsion","") &amp; IF(AND(L365&gt;L_rampe,pos_xz&lt;=L_rampe),"Sortie de rampe","")</f>
        <v>Fin de propulsion</v>
      </c>
      <c r="Z364" s="455" t="str">
        <f aca="false">IF(ABS(t-T_para)&lt;pas/2,"Para","")</f>
        <v/>
      </c>
      <c r="AA364" s="456" t="str">
        <f aca="false">IF(ABS(t-T_satellite)&lt;pas/2,"Satellite","")</f>
        <v/>
      </c>
      <c r="AB364" s="444"/>
      <c r="AC364" s="452" t="e">
        <f aca="false">IF(ABS(t-ROUND(t,0))&lt;0.001,t,NA())</f>
        <v>#N/A</v>
      </c>
      <c r="AD364" s="457" t="e">
        <f aca="false">IF(ABS(t-ROUND(t,0))&lt;0.001,pos_x,NA())</f>
        <v>#N/A</v>
      </c>
      <c r="AE364" s="458" t="n">
        <f aca="false">IF(t&lt;T_para, pos_z, NA())</f>
        <v>390.420991830062</v>
      </c>
      <c r="AF364" s="444"/>
      <c r="AG364" s="450" t="n">
        <f aca="false">IF(AND(L363&lt;L_rampe,Poussee&lt;Poids*SIN(M363)),0,(-W363+Poussee)/m-Poids*SIN(M363)/m)</f>
        <v>-18.6704199023655</v>
      </c>
      <c r="AH364" s="449" t="n">
        <f aca="false">IF(AND(L363&lt;L_rampe,Poussee&lt;Poids*SIN(M363)), g*SIN(M363), (-W363+Poussee)/m)</f>
        <v>-9.14747699816332</v>
      </c>
    </row>
    <row r="365" customFormat="false" ht="12" hidden="false" customHeight="false" outlineLevel="0" collapsed="false">
      <c r="A365" s="448" t="n">
        <f aca="false">IF(B364+0.01&lt;=T_ini+ROUNDUP(Temps_fin_propu,0), 0.01, IF(K364&gt;0, 0.1, 0.0001))</f>
        <v>0.01</v>
      </c>
      <c r="B365" s="449" t="n">
        <f aca="false">B364+pas</f>
        <v>3.60999999999997</v>
      </c>
      <c r="C365" s="432"/>
      <c r="D365" s="450" t="n">
        <f aca="false">IF(AND(L364&lt;L_rampe,Poussee&lt;Poids*SIN(M364)),0,(-W364+Poussee)/m*COS(M364)-U364/m*SIN(M364))</f>
        <v>-2.19278869677389</v>
      </c>
      <c r="E365" s="451" t="n">
        <f aca="false">IF(AND(L364&lt;L_rampe,Poussee&lt;Poids*SIN(M364)),0,(-W364+Poussee)/m*SIN(M364)+U364/m*COS(M364)-Poids/m)</f>
        <v>-18.668947255504</v>
      </c>
      <c r="F365" s="449" t="n">
        <f aca="false">SQRT(acc_x^2+acc_z^2)</f>
        <v>18.7972847480025</v>
      </c>
      <c r="G365" s="450" t="n">
        <f aca="false">G364+acc_x*pas</f>
        <v>41.6938719939919</v>
      </c>
      <c r="H365" s="451" t="n">
        <f aca="false">H364+acc_z*pas</f>
        <v>168.346681485753</v>
      </c>
      <c r="I365" s="449" t="n">
        <f aca="false">SQRT(vit_x^2+vit_z^2)</f>
        <v>173.43293842035</v>
      </c>
      <c r="J365" s="450" t="n">
        <f aca="false">J364+0.5*(vit_x+G364)*pas*(K364&gt;=0)</f>
        <v>89.0152069397431</v>
      </c>
      <c r="K365" s="451" t="n">
        <f aca="false">K364+0.5*(vit_z+H364)*pas</f>
        <v>392.105392092282</v>
      </c>
      <c r="L365" s="449" t="n">
        <f aca="false">SQRT(pos_x^2+pos_z^2)</f>
        <v>402.082510903381</v>
      </c>
      <c r="M365" s="450" t="n">
        <f aca="false">IF(AND(L364&gt;L_rampe,G365&gt;0),ATAN2(G365,H365),$M$4)</f>
        <v>1.32801488589145</v>
      </c>
      <c r="N365" s="449" t="n">
        <f aca="false">DEGREES(Beta)</f>
        <v>76.0896480921278</v>
      </c>
      <c r="O365" s="438"/>
      <c r="P365" s="452" t="n">
        <f aca="false">MATCH(t-pas/2-T_ini,CdP_t)</f>
        <v>23</v>
      </c>
      <c r="Q365" s="449" t="n">
        <f aca="false">(INDEX(CdP,2,i_P+1)-INDEX(CdP,2,i_P+0))/(INDEX(CdP,1,i_P+1)-INDEX(CdP,1,i_P+0))*(t-pas/2-T_ini-INDEX(CdP,1,i_P+0))+INDEX(CdP,2,i_P+0)</f>
        <v>0</v>
      </c>
      <c r="R365" s="450" t="n">
        <f aca="false">Poussee/(g*ISP)</f>
        <v>0</v>
      </c>
      <c r="S365" s="451" t="n">
        <f aca="false">S364-Débit*pas</f>
        <v>8.652</v>
      </c>
      <c r="T365" s="449" t="n">
        <f aca="false">m*g</f>
        <v>84.87612</v>
      </c>
      <c r="U365" s="453" t="n">
        <f aca="false">IF(pos_xz&lt;L_rampe,Poids*COS(Beta),0)</f>
        <v>0</v>
      </c>
      <c r="V365" s="450" t="n">
        <f aca="false">Rho_moyen*(20000-Alt_rampe-pos_z)/(20000+Alt_rampe+pos_z)</f>
        <v>1.17789068038072</v>
      </c>
      <c r="W365" s="449" t="n">
        <f aca="false">1/2*Rho*Sref*Cx*vit_xz^2</f>
        <v>78.7778977466718</v>
      </c>
      <c r="X365" s="438"/>
      <c r="Y365" s="454" t="str">
        <f aca="false">IF(AND(pos_z&lt;=0,K364&gt;0),"Impact balistique","") &amp; IF(AND(H366&lt;0,vit_z&gt;=0),"Apogée","") &amp; IF(AND(Poussee=0,Q364&gt;0),"Fin de propulsion","") &amp; IF(AND(L366&gt;L_rampe,pos_xz&lt;=L_rampe),"Sortie de rampe","")</f>
        <v/>
      </c>
      <c r="Z365" s="455" t="str">
        <f aca="false">IF(ABS(t-T_para)&lt;pas/2,"Para","")</f>
        <v/>
      </c>
      <c r="AA365" s="456" t="str">
        <f aca="false">IF(ABS(t-T_satellite)&lt;pas/2,"Satellite","")</f>
        <v/>
      </c>
      <c r="AB365" s="444"/>
      <c r="AC365" s="452" t="e">
        <f aca="false">IF(ABS(t-ROUND(t,0))&lt;0.001,t,NA())</f>
        <v>#N/A</v>
      </c>
      <c r="AD365" s="457" t="e">
        <f aca="false">IF(ABS(t-ROUND(t,0))&lt;0.001,pos_x,NA())</f>
        <v>#N/A</v>
      </c>
      <c r="AE365" s="458" t="n">
        <f aca="false">IF(t&lt;T_para, pos_z, NA())</f>
        <v>392.105392092282</v>
      </c>
      <c r="AF365" s="444"/>
      <c r="AG365" s="450" t="n">
        <f aca="false">IF(AND(L364&lt;L_rampe,Poussee&lt;Poids*SIN(M364)),0,(-W364+Poussee)/m-Poids*SIN(M364)/m)</f>
        <v>-18.6489186272104</v>
      </c>
      <c r="AH365" s="449" t="n">
        <f aca="false">IF(AND(L364&lt;L_rampe,Poussee&lt;Poids*SIN(M364)), g*SIN(M364), (-W364+Poussee)/m)</f>
        <v>-9.1262954556874</v>
      </c>
    </row>
    <row r="366" customFormat="false" ht="12" hidden="false" customHeight="false" outlineLevel="0" collapsed="false">
      <c r="A366" s="448" t="n">
        <f aca="false">IF(B365+0.01&lt;=T_ini+ROUNDUP(Temps_fin_propu,0), 0.01, IF(K365&gt;0, 0.1, 0.0001))</f>
        <v>0.01</v>
      </c>
      <c r="B366" s="449" t="n">
        <f aca="false">B365+pas</f>
        <v>3.61999999999997</v>
      </c>
      <c r="C366" s="432"/>
      <c r="D366" s="450" t="n">
        <f aca="false">IF(AND(L365&lt;L_rampe,Poussee&lt;Poids*SIN(M365)),0,(-W365+Poussee)/m*COS(M365)-U365/m*SIN(M365))</f>
        <v>-2.18891311215128</v>
      </c>
      <c r="E366" s="451" t="n">
        <f aca="false">IF(AND(L365&lt;L_rampe,Poussee&lt;Poids*SIN(M365)),0,(-W365+Poussee)/m*SIN(M365)+U365/m*COS(M365)-Poids/m)</f>
        <v>-18.6481395362949</v>
      </c>
      <c r="F366" s="449" t="n">
        <f aca="false">SQRT(acc_x^2+acc_z^2)</f>
        <v>18.7761670416961</v>
      </c>
      <c r="G366" s="450" t="n">
        <f aca="false">G365+acc_x*pas</f>
        <v>41.6719828628704</v>
      </c>
      <c r="H366" s="451" t="n">
        <f aca="false">H365+acc_z*pas</f>
        <v>168.16020009039</v>
      </c>
      <c r="I366" s="449" t="n">
        <f aca="false">SQRT(vit_x^2+vit_z^2)</f>
        <v>173.246665336345</v>
      </c>
      <c r="J366" s="450" t="n">
        <f aca="false">J365+0.5*(vit_x+G365)*pas*(K365&gt;=0)</f>
        <v>89.4320362140274</v>
      </c>
      <c r="K366" s="451" t="n">
        <f aca="false">K365+0.5*(vit_z+H365)*pas</f>
        <v>393.787926500163</v>
      </c>
      <c r="L366" s="449" t="n">
        <f aca="false">SQRT(pos_x^2+pos_z^2)</f>
        <v>403.815576914369</v>
      </c>
      <c r="M366" s="450" t="n">
        <f aca="false">IF(AND(L365&gt;L_rampe,G366&gt;0),ATAN2(G366,H366),$M$4)</f>
        <v>1.32787875873548</v>
      </c>
      <c r="N366" s="449" t="n">
        <f aca="false">DEGREES(Beta)</f>
        <v>76.0818485806136</v>
      </c>
      <c r="O366" s="438"/>
      <c r="P366" s="452" t="n">
        <f aca="false">MATCH(t-pas/2-T_ini,CdP_t)</f>
        <v>23</v>
      </c>
      <c r="Q366" s="449" t="n">
        <f aca="false">(INDEX(CdP,2,i_P+1)-INDEX(CdP,2,i_P+0))/(INDEX(CdP,1,i_P+1)-INDEX(CdP,1,i_P+0))*(t-pas/2-T_ini-INDEX(CdP,1,i_P+0))+INDEX(CdP,2,i_P+0)</f>
        <v>0</v>
      </c>
      <c r="R366" s="450" t="n">
        <f aca="false">Poussee/(g*ISP)</f>
        <v>0</v>
      </c>
      <c r="S366" s="451" t="n">
        <f aca="false">S365-Débit*pas</f>
        <v>8.652</v>
      </c>
      <c r="T366" s="449" t="n">
        <f aca="false">m*g</f>
        <v>84.87612</v>
      </c>
      <c r="U366" s="453" t="n">
        <f aca="false">IF(pos_xz&lt;L_rampe,Poids*COS(Beta),0)</f>
        <v>0</v>
      </c>
      <c r="V366" s="450" t="n">
        <f aca="false">Rho_moyen*(20000-Alt_rampe-pos_z)/(20000+Alt_rampe+pos_z)</f>
        <v>1.17769243637315</v>
      </c>
      <c r="W366" s="449" t="n">
        <f aca="false">1/2*Rho*Sref*Cx*vit_xz^2</f>
        <v>78.5955379579533</v>
      </c>
      <c r="X366" s="438"/>
      <c r="Y366" s="454" t="str">
        <f aca="false">IF(AND(pos_z&lt;=0,K365&gt;0),"Impact balistique","") &amp; IF(AND(H367&lt;0,vit_z&gt;=0),"Apogée","") &amp; IF(AND(Poussee=0,Q365&gt;0),"Fin de propulsion","") &amp; IF(AND(L367&gt;L_rampe,pos_xz&lt;=L_rampe),"Sortie de rampe","")</f>
        <v/>
      </c>
      <c r="Z366" s="455" t="str">
        <f aca="false">IF(ABS(t-T_para)&lt;pas/2,"Para","")</f>
        <v/>
      </c>
      <c r="AA366" s="456" t="str">
        <f aca="false">IF(ABS(t-T_satellite)&lt;pas/2,"Satellite","")</f>
        <v/>
      </c>
      <c r="AB366" s="444"/>
      <c r="AC366" s="452" t="e">
        <f aca="false">IF(ABS(t-ROUND(t,0))&lt;0.001,t,NA())</f>
        <v>#N/A</v>
      </c>
      <c r="AD366" s="457" t="e">
        <f aca="false">IF(ABS(t-ROUND(t,0))&lt;0.001,pos_x,NA())</f>
        <v>#N/A</v>
      </c>
      <c r="AE366" s="458" t="n">
        <f aca="false">IF(t&lt;T_para, pos_z, NA())</f>
        <v>393.787926500163</v>
      </c>
      <c r="AF366" s="444"/>
      <c r="AG366" s="450" t="n">
        <f aca="false">IF(AND(L365&lt;L_rampe,Poussee&lt;Poids*SIN(M365)),0,(-W365+Poussee)/m-Poids*SIN(M365)/m)</f>
        <v>-18.6274689188075</v>
      </c>
      <c r="AH366" s="449" t="n">
        <f aca="false">IF(AND(L365&lt;L_rampe,Poussee&lt;Poids*SIN(M365)), g*SIN(M365), (-W365+Poussee)/m)</f>
        <v>-9.10516617506609</v>
      </c>
    </row>
    <row r="367" customFormat="false" ht="12" hidden="false" customHeight="false" outlineLevel="0" collapsed="false">
      <c r="A367" s="448" t="n">
        <f aca="false">IF(B366+0.01&lt;=T_ini+ROUNDUP(Temps_fin_propu,0), 0.01, IF(K366&gt;0, 0.1, 0.0001))</f>
        <v>0.01</v>
      </c>
      <c r="B367" s="449" t="n">
        <f aca="false">B366+pas</f>
        <v>3.62999999999997</v>
      </c>
      <c r="C367" s="432"/>
      <c r="D367" s="450" t="n">
        <f aca="false">IF(AND(L366&lt;L_rampe,Poussee&lt;Poids*SIN(M366)),0,(-W366+Poussee)/m*COS(M366)-U366/m*SIN(M366))</f>
        <v>-2.1850463907082</v>
      </c>
      <c r="E367" s="451" t="n">
        <f aca="false">IF(AND(L366&lt;L_rampe,Poussee&lt;Poids*SIN(M366)),0,(-W366+Poussee)/m*SIN(M366)+U366/m*COS(M366)-Poids/m)</f>
        <v>-18.6273831199106</v>
      </c>
      <c r="F367" s="449" t="n">
        <f aca="false">SQRT(acc_x^2+acc_z^2)</f>
        <v>18.7551014293572</v>
      </c>
      <c r="G367" s="450" t="n">
        <f aca="false">G366+acc_x*pas</f>
        <v>41.6501323989634</v>
      </c>
      <c r="H367" s="451" t="n">
        <f aca="false">H366+acc_z*pas</f>
        <v>167.973926259191</v>
      </c>
      <c r="I367" s="449" t="n">
        <f aca="false">SQRT(vit_x^2+vit_z^2)</f>
        <v>173.060606238911</v>
      </c>
      <c r="J367" s="450" t="n">
        <f aca="false">J366+0.5*(vit_x+G366)*pas*(K366&gt;=0)</f>
        <v>89.8486467903366</v>
      </c>
      <c r="K367" s="451" t="n">
        <f aca="false">K366+0.5*(vit_z+H366)*pas</f>
        <v>395.468597131911</v>
      </c>
      <c r="L367" s="449" t="n">
        <f aca="false">SQRT(pos_x^2+pos_z^2)</f>
        <v>405.546779851026</v>
      </c>
      <c r="M367" s="450" t="n">
        <f aca="false">IF(AND(L366&gt;L_rampe,G367&gt;0),ATAN2(G367,H367),$M$4)</f>
        <v>1.32774241032802</v>
      </c>
      <c r="N367" s="449" t="n">
        <f aca="false">DEGREES(Beta)</f>
        <v>76.0740363923228</v>
      </c>
      <c r="O367" s="438"/>
      <c r="P367" s="452" t="n">
        <f aca="false">MATCH(t-pas/2-T_ini,CdP_t)</f>
        <v>23</v>
      </c>
      <c r="Q367" s="449" t="n">
        <f aca="false">(INDEX(CdP,2,i_P+1)-INDEX(CdP,2,i_P+0))/(INDEX(CdP,1,i_P+1)-INDEX(CdP,1,i_P+0))*(t-pas/2-T_ini-INDEX(CdP,1,i_P+0))+INDEX(CdP,2,i_P+0)</f>
        <v>0</v>
      </c>
      <c r="R367" s="450" t="n">
        <f aca="false">Poussee/(g*ISP)</f>
        <v>0</v>
      </c>
      <c r="S367" s="451" t="n">
        <f aca="false">S366-Débit*pas</f>
        <v>8.652</v>
      </c>
      <c r="T367" s="449" t="n">
        <f aca="false">m*g</f>
        <v>84.87612</v>
      </c>
      <c r="U367" s="453" t="n">
        <f aca="false">IF(pos_xz&lt;L_rampe,Poids*COS(Beta),0)</f>
        <v>0</v>
      </c>
      <c r="V367" s="450" t="n">
        <f aca="false">Rho_moyen*(20000-Alt_rampe-pos_z)/(20000+Alt_rampe+pos_z)</f>
        <v>1.17749444461848</v>
      </c>
      <c r="W367" s="449" t="n">
        <f aca="false">1/2*Rho*Sref*Cx*vit_xz^2</f>
        <v>78.4136274998415</v>
      </c>
      <c r="X367" s="438"/>
      <c r="Y367" s="454" t="str">
        <f aca="false">IF(AND(pos_z&lt;=0,K366&gt;0),"Impact balistique","") &amp; IF(AND(H368&lt;0,vit_z&gt;=0),"Apogée","") &amp; IF(AND(Poussee=0,Q366&gt;0),"Fin de propulsion","") &amp; IF(AND(L368&gt;L_rampe,pos_xz&lt;=L_rampe),"Sortie de rampe","")</f>
        <v/>
      </c>
      <c r="Z367" s="455" t="str">
        <f aca="false">IF(ABS(t-T_para)&lt;pas/2,"Para","")</f>
        <v/>
      </c>
      <c r="AA367" s="456" t="str">
        <f aca="false">IF(ABS(t-T_satellite)&lt;pas/2,"Satellite","")</f>
        <v/>
      </c>
      <c r="AB367" s="444"/>
      <c r="AC367" s="452" t="e">
        <f aca="false">IF(ABS(t-ROUND(t,0))&lt;0.001,t,NA())</f>
        <v>#N/A</v>
      </c>
      <c r="AD367" s="457" t="e">
        <f aca="false">IF(ABS(t-ROUND(t,0))&lt;0.001,pos_x,NA())</f>
        <v>#N/A</v>
      </c>
      <c r="AE367" s="458" t="n">
        <f aca="false">IF(t&lt;T_para, pos_z, NA())</f>
        <v>395.468597131911</v>
      </c>
      <c r="AF367" s="444"/>
      <c r="AG367" s="450" t="n">
        <f aca="false">IF(AND(L366&lt;L_rampe,Poussee&lt;Poids*SIN(M366)),0,(-W366+Poussee)/m-Poids*SIN(M366)/m)</f>
        <v>-18.6060706109098</v>
      </c>
      <c r="AH367" s="449" t="n">
        <f aca="false">IF(AND(L366&lt;L_rampe,Poussee&lt;Poids*SIN(M366)), g*SIN(M366), (-W366+Poussee)/m)</f>
        <v>-9.08408899190398</v>
      </c>
    </row>
    <row r="368" customFormat="false" ht="12" hidden="false" customHeight="false" outlineLevel="0" collapsed="false">
      <c r="A368" s="448" t="n">
        <f aca="false">IF(B367+0.01&lt;=T_ini+ROUNDUP(Temps_fin_propu,0), 0.01, IF(K367&gt;0, 0.1, 0.0001))</f>
        <v>0.01</v>
      </c>
      <c r="B368" s="449" t="n">
        <f aca="false">B367+pas</f>
        <v>3.63999999999997</v>
      </c>
      <c r="C368" s="432"/>
      <c r="D368" s="450" t="n">
        <f aca="false">IF(AND(L367&lt;L_rampe,Poussee&lt;Poids*SIN(M367)),0,(-W367+Poussee)/m*COS(M367)-U367/m*SIN(M367))</f>
        <v>-2.18118850394507</v>
      </c>
      <c r="E368" s="451" t="n">
        <f aca="false">IF(AND(L367&lt;L_rampe,Poussee&lt;Poids*SIN(M367)),0,(-W367+Poussee)/m*SIN(M367)+U367/m*COS(M367)-Poids/m)</f>
        <v>-18.6066778450909</v>
      </c>
      <c r="F368" s="449" t="n">
        <f aca="false">SQRT(acc_x^2+acc_z^2)</f>
        <v>18.7340877472254</v>
      </c>
      <c r="G368" s="450" t="n">
        <f aca="false">G367+acc_x*pas</f>
        <v>41.6283205139239</v>
      </c>
      <c r="H368" s="451" t="n">
        <f aca="false">H367+acc_z*pas</f>
        <v>167.78785948074</v>
      </c>
      <c r="I368" s="449" t="n">
        <f aca="false">SQRT(vit_x^2+vit_z^2)</f>
        <v>172.874760615709</v>
      </c>
      <c r="J368" s="450" t="n">
        <f aca="false">J367+0.5*(vit_x+G367)*pas*(K367&gt;=0)</f>
        <v>90.265039054901</v>
      </c>
      <c r="K368" s="451" t="n">
        <f aca="false">K367+0.5*(vit_z+H367)*pas</f>
        <v>397.147406060611</v>
      </c>
      <c r="L368" s="449" t="n">
        <f aca="false">SQRT(pos_x^2+pos_z^2)</f>
        <v>407.276121834136</v>
      </c>
      <c r="M368" s="450" t="n">
        <f aca="false">IF(AND(L367&gt;L_rampe,G368&gt;0),ATAN2(G368,H368),$M$4)</f>
        <v>1.32760584024213</v>
      </c>
      <c r="N368" s="449" t="n">
        <f aca="false">DEGREES(Beta)</f>
        <v>76.0662115027933</v>
      </c>
      <c r="O368" s="438"/>
      <c r="P368" s="452" t="n">
        <f aca="false">MATCH(t-pas/2-T_ini,CdP_t)</f>
        <v>23</v>
      </c>
      <c r="Q368" s="449" t="n">
        <f aca="false">(INDEX(CdP,2,i_P+1)-INDEX(CdP,2,i_P+0))/(INDEX(CdP,1,i_P+1)-INDEX(CdP,1,i_P+0))*(t-pas/2-T_ini-INDEX(CdP,1,i_P+0))+INDEX(CdP,2,i_P+0)</f>
        <v>0</v>
      </c>
      <c r="R368" s="450" t="n">
        <f aca="false">Poussee/(g*ISP)</f>
        <v>0</v>
      </c>
      <c r="S368" s="451" t="n">
        <f aca="false">S367-Débit*pas</f>
        <v>8.652</v>
      </c>
      <c r="T368" s="449" t="n">
        <f aca="false">m*g</f>
        <v>84.87612</v>
      </c>
      <c r="U368" s="453" t="n">
        <f aca="false">IF(pos_xz&lt;L_rampe,Poids*COS(Beta),0)</f>
        <v>0</v>
      </c>
      <c r="V368" s="450" t="n">
        <f aca="false">Rho_moyen*(20000-Alt_rampe-pos_z)/(20000+Alt_rampe+pos_z)</f>
        <v>1.17729670475591</v>
      </c>
      <c r="W368" s="449" t="n">
        <f aca="false">1/2*Rho*Sref*Cx*vit_xz^2</f>
        <v>78.2321649614367</v>
      </c>
      <c r="X368" s="438"/>
      <c r="Y368" s="454" t="str">
        <f aca="false">IF(AND(pos_z&lt;=0,K367&gt;0),"Impact balistique","") &amp; IF(AND(H369&lt;0,vit_z&gt;=0),"Apogée","") &amp; IF(AND(Poussee=0,Q367&gt;0),"Fin de propulsion","") &amp; IF(AND(L369&gt;L_rampe,pos_xz&lt;=L_rampe),"Sortie de rampe","")</f>
        <v/>
      </c>
      <c r="Z368" s="455" t="str">
        <f aca="false">IF(ABS(t-T_para)&lt;pas/2,"Para","")</f>
        <v/>
      </c>
      <c r="AA368" s="456" t="str">
        <f aca="false">IF(ABS(t-T_satellite)&lt;pas/2,"Satellite","")</f>
        <v/>
      </c>
      <c r="AB368" s="444"/>
      <c r="AC368" s="452" t="e">
        <f aca="false">IF(ABS(t-ROUND(t,0))&lt;0.001,t,NA())</f>
        <v>#N/A</v>
      </c>
      <c r="AD368" s="457" t="e">
        <f aca="false">IF(ABS(t-ROUND(t,0))&lt;0.001,pos_x,NA())</f>
        <v>#N/A</v>
      </c>
      <c r="AE368" s="458" t="n">
        <f aca="false">IF(t&lt;T_para, pos_z, NA())</f>
        <v>397.147406060611</v>
      </c>
      <c r="AF368" s="444"/>
      <c r="AG368" s="450" t="n">
        <f aca="false">IF(AND(L367&lt;L_rampe,Poussee&lt;Poids*SIN(M367)),0,(-W367+Poussee)/m-Poids*SIN(M367)/m)</f>
        <v>-18.5847235379272</v>
      </c>
      <c r="AH368" s="449" t="n">
        <f aca="false">IF(AND(L367&lt;L_rampe,Poussee&lt;Poids*SIN(M367)), g*SIN(M367), (-W367+Poussee)/m)</f>
        <v>-9.06306374246897</v>
      </c>
    </row>
    <row r="369" customFormat="false" ht="12" hidden="false" customHeight="false" outlineLevel="0" collapsed="false">
      <c r="A369" s="448" t="n">
        <f aca="false">IF(B368+0.01&lt;=T_ini+ROUNDUP(Temps_fin_propu,0), 0.01, IF(K368&gt;0, 0.1, 0.0001))</f>
        <v>0.01</v>
      </c>
      <c r="B369" s="449" t="n">
        <f aca="false">B368+pas</f>
        <v>3.64999999999997</v>
      </c>
      <c r="C369" s="432"/>
      <c r="D369" s="450" t="n">
        <f aca="false">IF(AND(L368&lt;L_rampe,Poussee&lt;Poids*SIN(M368)),0,(-W368+Poussee)/m*COS(M368)-U368/m*SIN(M368))</f>
        <v>-2.17733942347667</v>
      </c>
      <c r="E369" s="451" t="n">
        <f aca="false">IF(AND(L368&lt;L_rampe,Poussee&lt;Poids*SIN(M368)),0,(-W368+Poussee)/m*SIN(M368)+U368/m*COS(M368)-Poids/m)</f>
        <v>-18.586023551226</v>
      </c>
      <c r="F369" s="449" t="n">
        <f aca="false">SQRT(acc_x^2+acc_z^2)</f>
        <v>18.7131258322</v>
      </c>
      <c r="G369" s="450" t="n">
        <f aca="false">G368+acc_x*pas</f>
        <v>41.6065471196891</v>
      </c>
      <c r="H369" s="451" t="n">
        <f aca="false">H368+acc_z*pas</f>
        <v>167.601999245228</v>
      </c>
      <c r="I369" s="449" t="n">
        <f aca="false">SQRT(vit_x^2+vit_z^2)</f>
        <v>172.689127956048</v>
      </c>
      <c r="J369" s="450" t="n">
        <f aca="false">J368+0.5*(vit_x+G368)*pas*(K368&gt;=0)</f>
        <v>90.6812133930691</v>
      </c>
      <c r="K369" s="451" t="n">
        <f aca="false">K368+0.5*(vit_z+H368)*pas</f>
        <v>398.824355354241</v>
      </c>
      <c r="L369" s="449" t="n">
        <f aca="false">SQRT(pos_x^2+pos_z^2)</f>
        <v>409.003604979424</v>
      </c>
      <c r="M369" s="450" t="n">
        <f aca="false">IF(AND(L368&gt;L_rampe,G369&gt;0),ATAN2(G369,H369),$M$4)</f>
        <v>1.32746904804968</v>
      </c>
      <c r="N369" s="449" t="n">
        <f aca="false">DEGREES(Beta)</f>
        <v>76.0583738874956</v>
      </c>
      <c r="O369" s="438"/>
      <c r="P369" s="452" t="n">
        <f aca="false">MATCH(t-pas/2-T_ini,CdP_t)</f>
        <v>23</v>
      </c>
      <c r="Q369" s="449" t="n">
        <f aca="false">(INDEX(CdP,2,i_P+1)-INDEX(CdP,2,i_P+0))/(INDEX(CdP,1,i_P+1)-INDEX(CdP,1,i_P+0))*(t-pas/2-T_ini-INDEX(CdP,1,i_P+0))+INDEX(CdP,2,i_P+0)</f>
        <v>0</v>
      </c>
      <c r="R369" s="450" t="n">
        <f aca="false">Poussee/(g*ISP)</f>
        <v>0</v>
      </c>
      <c r="S369" s="451" t="n">
        <f aca="false">S368-Débit*pas</f>
        <v>8.652</v>
      </c>
      <c r="T369" s="449" t="n">
        <f aca="false">m*g</f>
        <v>84.87612</v>
      </c>
      <c r="U369" s="453" t="n">
        <f aca="false">IF(pos_xz&lt;L_rampe,Poids*COS(Beta),0)</f>
        <v>0</v>
      </c>
      <c r="V369" s="450" t="n">
        <f aca="false">Rho_moyen*(20000-Alt_rampe-pos_z)/(20000+Alt_rampe+pos_z)</f>
        <v>1.17709921642561</v>
      </c>
      <c r="W369" s="449" t="n">
        <f aca="false">1/2*Rho*Sref*Cx*vit_xz^2</f>
        <v>78.0511489375221</v>
      </c>
      <c r="X369" s="438"/>
      <c r="Y369" s="454" t="str">
        <f aca="false">IF(AND(pos_z&lt;=0,K368&gt;0),"Impact balistique","") &amp; IF(AND(H370&lt;0,vit_z&gt;=0),"Apogée","") &amp; IF(AND(Poussee=0,Q368&gt;0),"Fin de propulsion","") &amp; IF(AND(L370&gt;L_rampe,pos_xz&lt;=L_rampe),"Sortie de rampe","")</f>
        <v/>
      </c>
      <c r="Z369" s="455" t="str">
        <f aca="false">IF(ABS(t-T_para)&lt;pas/2,"Para","")</f>
        <v/>
      </c>
      <c r="AA369" s="456" t="str">
        <f aca="false">IF(ABS(t-T_satellite)&lt;pas/2,"Satellite","")</f>
        <v/>
      </c>
      <c r="AB369" s="444"/>
      <c r="AC369" s="452" t="e">
        <f aca="false">IF(ABS(t-ROUND(t,0))&lt;0.001,t,NA())</f>
        <v>#N/A</v>
      </c>
      <c r="AD369" s="457" t="e">
        <f aca="false">IF(ABS(t-ROUND(t,0))&lt;0.001,pos_x,NA())</f>
        <v>#N/A</v>
      </c>
      <c r="AE369" s="458" t="n">
        <f aca="false">IF(t&lt;T_para, pos_z, NA())</f>
        <v>398.824355354241</v>
      </c>
      <c r="AF369" s="444"/>
      <c r="AG369" s="450" t="n">
        <f aca="false">IF(AND(L368&lt;L_rampe,Poussee&lt;Poids*SIN(M368)),0,(-W368+Poussee)/m-Poids*SIN(M368)/m)</f>
        <v>-18.5634275349233</v>
      </c>
      <c r="AH369" s="449" t="n">
        <f aca="false">IF(AND(L368&lt;L_rampe,Poussee&lt;Poids*SIN(M368)), g*SIN(M368), (-W368+Poussee)/m)</f>
        <v>-9.04209026368894</v>
      </c>
    </row>
    <row r="370" customFormat="false" ht="12" hidden="false" customHeight="false" outlineLevel="0" collapsed="false">
      <c r="A370" s="448" t="n">
        <f aca="false">IF(B369+0.01&lt;=T_ini+ROUNDUP(Temps_fin_propu,0), 0.01, IF(K369&gt;0, 0.1, 0.0001))</f>
        <v>0.01</v>
      </c>
      <c r="B370" s="449" t="n">
        <f aca="false">B369+pas</f>
        <v>3.65999999999997</v>
      </c>
      <c r="C370" s="432"/>
      <c r="D370" s="450" t="n">
        <f aca="false">IF(AND(L369&lt;L_rampe,Poussee&lt;Poids*SIN(M369)),0,(-W369+Poussee)/m*COS(M369)-U369/m*SIN(M369))</f>
        <v>-2.17349912103163</v>
      </c>
      <c r="E370" s="451" t="n">
        <f aca="false">IF(AND(L369&lt;L_rampe,Poussee&lt;Poids*SIN(M369)),0,(-W369+Poussee)/m*SIN(M369)+U369/m*COS(M369)-Poids/m)</f>
        <v>-18.5654200783525</v>
      </c>
      <c r="F370" s="449" t="n">
        <f aca="false">SQRT(acc_x^2+acc_z^2)</f>
        <v>18.6922155218375</v>
      </c>
      <c r="G370" s="450" t="n">
        <f aca="false">G369+acc_x*pas</f>
        <v>41.5848121284788</v>
      </c>
      <c r="H370" s="451" t="n">
        <f aca="false">H369+acc_z*pas</f>
        <v>167.416345044445</v>
      </c>
      <c r="I370" s="449" t="n">
        <f aca="false">SQRT(vit_x^2+vit_z^2)</f>
        <v>172.503707750881</v>
      </c>
      <c r="J370" s="450" t="n">
        <f aca="false">J369+0.5*(vit_x+G369)*pas*(K369&gt;=0)</f>
        <v>91.0971701893099</v>
      </c>
      <c r="K370" s="451" t="n">
        <f aca="false">K369+0.5*(vit_z+H369)*pas</f>
        <v>400.499447075689</v>
      </c>
      <c r="L370" s="449" t="n">
        <f aca="false">SQRT(pos_x^2+pos_z^2)</f>
        <v>410.729231397563</v>
      </c>
      <c r="M370" s="450" t="n">
        <f aca="false">IF(AND(L369&gt;L_rampe,G370&gt;0),ATAN2(G370,H370),$M$4)</f>
        <v>1.32733203332136</v>
      </c>
      <c r="N370" s="449" t="n">
        <f aca="false">DEGREES(Beta)</f>
        <v>76.0505235218322</v>
      </c>
      <c r="O370" s="438"/>
      <c r="P370" s="452" t="n">
        <f aca="false">MATCH(t-pas/2-T_ini,CdP_t)</f>
        <v>23</v>
      </c>
      <c r="Q370" s="449" t="n">
        <f aca="false">(INDEX(CdP,2,i_P+1)-INDEX(CdP,2,i_P+0))/(INDEX(CdP,1,i_P+1)-INDEX(CdP,1,i_P+0))*(t-pas/2-T_ini-INDEX(CdP,1,i_P+0))+INDEX(CdP,2,i_P+0)</f>
        <v>0</v>
      </c>
      <c r="R370" s="450" t="n">
        <f aca="false">Poussee/(g*ISP)</f>
        <v>0</v>
      </c>
      <c r="S370" s="451" t="n">
        <f aca="false">S369-Débit*pas</f>
        <v>8.652</v>
      </c>
      <c r="T370" s="449" t="n">
        <f aca="false">m*g</f>
        <v>84.87612</v>
      </c>
      <c r="U370" s="453" t="n">
        <f aca="false">IF(pos_xz&lt;L_rampe,Poids*COS(Beta),0)</f>
        <v>0</v>
      </c>
      <c r="V370" s="450" t="n">
        <f aca="false">Rho_moyen*(20000-Alt_rampe-pos_z)/(20000+Alt_rampe+pos_z)</f>
        <v>1.17690197926865</v>
      </c>
      <c r="W370" s="449" t="n">
        <f aca="false">1/2*Rho*Sref*Cx*vit_xz^2</f>
        <v>77.8705780285363</v>
      </c>
      <c r="X370" s="438"/>
      <c r="Y370" s="454" t="str">
        <f aca="false">IF(AND(pos_z&lt;=0,K369&gt;0),"Impact balistique","") &amp; IF(AND(H371&lt;0,vit_z&gt;=0),"Apogée","") &amp; IF(AND(Poussee=0,Q369&gt;0),"Fin de propulsion","") &amp; IF(AND(L371&gt;L_rampe,pos_xz&lt;=L_rampe),"Sortie de rampe","")</f>
        <v/>
      </c>
      <c r="Z370" s="455" t="str">
        <f aca="false">IF(ABS(t-T_para)&lt;pas/2,"Para","")</f>
        <v/>
      </c>
      <c r="AA370" s="456" t="str">
        <f aca="false">IF(ABS(t-T_satellite)&lt;pas/2,"Satellite","")</f>
        <v/>
      </c>
      <c r="AB370" s="444"/>
      <c r="AC370" s="452" t="e">
        <f aca="false">IF(ABS(t-ROUND(t,0))&lt;0.001,t,NA())</f>
        <v>#N/A</v>
      </c>
      <c r="AD370" s="457" t="e">
        <f aca="false">IF(ABS(t-ROUND(t,0))&lt;0.001,pos_x,NA())</f>
        <v>#N/A</v>
      </c>
      <c r="AE370" s="458" t="n">
        <f aca="false">IF(t&lt;T_para, pos_z, NA())</f>
        <v>400.499447075689</v>
      </c>
      <c r="AF370" s="444"/>
      <c r="AG370" s="450" t="n">
        <f aca="false">IF(AND(L369&lt;L_rampe,Poussee&lt;Poids*SIN(M369)),0,(-W369+Poussee)/m-Poids*SIN(M369)/m)</f>
        <v>-18.5421824376121</v>
      </c>
      <c r="AH370" s="449" t="n">
        <f aca="false">IF(AND(L369&lt;L_rampe,Poussee&lt;Poids*SIN(M369)), g*SIN(M369), (-W369+Poussee)/m)</f>
        <v>-9.02116839314864</v>
      </c>
    </row>
    <row r="371" customFormat="false" ht="12" hidden="false" customHeight="false" outlineLevel="0" collapsed="false">
      <c r="A371" s="448" t="n">
        <f aca="false">IF(B370+0.01&lt;=T_ini+ROUNDUP(Temps_fin_propu,0), 0.01, IF(K370&gt;0, 0.1, 0.0001))</f>
        <v>0.01</v>
      </c>
      <c r="B371" s="449" t="n">
        <f aca="false">B370+pas</f>
        <v>3.66999999999997</v>
      </c>
      <c r="C371" s="432"/>
      <c r="D371" s="450" t="n">
        <f aca="false">IF(AND(L370&lt;L_rampe,Poussee&lt;Poids*SIN(M370)),0,(-W370+Poussee)/m*COS(M370)-U370/m*SIN(M370))</f>
        <v>-2.1696675684519</v>
      </c>
      <c r="E371" s="451" t="n">
        <f aca="false">IF(AND(L370&lt;L_rampe,Poussee&lt;Poids*SIN(M370)),0,(-W370+Poussee)/m*SIN(M370)+U370/m*COS(M370)-Poids/m)</f>
        <v>-18.5448672671513</v>
      </c>
      <c r="F371" s="449" t="n">
        <f aca="false">SQRT(acc_x^2+acc_z^2)</f>
        <v>18.6713566543476</v>
      </c>
      <c r="G371" s="450" t="n">
        <f aca="false">G370+acc_x*pas</f>
        <v>41.5631154527943</v>
      </c>
      <c r="H371" s="451" t="n">
        <f aca="false">H370+acc_z*pas</f>
        <v>167.230896371773</v>
      </c>
      <c r="I371" s="449" t="n">
        <f aca="false">SQRT(vit_x^2+vit_z^2)</f>
        <v>172.318499492797</v>
      </c>
      <c r="J371" s="450" t="n">
        <f aca="false">J370+0.5*(vit_x+G370)*pas*(K370&gt;=0)</f>
        <v>91.5129098272163</v>
      </c>
      <c r="K371" s="451" t="n">
        <f aca="false">K370+0.5*(vit_z+H370)*pas</f>
        <v>402.17268328277</v>
      </c>
      <c r="L371" s="449" t="n">
        <f aca="false">SQRT(pos_x^2+pos_z^2)</f>
        <v>412.453003194191</v>
      </c>
      <c r="M371" s="450" t="n">
        <f aca="false">IF(AND(L370&gt;L_rampe,G371&gt;0),ATAN2(G371,H371),$M$4)</f>
        <v>1.32719479562669</v>
      </c>
      <c r="N371" s="449" t="n">
        <f aca="false">DEGREES(Beta)</f>
        <v>76.0426603811371</v>
      </c>
      <c r="O371" s="438"/>
      <c r="P371" s="452" t="n">
        <f aca="false">MATCH(t-pas/2-T_ini,CdP_t)</f>
        <v>23</v>
      </c>
      <c r="Q371" s="449" t="n">
        <f aca="false">(INDEX(CdP,2,i_P+1)-INDEX(CdP,2,i_P+0))/(INDEX(CdP,1,i_P+1)-INDEX(CdP,1,i_P+0))*(t-pas/2-T_ini-INDEX(CdP,1,i_P+0))+INDEX(CdP,2,i_P+0)</f>
        <v>0</v>
      </c>
      <c r="R371" s="450" t="n">
        <f aca="false">Poussee/(g*ISP)</f>
        <v>0</v>
      </c>
      <c r="S371" s="451" t="n">
        <f aca="false">S370-Débit*pas</f>
        <v>8.652</v>
      </c>
      <c r="T371" s="449" t="n">
        <f aca="false">m*g</f>
        <v>84.87612</v>
      </c>
      <c r="U371" s="453" t="n">
        <f aca="false">IF(pos_xz&lt;L_rampe,Poids*COS(Beta),0)</f>
        <v>0</v>
      </c>
      <c r="V371" s="450" t="n">
        <f aca="false">Rho_moyen*(20000-Alt_rampe-pos_z)/(20000+Alt_rampe+pos_z)</f>
        <v>1.17670499292705</v>
      </c>
      <c r="W371" s="449" t="n">
        <f aca="false">1/2*Rho*Sref*Cx*vit_xz^2</f>
        <v>77.6904508405463</v>
      </c>
      <c r="X371" s="438"/>
      <c r="Y371" s="454" t="str">
        <f aca="false">IF(AND(pos_z&lt;=0,K370&gt;0),"Impact balistique","") &amp; IF(AND(H372&lt;0,vit_z&gt;=0),"Apogée","") &amp; IF(AND(Poussee=0,Q370&gt;0),"Fin de propulsion","") &amp; IF(AND(L372&gt;L_rampe,pos_xz&lt;=L_rampe),"Sortie de rampe","")</f>
        <v/>
      </c>
      <c r="Z371" s="455" t="str">
        <f aca="false">IF(ABS(t-T_para)&lt;pas/2,"Para","")</f>
        <v/>
      </c>
      <c r="AA371" s="456" t="str">
        <f aca="false">IF(ABS(t-T_satellite)&lt;pas/2,"Satellite","")</f>
        <v/>
      </c>
      <c r="AB371" s="444"/>
      <c r="AC371" s="452" t="e">
        <f aca="false">IF(ABS(t-ROUND(t,0))&lt;0.001,t,NA())</f>
        <v>#N/A</v>
      </c>
      <c r="AD371" s="457" t="e">
        <f aca="false">IF(ABS(t-ROUND(t,0))&lt;0.001,pos_x,NA())</f>
        <v>#N/A</v>
      </c>
      <c r="AE371" s="458" t="n">
        <f aca="false">IF(t&lt;T_para, pos_z, NA())</f>
        <v>402.17268328277</v>
      </c>
      <c r="AF371" s="444"/>
      <c r="AG371" s="450" t="n">
        <f aca="false">IF(AND(L370&lt;L_rampe,Poussee&lt;Poids*SIN(M370)),0,(-W370+Poussee)/m-Poids*SIN(M370)/m)</f>
        <v>-18.5209880823552</v>
      </c>
      <c r="AH371" s="449" t="n">
        <f aca="false">IF(AND(L370&lt;L_rampe,Poussee&lt;Poids*SIN(M370)), g*SIN(M370), (-W370+Poussee)/m)</f>
        <v>-9.00029796908649</v>
      </c>
    </row>
    <row r="372" customFormat="false" ht="12" hidden="false" customHeight="false" outlineLevel="0" collapsed="false">
      <c r="A372" s="448" t="n">
        <f aca="false">IF(B371+0.01&lt;=T_ini+ROUNDUP(Temps_fin_propu,0), 0.01, IF(K371&gt;0, 0.1, 0.0001))</f>
        <v>0.01</v>
      </c>
      <c r="B372" s="449" t="n">
        <f aca="false">B371+pas</f>
        <v>3.67999999999997</v>
      </c>
      <c r="C372" s="432"/>
      <c r="D372" s="450" t="n">
        <f aca="false">IF(AND(L371&lt;L_rampe,Poussee&lt;Poids*SIN(M371)),0,(-W371+Poussee)/m*COS(M371)-U371/m*SIN(M371))</f>
        <v>-2.16584473769214</v>
      </c>
      <c r="E372" s="451" t="n">
        <f aca="false">IF(AND(L371&lt;L_rampe,Poussee&lt;Poids*SIN(M371)),0,(-W371+Poussee)/m*SIN(M371)+U371/m*COS(M371)-Poids/m)</f>
        <v>-18.5243649589433</v>
      </c>
      <c r="F372" s="449" t="n">
        <f aca="false">SQRT(acc_x^2+acc_z^2)</f>
        <v>18.6505490685908</v>
      </c>
      <c r="G372" s="450" t="n">
        <f aca="false">G371+acc_x*pas</f>
        <v>41.5414570054174</v>
      </c>
      <c r="H372" s="451" t="n">
        <f aca="false">H371+acc_z*pas</f>
        <v>167.045652722184</v>
      </c>
      <c r="I372" s="449" t="n">
        <f aca="false">SQRT(vit_x^2+vit_z^2)</f>
        <v>172.133502676014</v>
      </c>
      <c r="J372" s="450" t="n">
        <f aca="false">J371+0.5*(vit_x+G371)*pas*(K371&gt;=0)</f>
        <v>91.9284326895074</v>
      </c>
      <c r="K372" s="451" t="n">
        <f aca="false">K371+0.5*(vit_z+H371)*pas</f>
        <v>403.84406602824</v>
      </c>
      <c r="L372" s="449" t="n">
        <f aca="false">SQRT(pos_x^2+pos_z^2)</f>
        <v>414.174922469928</v>
      </c>
      <c r="M372" s="450" t="n">
        <f aca="false">IF(AND(L371&gt;L_rampe,G372&gt;0),ATAN2(G372,H372),$M$4)</f>
        <v>1.32705733453396</v>
      </c>
      <c r="N372" s="449" t="n">
        <f aca="false">DEGREES(Beta)</f>
        <v>76.0347844406763</v>
      </c>
      <c r="O372" s="438"/>
      <c r="P372" s="452" t="n">
        <f aca="false">MATCH(t-pas/2-T_ini,CdP_t)</f>
        <v>23</v>
      </c>
      <c r="Q372" s="449" t="n">
        <f aca="false">(INDEX(CdP,2,i_P+1)-INDEX(CdP,2,i_P+0))/(INDEX(CdP,1,i_P+1)-INDEX(CdP,1,i_P+0))*(t-pas/2-T_ini-INDEX(CdP,1,i_P+0))+INDEX(CdP,2,i_P+0)</f>
        <v>0</v>
      </c>
      <c r="R372" s="450" t="n">
        <f aca="false">Poussee/(g*ISP)</f>
        <v>0</v>
      </c>
      <c r="S372" s="451" t="n">
        <f aca="false">S371-Débit*pas</f>
        <v>8.652</v>
      </c>
      <c r="T372" s="449" t="n">
        <f aca="false">m*g</f>
        <v>84.87612</v>
      </c>
      <c r="U372" s="453" t="n">
        <f aca="false">IF(pos_xz&lt;L_rampe,Poids*COS(Beta),0)</f>
        <v>0</v>
      </c>
      <c r="V372" s="450" t="n">
        <f aca="false">Rho_moyen*(20000-Alt_rampe-pos_z)/(20000+Alt_rampe+pos_z)</f>
        <v>1.17650825704375</v>
      </c>
      <c r="W372" s="449" t="n">
        <f aca="false">1/2*Rho*Sref*Cx*vit_xz^2</f>
        <v>77.5107659852202</v>
      </c>
      <c r="X372" s="438"/>
      <c r="Y372" s="454" t="str">
        <f aca="false">IF(AND(pos_z&lt;=0,K371&gt;0),"Impact balistique","") &amp; IF(AND(H373&lt;0,vit_z&gt;=0),"Apogée","") &amp; IF(AND(Poussee=0,Q371&gt;0),"Fin de propulsion","") &amp; IF(AND(L373&gt;L_rampe,pos_xz&lt;=L_rampe),"Sortie de rampe","")</f>
        <v/>
      </c>
      <c r="Z372" s="455" t="str">
        <f aca="false">IF(ABS(t-T_para)&lt;pas/2,"Para","")</f>
        <v/>
      </c>
      <c r="AA372" s="456" t="str">
        <f aca="false">IF(ABS(t-T_satellite)&lt;pas/2,"Satellite","")</f>
        <v/>
      </c>
      <c r="AB372" s="444"/>
      <c r="AC372" s="452" t="e">
        <f aca="false">IF(ABS(t-ROUND(t,0))&lt;0.001,t,NA())</f>
        <v>#N/A</v>
      </c>
      <c r="AD372" s="457" t="e">
        <f aca="false">IF(ABS(t-ROUND(t,0))&lt;0.001,pos_x,NA())</f>
        <v>#N/A</v>
      </c>
      <c r="AE372" s="458" t="n">
        <f aca="false">IF(t&lt;T_para, pos_z, NA())</f>
        <v>403.84406602824</v>
      </c>
      <c r="AF372" s="444"/>
      <c r="AG372" s="450" t="n">
        <f aca="false">IF(AND(L371&lt;L_rampe,Poussee&lt;Poids*SIN(M371)),0,(-W371+Poussee)/m-Poids*SIN(M371)/m)</f>
        <v>-18.4998443061578</v>
      </c>
      <c r="AH372" s="449" t="n">
        <f aca="false">IF(AND(L371&lt;L_rampe,Poussee&lt;Poids*SIN(M371)), g*SIN(M371), (-W371+Poussee)/m)</f>
        <v>-8.97947883039139</v>
      </c>
    </row>
    <row r="373" customFormat="false" ht="12" hidden="false" customHeight="false" outlineLevel="0" collapsed="false">
      <c r="A373" s="448" t="n">
        <f aca="false">IF(B372+0.01&lt;=T_ini+ROUNDUP(Temps_fin_propu,0), 0.01, IF(K372&gt;0, 0.1, 0.0001))</f>
        <v>0.01</v>
      </c>
      <c r="B373" s="449" t="n">
        <f aca="false">B372+pas</f>
        <v>3.68999999999997</v>
      </c>
      <c r="C373" s="432"/>
      <c r="D373" s="450" t="n">
        <f aca="false">IF(AND(L372&lt;L_rampe,Poussee&lt;Poids*SIN(M372)),0,(-W372+Poussee)/m*COS(M372)-U372/m*SIN(M372))</f>
        <v>-2.16203060081924</v>
      </c>
      <c r="E373" s="451" t="n">
        <f aca="false">IF(AND(L372&lt;L_rampe,Poussee&lt;Poids*SIN(M372)),0,(-W372+Poussee)/m*SIN(M372)+U372/m*COS(M372)-Poids/m)</f>
        <v>-18.5039129956873</v>
      </c>
      <c r="F373" s="449" t="n">
        <f aca="false">SQRT(acc_x^2+acc_z^2)</f>
        <v>18.6297926040749</v>
      </c>
      <c r="G373" s="450" t="n">
        <f aca="false">G372+acc_x*pas</f>
        <v>41.5198366994092</v>
      </c>
      <c r="H373" s="451" t="n">
        <f aca="false">H372+acc_z*pas</f>
        <v>166.860613592227</v>
      </c>
      <c r="I373" s="449" t="n">
        <f aca="false">SQRT(vit_x^2+vit_z^2)</f>
        <v>171.948716796375</v>
      </c>
      <c r="J373" s="450" t="n">
        <f aca="false">J372+0.5*(vit_x+G372)*pas*(K372&gt;=0)</f>
        <v>92.3437391580315</v>
      </c>
      <c r="K373" s="451" t="n">
        <f aca="false">K372+0.5*(vit_z+H372)*pas</f>
        <v>405.513597359812</v>
      </c>
      <c r="L373" s="449" t="n">
        <f aca="false">SQRT(pos_x^2+pos_z^2)</f>
        <v>415.894991320384</v>
      </c>
      <c r="M373" s="450" t="n">
        <f aca="false">IF(AND(L372&gt;L_rampe,G373&gt;0),ATAN2(G373,H373),$M$4)</f>
        <v>1.32691964961028</v>
      </c>
      <c r="N373" s="449" t="n">
        <f aca="false">DEGREES(Beta)</f>
        <v>76.026895675647</v>
      </c>
      <c r="O373" s="438"/>
      <c r="P373" s="452" t="n">
        <f aca="false">MATCH(t-pas/2-T_ini,CdP_t)</f>
        <v>23</v>
      </c>
      <c r="Q373" s="449" t="n">
        <f aca="false">(INDEX(CdP,2,i_P+1)-INDEX(CdP,2,i_P+0))/(INDEX(CdP,1,i_P+1)-INDEX(CdP,1,i_P+0))*(t-pas/2-T_ini-INDEX(CdP,1,i_P+0))+INDEX(CdP,2,i_P+0)</f>
        <v>0</v>
      </c>
      <c r="R373" s="450" t="n">
        <f aca="false">Poussee/(g*ISP)</f>
        <v>0</v>
      </c>
      <c r="S373" s="451" t="n">
        <f aca="false">S372-Débit*pas</f>
        <v>8.652</v>
      </c>
      <c r="T373" s="449" t="n">
        <f aca="false">m*g</f>
        <v>84.87612</v>
      </c>
      <c r="U373" s="453" t="n">
        <f aca="false">IF(pos_xz&lt;L_rampe,Poids*COS(Beta),0)</f>
        <v>0</v>
      </c>
      <c r="V373" s="450" t="n">
        <f aca="false">Rho_moyen*(20000-Alt_rampe-pos_z)/(20000+Alt_rampe+pos_z)</f>
        <v>1.17631177126264</v>
      </c>
      <c r="W373" s="449" t="n">
        <f aca="false">1/2*Rho*Sref*Cx*vit_xz^2</f>
        <v>77.3315220798001</v>
      </c>
      <c r="X373" s="438"/>
      <c r="Y373" s="454" t="str">
        <f aca="false">IF(AND(pos_z&lt;=0,K372&gt;0),"Impact balistique","") &amp; IF(AND(H374&lt;0,vit_z&gt;=0),"Apogée","") &amp; IF(AND(Poussee=0,Q372&gt;0),"Fin de propulsion","") &amp; IF(AND(L374&gt;L_rampe,pos_xz&lt;=L_rampe),"Sortie de rampe","")</f>
        <v/>
      </c>
      <c r="Z373" s="455" t="str">
        <f aca="false">IF(ABS(t-T_para)&lt;pas/2,"Para","")</f>
        <v/>
      </c>
      <c r="AA373" s="456" t="str">
        <f aca="false">IF(ABS(t-T_satellite)&lt;pas/2,"Satellite","")</f>
        <v/>
      </c>
      <c r="AB373" s="444"/>
      <c r="AC373" s="452" t="e">
        <f aca="false">IF(ABS(t-ROUND(t,0))&lt;0.001,t,NA())</f>
        <v>#N/A</v>
      </c>
      <c r="AD373" s="457" t="e">
        <f aca="false">IF(ABS(t-ROUND(t,0))&lt;0.001,pos_x,NA())</f>
        <v>#N/A</v>
      </c>
      <c r="AE373" s="458" t="n">
        <f aca="false">IF(t&lt;T_para, pos_z, NA())</f>
        <v>405.513597359812</v>
      </c>
      <c r="AF373" s="444"/>
      <c r="AG373" s="450" t="n">
        <f aca="false">IF(AND(L372&lt;L_rampe,Poussee&lt;Poids*SIN(M372)),0,(-W372+Poussee)/m-Poids*SIN(M372)/m)</f>
        <v>-18.4787509466665</v>
      </c>
      <c r="AH373" s="449" t="n">
        <f aca="false">IF(AND(L372&lt;L_rampe,Poussee&lt;Poids*SIN(M372)), g*SIN(M372), (-W372+Poussee)/m)</f>
        <v>-8.95871081659965</v>
      </c>
    </row>
    <row r="374" customFormat="false" ht="12" hidden="false" customHeight="false" outlineLevel="0" collapsed="false">
      <c r="A374" s="448" t="n">
        <f aca="false">IF(B373+0.01&lt;=T_ini+ROUNDUP(Temps_fin_propu,0), 0.01, IF(K373&gt;0, 0.1, 0.0001))</f>
        <v>0.01</v>
      </c>
      <c r="B374" s="449" t="n">
        <f aca="false">B373+pas</f>
        <v>3.69999999999997</v>
      </c>
      <c r="C374" s="432"/>
      <c r="D374" s="450" t="n">
        <f aca="false">IF(AND(L373&lt;L_rampe,Poussee&lt;Poids*SIN(M373)),0,(-W373+Poussee)/m*COS(M373)-U373/m*SIN(M373))</f>
        <v>-2.15822513001172</v>
      </c>
      <c r="E374" s="451" t="n">
        <f aca="false">IF(AND(L373&lt;L_rampe,Poussee&lt;Poids*SIN(M373)),0,(-W373+Poussee)/m*SIN(M373)+U373/m*COS(M373)-Poids/m)</f>
        <v>-18.4835112199765</v>
      </c>
      <c r="F374" s="449" t="n">
        <f aca="false">SQRT(acc_x^2+acc_z^2)</f>
        <v>18.6090871009519</v>
      </c>
      <c r="G374" s="450" t="n">
        <f aca="false">G373+acc_x*pas</f>
        <v>41.4982544481091</v>
      </c>
      <c r="H374" s="451" t="n">
        <f aca="false">H373+acc_z*pas</f>
        <v>166.675778480027</v>
      </c>
      <c r="I374" s="449" t="n">
        <f aca="false">SQRT(vit_x^2+vit_z^2)</f>
        <v>171.76414135134</v>
      </c>
      <c r="J374" s="450" t="n">
        <f aca="false">J373+0.5*(vit_x+G373)*pas*(K373&gt;=0)</f>
        <v>92.7588296137691</v>
      </c>
      <c r="K374" s="451" t="n">
        <f aca="false">K373+0.5*(vit_z+H373)*pas</f>
        <v>407.181279320173</v>
      </c>
      <c r="L374" s="449" t="n">
        <f aca="false">SQRT(pos_x^2+pos_z^2)</f>
        <v>417.613211836179</v>
      </c>
      <c r="M374" s="450" t="n">
        <f aca="false">IF(AND(L373&gt;L_rampe,G374&gt;0),ATAN2(G374,H374),$M$4)</f>
        <v>1.32678174042156</v>
      </c>
      <c r="N374" s="449" t="n">
        <f aca="false">DEGREES(Beta)</f>
        <v>76.0189940611774</v>
      </c>
      <c r="O374" s="438"/>
      <c r="P374" s="452" t="n">
        <f aca="false">MATCH(t-pas/2-T_ini,CdP_t)</f>
        <v>23</v>
      </c>
      <c r="Q374" s="449" t="n">
        <f aca="false">(INDEX(CdP,2,i_P+1)-INDEX(CdP,2,i_P+0))/(INDEX(CdP,1,i_P+1)-INDEX(CdP,1,i_P+0))*(t-pas/2-T_ini-INDEX(CdP,1,i_P+0))+INDEX(CdP,2,i_P+0)</f>
        <v>0</v>
      </c>
      <c r="R374" s="450" t="n">
        <f aca="false">Poussee/(g*ISP)</f>
        <v>0</v>
      </c>
      <c r="S374" s="451" t="n">
        <f aca="false">S373-Débit*pas</f>
        <v>8.652</v>
      </c>
      <c r="T374" s="449" t="n">
        <f aca="false">m*g</f>
        <v>84.87612</v>
      </c>
      <c r="U374" s="453" t="n">
        <f aca="false">IF(pos_xz&lt;L_rampe,Poids*COS(Beta),0)</f>
        <v>0</v>
      </c>
      <c r="V374" s="450" t="n">
        <f aca="false">Rho_moyen*(20000-Alt_rampe-pos_z)/(20000+Alt_rampe+pos_z)</f>
        <v>1.17611553522851</v>
      </c>
      <c r="W374" s="449" t="n">
        <f aca="false">1/2*Rho*Sref*Cx*vit_xz^2</f>
        <v>77.1527177470752</v>
      </c>
      <c r="X374" s="438"/>
      <c r="Y374" s="454" t="str">
        <f aca="false">IF(AND(pos_z&lt;=0,K373&gt;0),"Impact balistique","") &amp; IF(AND(H375&lt;0,vit_z&gt;=0),"Apogée","") &amp; IF(AND(Poussee=0,Q373&gt;0),"Fin de propulsion","") &amp; IF(AND(L375&gt;L_rampe,pos_xz&lt;=L_rampe),"Sortie de rampe","")</f>
        <v/>
      </c>
      <c r="Z374" s="455" t="str">
        <f aca="false">IF(ABS(t-T_para)&lt;pas/2,"Para","")</f>
        <v/>
      </c>
      <c r="AA374" s="456" t="str">
        <f aca="false">IF(ABS(t-T_satellite)&lt;pas/2,"Satellite","")</f>
        <v/>
      </c>
      <c r="AB374" s="444"/>
      <c r="AC374" s="452" t="e">
        <f aca="false">IF(ABS(t-ROUND(t,0))&lt;0.001,t,NA())</f>
        <v>#N/A</v>
      </c>
      <c r="AD374" s="457" t="e">
        <f aca="false">IF(ABS(t-ROUND(t,0))&lt;0.001,pos_x,NA())</f>
        <v>#N/A</v>
      </c>
      <c r="AE374" s="458" t="n">
        <f aca="false">IF(t&lt;T_para, pos_z, NA())</f>
        <v>407.181279320173</v>
      </c>
      <c r="AF374" s="444"/>
      <c r="AG374" s="450" t="n">
        <f aca="false">IF(AND(L373&lt;L_rampe,Poussee&lt;Poids*SIN(M373)),0,(-W373+Poussee)/m-Poids*SIN(M373)/m)</f>
        <v>-18.4577078421655</v>
      </c>
      <c r="AH374" s="449" t="n">
        <f aca="false">IF(AND(L373&lt;L_rampe,Poussee&lt;Poids*SIN(M373)), g*SIN(M373), (-W373+Poussee)/m)</f>
        <v>-8.93799376789183</v>
      </c>
    </row>
    <row r="375" customFormat="false" ht="12" hidden="false" customHeight="false" outlineLevel="0" collapsed="false">
      <c r="A375" s="448" t="n">
        <f aca="false">IF(B374+0.01&lt;=T_ini+ROUNDUP(Temps_fin_propu,0), 0.01, IF(K374&gt;0, 0.1, 0.0001))</f>
        <v>0.01</v>
      </c>
      <c r="B375" s="449" t="n">
        <f aca="false">B374+pas</f>
        <v>3.70999999999997</v>
      </c>
      <c r="C375" s="432"/>
      <c r="D375" s="450" t="n">
        <f aca="false">IF(AND(L374&lt;L_rampe,Poussee&lt;Poids*SIN(M374)),0,(-W374+Poussee)/m*COS(M374)-U374/m*SIN(M374))</f>
        <v>-2.15442829755926</v>
      </c>
      <c r="E375" s="451" t="n">
        <f aca="false">IF(AND(L374&lt;L_rampe,Poussee&lt;Poids*SIN(M374)),0,(-W374+Poussee)/m*SIN(M374)+U374/m*COS(M374)-Poids/m)</f>
        <v>-18.4631594750355</v>
      </c>
      <c r="F375" s="449" t="n">
        <f aca="false">SQRT(acc_x^2+acc_z^2)</f>
        <v>18.5884324000147</v>
      </c>
      <c r="G375" s="450" t="n">
        <f aca="false">G374+acc_x*pas</f>
        <v>41.4767101651335</v>
      </c>
      <c r="H375" s="451" t="n">
        <f aca="false">H374+acc_z*pas</f>
        <v>166.491146885277</v>
      </c>
      <c r="I375" s="449" t="n">
        <f aca="false">SQRT(vit_x^2+vit_z^2)</f>
        <v>171.579775839978</v>
      </c>
      <c r="J375" s="450" t="n">
        <f aca="false">J374+0.5*(vit_x+G374)*pas*(K374&gt;=0)</f>
        <v>93.1737044368353</v>
      </c>
      <c r="K375" s="451" t="n">
        <f aca="false">K374+0.5*(vit_z+H374)*pas</f>
        <v>408.847113947</v>
      </c>
      <c r="L375" s="449" t="n">
        <f aca="false">SQRT(pos_x^2+pos_z^2)</f>
        <v>419.329586102953</v>
      </c>
      <c r="M375" s="450" t="n">
        <f aca="false">IF(AND(L374&gt;L_rampe,G375&gt;0),ATAN2(G375,H375),$M$4)</f>
        <v>1.32664360653251</v>
      </c>
      <c r="N375" s="449" t="n">
        <f aca="false">DEGREES(Beta)</f>
        <v>76.0110795723269</v>
      </c>
      <c r="O375" s="438"/>
      <c r="P375" s="452" t="n">
        <f aca="false">MATCH(t-pas/2-T_ini,CdP_t)</f>
        <v>23</v>
      </c>
      <c r="Q375" s="449" t="n">
        <f aca="false">(INDEX(CdP,2,i_P+1)-INDEX(CdP,2,i_P+0))/(INDEX(CdP,1,i_P+1)-INDEX(CdP,1,i_P+0))*(t-pas/2-T_ini-INDEX(CdP,1,i_P+0))+INDEX(CdP,2,i_P+0)</f>
        <v>0</v>
      </c>
      <c r="R375" s="450" t="n">
        <f aca="false">Poussee/(g*ISP)</f>
        <v>0</v>
      </c>
      <c r="S375" s="451" t="n">
        <f aca="false">S374-Débit*pas</f>
        <v>8.652</v>
      </c>
      <c r="T375" s="449" t="n">
        <f aca="false">m*g</f>
        <v>84.87612</v>
      </c>
      <c r="U375" s="453" t="n">
        <f aca="false">IF(pos_xz&lt;L_rampe,Poids*COS(Beta),0)</f>
        <v>0</v>
      </c>
      <c r="V375" s="450" t="n">
        <f aca="false">Rho_moyen*(20000-Alt_rampe-pos_z)/(20000+Alt_rampe+pos_z)</f>
        <v>1.17591954858706</v>
      </c>
      <c r="W375" s="449" t="n">
        <f aca="false">1/2*Rho*Sref*Cx*vit_xz^2</f>
        <v>76.9743516153555</v>
      </c>
      <c r="X375" s="438"/>
      <c r="Y375" s="454" t="str">
        <f aca="false">IF(AND(pos_z&lt;=0,K374&gt;0),"Impact balistique","") &amp; IF(AND(H376&lt;0,vit_z&gt;=0),"Apogée","") &amp; IF(AND(Poussee=0,Q374&gt;0),"Fin de propulsion","") &amp; IF(AND(L376&gt;L_rampe,pos_xz&lt;=L_rampe),"Sortie de rampe","")</f>
        <v/>
      </c>
      <c r="Z375" s="455" t="str">
        <f aca="false">IF(ABS(t-T_para)&lt;pas/2,"Para","")</f>
        <v/>
      </c>
      <c r="AA375" s="456" t="str">
        <f aca="false">IF(ABS(t-T_satellite)&lt;pas/2,"Satellite","")</f>
        <v/>
      </c>
      <c r="AB375" s="444"/>
      <c r="AC375" s="452" t="e">
        <f aca="false">IF(ABS(t-ROUND(t,0))&lt;0.001,t,NA())</f>
        <v>#N/A</v>
      </c>
      <c r="AD375" s="457" t="e">
        <f aca="false">IF(ABS(t-ROUND(t,0))&lt;0.001,pos_x,NA())</f>
        <v>#N/A</v>
      </c>
      <c r="AE375" s="458" t="n">
        <f aca="false">IF(t&lt;T_para, pos_z, NA())</f>
        <v>408.847113947</v>
      </c>
      <c r="AF375" s="444"/>
      <c r="AG375" s="450" t="n">
        <f aca="false">IF(AND(L374&lt;L_rampe,Poussee&lt;Poids*SIN(M374)),0,(-W374+Poussee)/m-Poids*SIN(M374)/m)</f>
        <v>-18.4367148315736</v>
      </c>
      <c r="AH375" s="449" t="n">
        <f aca="false">IF(AND(L374&lt;L_rampe,Poussee&lt;Poids*SIN(M374)), g*SIN(M374), (-W374+Poussee)/m)</f>
        <v>-8.9173275250896</v>
      </c>
    </row>
    <row r="376" customFormat="false" ht="12" hidden="false" customHeight="false" outlineLevel="0" collapsed="false">
      <c r="A376" s="448" t="n">
        <f aca="false">IF(B375+0.01&lt;=T_ini+ROUNDUP(Temps_fin_propu,0), 0.01, IF(K375&gt;0, 0.1, 0.0001))</f>
        <v>0.01</v>
      </c>
      <c r="B376" s="449" t="n">
        <f aca="false">B375+pas</f>
        <v>3.71999999999996</v>
      </c>
      <c r="C376" s="432"/>
      <c r="D376" s="450" t="n">
        <f aca="false">IF(AND(L375&lt;L_rampe,Poussee&lt;Poids*SIN(M375)),0,(-W375+Poussee)/m*COS(M375)-U375/m*SIN(M375))</f>
        <v>-2.15064007586209</v>
      </c>
      <c r="E376" s="451" t="n">
        <f aca="false">IF(AND(L375&lt;L_rampe,Poussee&lt;Poids*SIN(M375)),0,(-W375+Poussee)/m*SIN(M375)+U375/m*COS(M375)-Poids/m)</f>
        <v>-18.4428576047171</v>
      </c>
      <c r="F376" s="449" t="n">
        <f aca="false">SQRT(acc_x^2+acc_z^2)</f>
        <v>18.5678283426946</v>
      </c>
      <c r="G376" s="450" t="n">
        <f aca="false">G375+acc_x*pas</f>
        <v>41.4552037643749</v>
      </c>
      <c r="H376" s="451" t="n">
        <f aca="false">H375+acc_z*pas</f>
        <v>166.306718309229</v>
      </c>
      <c r="I376" s="449" t="n">
        <f aca="false">SQRT(vit_x^2+vit_z^2)</f>
        <v>171.395619762966</v>
      </c>
      <c r="J376" s="450" t="n">
        <f aca="false">J375+0.5*(vit_x+G375)*pas*(K375&gt;=0)</f>
        <v>93.5883640064828</v>
      </c>
      <c r="K376" s="451" t="n">
        <f aca="false">K375+0.5*(vit_z+H375)*pas</f>
        <v>410.511103272972</v>
      </c>
      <c r="L376" s="449" t="n">
        <f aca="false">SQRT(pos_x^2+pos_z^2)</f>
        <v>421.044116201382</v>
      </c>
      <c r="M376" s="450" t="n">
        <f aca="false">IF(AND(L375&gt;L_rampe,G376&gt;0),ATAN2(G376,H376),$M$4)</f>
        <v>1.32650524750661</v>
      </c>
      <c r="N376" s="449" t="n">
        <f aca="false">DEGREES(Beta)</f>
        <v>76.0031521840852</v>
      </c>
      <c r="O376" s="438"/>
      <c r="P376" s="452" t="n">
        <f aca="false">MATCH(t-pas/2-T_ini,CdP_t)</f>
        <v>23</v>
      </c>
      <c r="Q376" s="449" t="n">
        <f aca="false">(INDEX(CdP,2,i_P+1)-INDEX(CdP,2,i_P+0))/(INDEX(CdP,1,i_P+1)-INDEX(CdP,1,i_P+0))*(t-pas/2-T_ini-INDEX(CdP,1,i_P+0))+INDEX(CdP,2,i_P+0)</f>
        <v>0</v>
      </c>
      <c r="R376" s="450" t="n">
        <f aca="false">Poussee/(g*ISP)</f>
        <v>0</v>
      </c>
      <c r="S376" s="451" t="n">
        <f aca="false">S375-Débit*pas</f>
        <v>8.652</v>
      </c>
      <c r="T376" s="449" t="n">
        <f aca="false">m*g</f>
        <v>84.87612</v>
      </c>
      <c r="U376" s="453" t="n">
        <f aca="false">IF(pos_xz&lt;L_rampe,Poids*COS(Beta),0)</f>
        <v>0</v>
      </c>
      <c r="V376" s="450" t="n">
        <f aca="false">Rho_moyen*(20000-Alt_rampe-pos_z)/(20000+Alt_rampe+pos_z)</f>
        <v>1.17572381098494</v>
      </c>
      <c r="W376" s="449" t="n">
        <f aca="false">1/2*Rho*Sref*Cx*vit_xz^2</f>
        <v>76.7964223184449</v>
      </c>
      <c r="X376" s="438"/>
      <c r="Y376" s="454" t="str">
        <f aca="false">IF(AND(pos_z&lt;=0,K375&gt;0),"Impact balistique","") &amp; IF(AND(H377&lt;0,vit_z&gt;=0),"Apogée","") &amp; IF(AND(Poussee=0,Q375&gt;0),"Fin de propulsion","") &amp; IF(AND(L377&gt;L_rampe,pos_xz&lt;=L_rampe),"Sortie de rampe","")</f>
        <v/>
      </c>
      <c r="Z376" s="455" t="str">
        <f aca="false">IF(ABS(t-T_para)&lt;pas/2,"Para","")</f>
        <v/>
      </c>
      <c r="AA376" s="456" t="str">
        <f aca="false">IF(ABS(t-T_satellite)&lt;pas/2,"Satellite","")</f>
        <v/>
      </c>
      <c r="AB376" s="444"/>
      <c r="AC376" s="452" t="e">
        <f aca="false">IF(ABS(t-ROUND(t,0))&lt;0.001,t,NA())</f>
        <v>#N/A</v>
      </c>
      <c r="AD376" s="457" t="e">
        <f aca="false">IF(ABS(t-ROUND(t,0))&lt;0.001,pos_x,NA())</f>
        <v>#N/A</v>
      </c>
      <c r="AE376" s="458" t="n">
        <f aca="false">IF(t&lt;T_para, pos_z, NA())</f>
        <v>410.511103272972</v>
      </c>
      <c r="AF376" s="444"/>
      <c r="AG376" s="450" t="n">
        <f aca="false">IF(AND(L375&lt;L_rampe,Poussee&lt;Poids*SIN(M375)),0,(-W375+Poussee)/m-Poids*SIN(M375)/m)</f>
        <v>-18.4157717544413</v>
      </c>
      <c r="AH376" s="449" t="n">
        <f aca="false">IF(AND(L375&lt;L_rampe,Poussee&lt;Poids*SIN(M375)), g*SIN(M375), (-W375+Poussee)/m)</f>
        <v>-8.89671192965274</v>
      </c>
    </row>
    <row r="377" customFormat="false" ht="12" hidden="false" customHeight="false" outlineLevel="0" collapsed="false">
      <c r="A377" s="448" t="n">
        <f aca="false">IF(B376+0.01&lt;=T_ini+ROUNDUP(Temps_fin_propu,0), 0.01, IF(K376&gt;0, 0.1, 0.0001))</f>
        <v>0.01</v>
      </c>
      <c r="B377" s="449" t="n">
        <f aca="false">B376+pas</f>
        <v>3.72999999999996</v>
      </c>
      <c r="C377" s="432"/>
      <c r="D377" s="450" t="n">
        <f aca="false">IF(AND(L376&lt;L_rampe,Poussee&lt;Poids*SIN(M376)),0,(-W376+Poussee)/m*COS(M376)-U376/m*SIN(M376))</f>
        <v>-2.14686043743053</v>
      </c>
      <c r="E377" s="451" t="n">
        <f aca="false">IF(AND(L376&lt;L_rampe,Poussee&lt;Poids*SIN(M376)),0,(-W376+Poussee)/m*SIN(M376)+U376/m*COS(M376)-Poids/m)</f>
        <v>-18.4226054534995</v>
      </c>
      <c r="F377" s="449" t="n">
        <f aca="false">SQRT(acc_x^2+acc_z^2)</f>
        <v>18.5472747710577</v>
      </c>
      <c r="G377" s="450" t="n">
        <f aca="false">G376+acc_x*pas</f>
        <v>41.4337351600006</v>
      </c>
      <c r="H377" s="451" t="n">
        <f aca="false">H376+acc_z*pas</f>
        <v>166.122492254694</v>
      </c>
      <c r="I377" s="449" t="n">
        <f aca="false">SQRT(vit_x^2+vit_z^2)</f>
        <v>171.211672622576</v>
      </c>
      <c r="J377" s="450" t="n">
        <f aca="false">J376+0.5*(vit_x+G376)*pas*(K376&gt;=0)</f>
        <v>94.0028087011047</v>
      </c>
      <c r="K377" s="451" t="n">
        <f aca="false">K376+0.5*(vit_z+H376)*pas</f>
        <v>412.173249325792</v>
      </c>
      <c r="L377" s="449" t="n">
        <f aca="false">SQRT(pos_x^2+pos_z^2)</f>
        <v>422.756804207192</v>
      </c>
      <c r="M377" s="450" t="n">
        <f aca="false">IF(AND(L376&gt;L_rampe,G377&gt;0),ATAN2(G377,H377),$M$4)</f>
        <v>1.32636666290614</v>
      </c>
      <c r="N377" s="449" t="n">
        <f aca="false">DEGREES(Beta)</f>
        <v>75.995211871373</v>
      </c>
      <c r="O377" s="438"/>
      <c r="P377" s="452" t="n">
        <f aca="false">MATCH(t-pas/2-T_ini,CdP_t)</f>
        <v>23</v>
      </c>
      <c r="Q377" s="449" t="n">
        <f aca="false">(INDEX(CdP,2,i_P+1)-INDEX(CdP,2,i_P+0))/(INDEX(CdP,1,i_P+1)-INDEX(CdP,1,i_P+0))*(t-pas/2-T_ini-INDEX(CdP,1,i_P+0))+INDEX(CdP,2,i_P+0)</f>
        <v>0</v>
      </c>
      <c r="R377" s="450" t="n">
        <f aca="false">Poussee/(g*ISP)</f>
        <v>0</v>
      </c>
      <c r="S377" s="451" t="n">
        <f aca="false">S376-Débit*pas</f>
        <v>8.652</v>
      </c>
      <c r="T377" s="449" t="n">
        <f aca="false">m*g</f>
        <v>84.87612</v>
      </c>
      <c r="U377" s="453" t="n">
        <f aca="false">IF(pos_xz&lt;L_rampe,Poids*COS(Beta),0)</f>
        <v>0</v>
      </c>
      <c r="V377" s="450" t="n">
        <f aca="false">Rho_moyen*(20000-Alt_rampe-pos_z)/(20000+Alt_rampe+pos_z)</f>
        <v>1.1755283220697</v>
      </c>
      <c r="W377" s="449" t="n">
        <f aca="false">1/2*Rho*Sref*Cx*vit_xz^2</f>
        <v>76.6189284956149</v>
      </c>
      <c r="X377" s="438"/>
      <c r="Y377" s="454" t="str">
        <f aca="false">IF(AND(pos_z&lt;=0,K376&gt;0),"Impact balistique","") &amp; IF(AND(H378&lt;0,vit_z&gt;=0),"Apogée","") &amp; IF(AND(Poussee=0,Q376&gt;0),"Fin de propulsion","") &amp; IF(AND(L378&gt;L_rampe,pos_xz&lt;=L_rampe),"Sortie de rampe","")</f>
        <v/>
      </c>
      <c r="Z377" s="455" t="str">
        <f aca="false">IF(ABS(t-T_para)&lt;pas/2,"Para","")</f>
        <v/>
      </c>
      <c r="AA377" s="456" t="str">
        <f aca="false">IF(ABS(t-T_satellite)&lt;pas/2,"Satellite","")</f>
        <v/>
      </c>
      <c r="AB377" s="444"/>
      <c r="AC377" s="452" t="e">
        <f aca="false">IF(ABS(t-ROUND(t,0))&lt;0.001,t,NA())</f>
        <v>#N/A</v>
      </c>
      <c r="AD377" s="457" t="e">
        <f aca="false">IF(ABS(t-ROUND(t,0))&lt;0.001,pos_x,NA())</f>
        <v>#N/A</v>
      </c>
      <c r="AE377" s="458" t="n">
        <f aca="false">IF(t&lt;T_para, pos_z, NA())</f>
        <v>412.173249325792</v>
      </c>
      <c r="AF377" s="444"/>
      <c r="AG377" s="450" t="n">
        <f aca="false">IF(AND(L376&lt;L_rampe,Poussee&lt;Poids*SIN(M376)),0,(-W376+Poussee)/m-Poids*SIN(M376)/m)</f>
        <v>-18.3948784509475</v>
      </c>
      <c r="AH377" s="449" t="n">
        <f aca="false">IF(AND(L376&lt;L_rampe,Poussee&lt;Poids*SIN(M376)), g*SIN(M376), (-W376+Poussee)/m)</f>
        <v>-8.87614682367602</v>
      </c>
    </row>
    <row r="378" customFormat="false" ht="12" hidden="false" customHeight="false" outlineLevel="0" collapsed="false">
      <c r="A378" s="448" t="n">
        <f aca="false">IF(B377+0.01&lt;=T_ini+ROUNDUP(Temps_fin_propu,0), 0.01, IF(K377&gt;0, 0.1, 0.0001))</f>
        <v>0.01</v>
      </c>
      <c r="B378" s="449" t="n">
        <f aca="false">B377+pas</f>
        <v>3.73999999999996</v>
      </c>
      <c r="C378" s="432"/>
      <c r="D378" s="450" t="n">
        <f aca="false">IF(AND(L377&lt;L_rampe,Poussee&lt;Poids*SIN(M377)),0,(-W377+Poussee)/m*COS(M377)-U377/m*SIN(M377))</f>
        <v>-2.1430893548844</v>
      </c>
      <c r="E378" s="451" t="n">
        <f aca="false">IF(AND(L377&lt;L_rampe,Poussee&lt;Poids*SIN(M377)),0,(-W377+Poussee)/m*SIN(M377)+U377/m*COS(M377)-Poids/m)</f>
        <v>-18.4024028664834</v>
      </c>
      <c r="F378" s="449" t="n">
        <f aca="false">SQRT(acc_x^2+acc_z^2)</f>
        <v>18.526771527802</v>
      </c>
      <c r="G378" s="450" t="n">
        <f aca="false">G377+acc_x*pas</f>
        <v>41.4123042664517</v>
      </c>
      <c r="H378" s="451" t="n">
        <f aca="false">H377+acc_z*pas</f>
        <v>165.93846822603</v>
      </c>
      <c r="I378" s="449" t="n">
        <f aca="false">SQRT(vit_x^2+vit_z^2)</f>
        <v>171.027933922673</v>
      </c>
      <c r="J378" s="450" t="n">
        <f aca="false">J377+0.5*(vit_x+G377)*pas*(K377&gt;=0)</f>
        <v>94.417038898237</v>
      </c>
      <c r="K378" s="451" t="n">
        <f aca="false">K377+0.5*(vit_z+H377)*pas</f>
        <v>413.833554128195</v>
      </c>
      <c r="L378" s="449" t="n">
        <f aca="false">SQRT(pos_x^2+pos_z^2)</f>
        <v>424.467652191171</v>
      </c>
      <c r="M378" s="450" t="n">
        <f aca="false">IF(AND(L377&gt;L_rampe,G378&gt;0),ATAN2(G378,H378),$M$4)</f>
        <v>1.32622785229217</v>
      </c>
      <c r="N378" s="449" t="n">
        <f aca="false">DEGREES(Beta)</f>
        <v>75.9872586090408</v>
      </c>
      <c r="O378" s="438"/>
      <c r="P378" s="452" t="n">
        <f aca="false">MATCH(t-pas/2-T_ini,CdP_t)</f>
        <v>23</v>
      </c>
      <c r="Q378" s="449" t="n">
        <f aca="false">(INDEX(CdP,2,i_P+1)-INDEX(CdP,2,i_P+0))/(INDEX(CdP,1,i_P+1)-INDEX(CdP,1,i_P+0))*(t-pas/2-T_ini-INDEX(CdP,1,i_P+0))+INDEX(CdP,2,i_P+0)</f>
        <v>0</v>
      </c>
      <c r="R378" s="450" t="n">
        <f aca="false">Poussee/(g*ISP)</f>
        <v>0</v>
      </c>
      <c r="S378" s="451" t="n">
        <f aca="false">S377-Débit*pas</f>
        <v>8.652</v>
      </c>
      <c r="T378" s="449" t="n">
        <f aca="false">m*g</f>
        <v>84.87612</v>
      </c>
      <c r="U378" s="453" t="n">
        <f aca="false">IF(pos_xz&lt;L_rampe,Poids*COS(Beta),0)</f>
        <v>0</v>
      </c>
      <c r="V378" s="450" t="n">
        <f aca="false">Rho_moyen*(20000-Alt_rampe-pos_z)/(20000+Alt_rampe+pos_z)</f>
        <v>1.17533308148978</v>
      </c>
      <c r="W378" s="449" t="n">
        <f aca="false">1/2*Rho*Sref*Cx*vit_xz^2</f>
        <v>76.4418687915784</v>
      </c>
      <c r="X378" s="438"/>
      <c r="Y378" s="454" t="str">
        <f aca="false">IF(AND(pos_z&lt;=0,K377&gt;0),"Impact balistique","") &amp; IF(AND(H379&lt;0,vit_z&gt;=0),"Apogée","") &amp; IF(AND(Poussee=0,Q377&gt;0),"Fin de propulsion","") &amp; IF(AND(L379&gt;L_rampe,pos_xz&lt;=L_rampe),"Sortie de rampe","")</f>
        <v/>
      </c>
      <c r="Z378" s="455" t="str">
        <f aca="false">IF(ABS(t-T_para)&lt;pas/2,"Para","")</f>
        <v/>
      </c>
      <c r="AA378" s="456" t="str">
        <f aca="false">IF(ABS(t-T_satellite)&lt;pas/2,"Satellite","")</f>
        <v/>
      </c>
      <c r="AB378" s="444"/>
      <c r="AC378" s="452" t="e">
        <f aca="false">IF(ABS(t-ROUND(t,0))&lt;0.001,t,NA())</f>
        <v>#N/A</v>
      </c>
      <c r="AD378" s="457" t="e">
        <f aca="false">IF(ABS(t-ROUND(t,0))&lt;0.001,pos_x,NA())</f>
        <v>#N/A</v>
      </c>
      <c r="AE378" s="458" t="n">
        <f aca="false">IF(t&lt;T_para, pos_z, NA())</f>
        <v>413.833554128195</v>
      </c>
      <c r="AF378" s="444"/>
      <c r="AG378" s="450" t="n">
        <f aca="false">IF(AND(L377&lt;L_rampe,Poussee&lt;Poids*SIN(M377)),0,(-W377+Poussee)/m-Poids*SIN(M377)/m)</f>
        <v>-18.3740347618965</v>
      </c>
      <c r="AH378" s="449" t="n">
        <f aca="false">IF(AND(L377&lt;L_rampe,Poussee&lt;Poids*SIN(M377)), g*SIN(M377), (-W377+Poussee)/m)</f>
        <v>-8.85563204988614</v>
      </c>
    </row>
    <row r="379" customFormat="false" ht="12" hidden="false" customHeight="false" outlineLevel="0" collapsed="false">
      <c r="A379" s="448" t="n">
        <f aca="false">IF(B378+0.01&lt;=T_ini+ROUNDUP(Temps_fin_propu,0), 0.01, IF(K378&gt;0, 0.1, 0.0001))</f>
        <v>0.01</v>
      </c>
      <c r="B379" s="449" t="n">
        <f aca="false">B378+pas</f>
        <v>3.74999999999996</v>
      </c>
      <c r="C379" s="432"/>
      <c r="D379" s="450" t="n">
        <f aca="false">IF(AND(L378&lt;L_rampe,Poussee&lt;Poids*SIN(M378)),0,(-W378+Poussee)/m*COS(M378)-U378/m*SIN(M378))</f>
        <v>-2.13932680095254</v>
      </c>
      <c r="E379" s="451" t="n">
        <f aca="false">IF(AND(L378&lt;L_rampe,Poussee&lt;Poids*SIN(M378)),0,(-W378+Poussee)/m*SIN(M378)+U378/m*COS(M378)-Poids/m)</f>
        <v>-18.3822496893886</v>
      </c>
      <c r="F379" s="449" t="n">
        <f aca="false">SQRT(acc_x^2+acc_z^2)</f>
        <v>18.5063184562544</v>
      </c>
      <c r="G379" s="450" t="n">
        <f aca="false">G378+acc_x*pas</f>
        <v>41.3909109984422</v>
      </c>
      <c r="H379" s="451" t="n">
        <f aca="false">H378+acc_z*pas</f>
        <v>165.754645729136</v>
      </c>
      <c r="I379" s="449" t="n">
        <f aca="false">SQRT(vit_x^2+vit_z^2)</f>
        <v>170.844403168709</v>
      </c>
      <c r="J379" s="450" t="n">
        <f aca="false">J378+0.5*(vit_x+G378)*pas*(K378&gt;=0)</f>
        <v>94.8310549745614</v>
      </c>
      <c r="K379" s="451" t="n">
        <f aca="false">K378+0.5*(vit_z+H378)*pas</f>
        <v>415.492019697971</v>
      </c>
      <c r="L379" s="449" t="n">
        <f aca="false">SQRT(pos_x^2+pos_z^2)</f>
        <v>426.176662219188</v>
      </c>
      <c r="M379" s="450" t="n">
        <f aca="false">IF(AND(L378&gt;L_rampe,G379&gt;0),ATAN2(G379,H379),$M$4)</f>
        <v>1.32608881522453</v>
      </c>
      <c r="N379" s="449" t="n">
        <f aca="false">DEGREES(Beta)</f>
        <v>75.9792923718692</v>
      </c>
      <c r="O379" s="438"/>
      <c r="P379" s="452" t="n">
        <f aca="false">MATCH(t-pas/2-T_ini,CdP_t)</f>
        <v>23</v>
      </c>
      <c r="Q379" s="449" t="n">
        <f aca="false">(INDEX(CdP,2,i_P+1)-INDEX(CdP,2,i_P+0))/(INDEX(CdP,1,i_P+1)-INDEX(CdP,1,i_P+0))*(t-pas/2-T_ini-INDEX(CdP,1,i_P+0))+INDEX(CdP,2,i_P+0)</f>
        <v>0</v>
      </c>
      <c r="R379" s="450" t="n">
        <f aca="false">Poussee/(g*ISP)</f>
        <v>0</v>
      </c>
      <c r="S379" s="451" t="n">
        <f aca="false">S378-Débit*pas</f>
        <v>8.652</v>
      </c>
      <c r="T379" s="449" t="n">
        <f aca="false">m*g</f>
        <v>84.87612</v>
      </c>
      <c r="U379" s="453" t="n">
        <f aca="false">IF(pos_xz&lt;L_rampe,Poids*COS(Beta),0)</f>
        <v>0</v>
      </c>
      <c r="V379" s="450" t="n">
        <f aca="false">Rho_moyen*(20000-Alt_rampe-pos_z)/(20000+Alt_rampe+pos_z)</f>
        <v>1.17513808889456</v>
      </c>
      <c r="W379" s="449" t="n">
        <f aca="false">1/2*Rho*Sref*Cx*vit_xz^2</f>
        <v>76.2652418564633</v>
      </c>
      <c r="X379" s="438"/>
      <c r="Y379" s="454" t="str">
        <f aca="false">IF(AND(pos_z&lt;=0,K378&gt;0),"Impact balistique","") &amp; IF(AND(H380&lt;0,vit_z&gt;=0),"Apogée","") &amp; IF(AND(Poussee=0,Q378&gt;0),"Fin de propulsion","") &amp; IF(AND(L380&gt;L_rampe,pos_xz&lt;=L_rampe),"Sortie de rampe","")</f>
        <v/>
      </c>
      <c r="Z379" s="455" t="str">
        <f aca="false">IF(ABS(t-T_para)&lt;pas/2,"Para","")</f>
        <v/>
      </c>
      <c r="AA379" s="456" t="str">
        <f aca="false">IF(ABS(t-T_satellite)&lt;pas/2,"Satellite","")</f>
        <v/>
      </c>
      <c r="AB379" s="444"/>
      <c r="AC379" s="452" t="e">
        <f aca="false">IF(ABS(t-ROUND(t,0))&lt;0.001,t,NA())</f>
        <v>#N/A</v>
      </c>
      <c r="AD379" s="457" t="e">
        <f aca="false">IF(ABS(t-ROUND(t,0))&lt;0.001,pos_x,NA())</f>
        <v>#N/A</v>
      </c>
      <c r="AE379" s="458" t="n">
        <f aca="false">IF(t&lt;T_para, pos_z, NA())</f>
        <v>415.492019697971</v>
      </c>
      <c r="AF379" s="444"/>
      <c r="AG379" s="450" t="n">
        <f aca="false">IF(AND(L378&lt;L_rampe,Poussee&lt;Poids*SIN(M378)),0,(-W378+Poussee)/m-Poids*SIN(M378)/m)</f>
        <v>-18.3532405287149</v>
      </c>
      <c r="AH379" s="449" t="n">
        <f aca="false">IF(AND(L378&lt;L_rampe,Poussee&lt;Poids*SIN(M378)), g*SIN(M378), (-W378+Poussee)/m)</f>
        <v>-8.83516745163874</v>
      </c>
    </row>
    <row r="380" customFormat="false" ht="12" hidden="false" customHeight="false" outlineLevel="0" collapsed="false">
      <c r="A380" s="448" t="n">
        <f aca="false">IF(B379+0.01&lt;=T_ini+ROUNDUP(Temps_fin_propu,0), 0.01, IF(K379&gt;0, 0.1, 0.0001))</f>
        <v>0.01</v>
      </c>
      <c r="B380" s="449" t="n">
        <f aca="false">B379+pas</f>
        <v>3.75999999999996</v>
      </c>
      <c r="C380" s="432"/>
      <c r="D380" s="450" t="n">
        <f aca="false">IF(AND(L379&lt;L_rampe,Poussee&lt;Poids*SIN(M379)),0,(-W379+Poussee)/m*COS(M379)-U379/m*SIN(M379))</f>
        <v>-2.13557274847225</v>
      </c>
      <c r="E380" s="451" t="n">
        <f aca="false">IF(AND(L379&lt;L_rampe,Poussee&lt;Poids*SIN(M379)),0,(-W379+Poussee)/m*SIN(M379)+U379/m*COS(M379)-Poids/m)</f>
        <v>-18.3621457685514</v>
      </c>
      <c r="F380" s="449" t="n">
        <f aca="false">SQRT(acc_x^2+acc_z^2)</f>
        <v>18.4859154003676</v>
      </c>
      <c r="G380" s="450" t="n">
        <f aca="false">G379+acc_x*pas</f>
        <v>41.3695552709575</v>
      </c>
      <c r="H380" s="451" t="n">
        <f aca="false">H379+acc_z*pas</f>
        <v>165.57102427145</v>
      </c>
      <c r="I380" s="449" t="n">
        <f aca="false">SQRT(vit_x^2+vit_z^2)</f>
        <v>170.661079867713</v>
      </c>
      <c r="J380" s="450" t="n">
        <f aca="false">J379+0.5*(vit_x+G379)*pas*(K379&gt;=0)</f>
        <v>95.2448573059084</v>
      </c>
      <c r="K380" s="451" t="n">
        <f aca="false">K379+0.5*(vit_z+H379)*pas</f>
        <v>417.148648047974</v>
      </c>
      <c r="L380" s="449" t="n">
        <f aca="false">SQRT(pos_x^2+pos_z^2)</f>
        <v>427.883836352199</v>
      </c>
      <c r="M380" s="450" t="n">
        <f aca="false">IF(AND(L379&gt;L_rampe,G380&gt;0),ATAN2(G380,H380),$M$4)</f>
        <v>1.32594955126184</v>
      </c>
      <c r="N380" s="449" t="n">
        <f aca="false">DEGREES(Beta)</f>
        <v>75.9713131345688</v>
      </c>
      <c r="O380" s="438"/>
      <c r="P380" s="452" t="n">
        <f aca="false">MATCH(t-pas/2-T_ini,CdP_t)</f>
        <v>23</v>
      </c>
      <c r="Q380" s="449" t="n">
        <f aca="false">(INDEX(CdP,2,i_P+1)-INDEX(CdP,2,i_P+0))/(INDEX(CdP,1,i_P+1)-INDEX(CdP,1,i_P+0))*(t-pas/2-T_ini-INDEX(CdP,1,i_P+0))+INDEX(CdP,2,i_P+0)</f>
        <v>0</v>
      </c>
      <c r="R380" s="450" t="n">
        <f aca="false">Poussee/(g*ISP)</f>
        <v>0</v>
      </c>
      <c r="S380" s="451" t="n">
        <f aca="false">S379-Débit*pas</f>
        <v>8.652</v>
      </c>
      <c r="T380" s="449" t="n">
        <f aca="false">m*g</f>
        <v>84.87612</v>
      </c>
      <c r="U380" s="453" t="n">
        <f aca="false">IF(pos_xz&lt;L_rampe,Poids*COS(Beta),0)</f>
        <v>0</v>
      </c>
      <c r="V380" s="450" t="n">
        <f aca="false">Rho_moyen*(20000-Alt_rampe-pos_z)/(20000+Alt_rampe+pos_z)</f>
        <v>1.1749433439343</v>
      </c>
      <c r="W380" s="449" t="n">
        <f aca="false">1/2*Rho*Sref*Cx*vit_xz^2</f>
        <v>76.0890463457874</v>
      </c>
      <c r="X380" s="438"/>
      <c r="Y380" s="454" t="str">
        <f aca="false">IF(AND(pos_z&lt;=0,K379&gt;0),"Impact balistique","") &amp; IF(AND(H381&lt;0,vit_z&gt;=0),"Apogée","") &amp; IF(AND(Poussee=0,Q379&gt;0),"Fin de propulsion","") &amp; IF(AND(L381&gt;L_rampe,pos_xz&lt;=L_rampe),"Sortie de rampe","")</f>
        <v/>
      </c>
      <c r="Z380" s="455" t="str">
        <f aca="false">IF(ABS(t-T_para)&lt;pas/2,"Para","")</f>
        <v/>
      </c>
      <c r="AA380" s="456" t="str">
        <f aca="false">IF(ABS(t-T_satellite)&lt;pas/2,"Satellite","")</f>
        <v/>
      </c>
      <c r="AB380" s="444"/>
      <c r="AC380" s="452" t="e">
        <f aca="false">IF(ABS(t-ROUND(t,0))&lt;0.001,t,NA())</f>
        <v>#N/A</v>
      </c>
      <c r="AD380" s="457" t="e">
        <f aca="false">IF(ABS(t-ROUND(t,0))&lt;0.001,pos_x,NA())</f>
        <v>#N/A</v>
      </c>
      <c r="AE380" s="458" t="n">
        <f aca="false">IF(t&lt;T_para, pos_z, NA())</f>
        <v>417.148648047974</v>
      </c>
      <c r="AF380" s="444"/>
      <c r="AG380" s="450" t="n">
        <f aca="false">IF(AND(L379&lt;L_rampe,Poussee&lt;Poids*SIN(M379)),0,(-W379+Poussee)/m-Poids*SIN(M379)/m)</f>
        <v>-18.3324955934486</v>
      </c>
      <c r="AH380" s="449" t="n">
        <f aca="false">IF(AND(L379&lt;L_rampe,Poussee&lt;Poids*SIN(M379)), g*SIN(M379), (-W379+Poussee)/m)</f>
        <v>-8.81475287291531</v>
      </c>
    </row>
    <row r="381" customFormat="false" ht="12" hidden="false" customHeight="false" outlineLevel="0" collapsed="false">
      <c r="A381" s="448" t="n">
        <f aca="false">IF(B380+0.01&lt;=T_ini+ROUNDUP(Temps_fin_propu,0), 0.01, IF(K380&gt;0, 0.1, 0.0001))</f>
        <v>0.01</v>
      </c>
      <c r="B381" s="449" t="n">
        <f aca="false">B380+pas</f>
        <v>3.76999999999996</v>
      </c>
      <c r="C381" s="432"/>
      <c r="D381" s="450" t="n">
        <f aca="false">IF(AND(L380&lt;L_rampe,Poussee&lt;Poids*SIN(M380)),0,(-W380+Poussee)/m*COS(M380)-U380/m*SIN(M380))</f>
        <v>-2.13182717038881</v>
      </c>
      <c r="E381" s="451" t="n">
        <f aca="false">IF(AND(L380&lt;L_rampe,Poussee&lt;Poids*SIN(M380)),0,(-W380+Poussee)/m*SIN(M380)+U380/m*COS(M380)-Poids/m)</f>
        <v>-18.3420909509215</v>
      </c>
      <c r="F381" s="449" t="n">
        <f aca="false">SQRT(acc_x^2+acc_z^2)</f>
        <v>18.4655622047173</v>
      </c>
      <c r="G381" s="450" t="n">
        <f aca="false">G380+acc_x*pas</f>
        <v>41.3482369992536</v>
      </c>
      <c r="H381" s="451" t="n">
        <f aca="false">H380+acc_z*pas</f>
        <v>165.387603361941</v>
      </c>
      <c r="I381" s="449" t="n">
        <f aca="false">SQRT(vit_x^2+vit_z^2)</f>
        <v>170.477963528291</v>
      </c>
      <c r="J381" s="450" t="n">
        <f aca="false">J380+0.5*(vit_x+G380)*pas*(K380&gt;=0)</f>
        <v>95.6584462672595</v>
      </c>
      <c r="K381" s="451" t="n">
        <f aca="false">K380+0.5*(vit_z+H380)*pas</f>
        <v>418.803441186141</v>
      </c>
      <c r="L381" s="449" t="n">
        <f aca="false">SQRT(pos_x^2+pos_z^2)</f>
        <v>429.589176646269</v>
      </c>
      <c r="M381" s="450" t="n">
        <f aca="false">IF(AND(L380&gt;L_rampe,G381&gt;0),ATAN2(G381,H381),$M$4)</f>
        <v>1.32581005996148</v>
      </c>
      <c r="N381" s="449" t="n">
        <f aca="false">DEGREES(Beta)</f>
        <v>75.9633208717795</v>
      </c>
      <c r="O381" s="438"/>
      <c r="P381" s="452" t="n">
        <f aca="false">MATCH(t-pas/2-T_ini,CdP_t)</f>
        <v>23</v>
      </c>
      <c r="Q381" s="449" t="n">
        <f aca="false">(INDEX(CdP,2,i_P+1)-INDEX(CdP,2,i_P+0))/(INDEX(CdP,1,i_P+1)-INDEX(CdP,1,i_P+0))*(t-pas/2-T_ini-INDEX(CdP,1,i_P+0))+INDEX(CdP,2,i_P+0)</f>
        <v>0</v>
      </c>
      <c r="R381" s="450" t="n">
        <f aca="false">Poussee/(g*ISP)</f>
        <v>0</v>
      </c>
      <c r="S381" s="451" t="n">
        <f aca="false">S380-Débit*pas</f>
        <v>8.652</v>
      </c>
      <c r="T381" s="449" t="n">
        <f aca="false">m*g</f>
        <v>84.87612</v>
      </c>
      <c r="U381" s="453" t="n">
        <f aca="false">IF(pos_xz&lt;L_rampe,Poids*COS(Beta),0)</f>
        <v>0</v>
      </c>
      <c r="V381" s="450" t="n">
        <f aca="false">Rho_moyen*(20000-Alt_rampe-pos_z)/(20000+Alt_rampe+pos_z)</f>
        <v>1.17474884626019</v>
      </c>
      <c r="W381" s="449" t="n">
        <f aca="false">1/2*Rho*Sref*Cx*vit_xz^2</f>
        <v>75.9132809204313</v>
      </c>
      <c r="X381" s="438"/>
      <c r="Y381" s="454" t="str">
        <f aca="false">IF(AND(pos_z&lt;=0,K380&gt;0),"Impact balistique","") &amp; IF(AND(H382&lt;0,vit_z&gt;=0),"Apogée","") &amp; IF(AND(Poussee=0,Q380&gt;0),"Fin de propulsion","") &amp; IF(AND(L382&gt;L_rampe,pos_xz&lt;=L_rampe),"Sortie de rampe","")</f>
        <v/>
      </c>
      <c r="Z381" s="455" t="str">
        <f aca="false">IF(ABS(t-T_para)&lt;pas/2,"Para","")</f>
        <v/>
      </c>
      <c r="AA381" s="456" t="str">
        <f aca="false">IF(ABS(t-T_satellite)&lt;pas/2,"Satellite","")</f>
        <v/>
      </c>
      <c r="AB381" s="444"/>
      <c r="AC381" s="452" t="e">
        <f aca="false">IF(ABS(t-ROUND(t,0))&lt;0.001,t,NA())</f>
        <v>#N/A</v>
      </c>
      <c r="AD381" s="457" t="e">
        <f aca="false">IF(ABS(t-ROUND(t,0))&lt;0.001,pos_x,NA())</f>
        <v>#N/A</v>
      </c>
      <c r="AE381" s="458" t="n">
        <f aca="false">IF(t&lt;T_para, pos_z, NA())</f>
        <v>418.803441186141</v>
      </c>
      <c r="AF381" s="444"/>
      <c r="AG381" s="450" t="n">
        <f aca="false">IF(AND(L380&lt;L_rampe,Poussee&lt;Poids*SIN(M380)),0,(-W380+Poussee)/m-Poids*SIN(M380)/m)</f>
        <v>-18.3117997987597</v>
      </c>
      <c r="AH381" s="449" t="n">
        <f aca="false">IF(AND(L380&lt;L_rampe,Poussee&lt;Poids*SIN(M380)), g*SIN(M380), (-W380+Poussee)/m)</f>
        <v>-8.79438815832032</v>
      </c>
    </row>
    <row r="382" customFormat="false" ht="12" hidden="false" customHeight="false" outlineLevel="0" collapsed="false">
      <c r="A382" s="448" t="n">
        <f aca="false">IF(B381+0.01&lt;=T_ini+ROUNDUP(Temps_fin_propu,0), 0.01, IF(K381&gt;0, 0.1, 0.0001))</f>
        <v>0.01</v>
      </c>
      <c r="B382" s="449" t="n">
        <f aca="false">B381+pas</f>
        <v>3.77999999999996</v>
      </c>
      <c r="C382" s="432"/>
      <c r="D382" s="450" t="n">
        <f aca="false">IF(AND(L381&lt;L_rampe,Poussee&lt;Poids*SIN(M381)),0,(-W381+Poussee)/m*COS(M381)-U381/m*SIN(M381))</f>
        <v>-2.12809003975493</v>
      </c>
      <c r="E382" s="451" t="n">
        <f aca="false">IF(AND(L381&lt;L_rampe,Poussee&lt;Poids*SIN(M381)),0,(-W381+Poussee)/m*SIN(M381)+U381/m*COS(M381)-Poids/m)</f>
        <v>-18.3220850840591</v>
      </c>
      <c r="F382" s="449" t="n">
        <f aca="false">SQRT(acc_x^2+acc_z^2)</f>
        <v>18.4452587144991</v>
      </c>
      <c r="G382" s="450" t="n">
        <f aca="false">G381+acc_x*pas</f>
        <v>41.326956098856</v>
      </c>
      <c r="H382" s="451" t="n">
        <f aca="false">H381+acc_z*pas</f>
        <v>165.2043825111</v>
      </c>
      <c r="I382" s="449" t="n">
        <f aca="false">SQRT(vit_x^2+vit_z^2)</f>
        <v>170.295053660612</v>
      </c>
      <c r="J382" s="450" t="n">
        <f aca="false">J381+0.5*(vit_x+G381)*pas*(K381&gt;=0)</f>
        <v>96.07182223275</v>
      </c>
      <c r="K382" s="451" t="n">
        <f aca="false">K381+0.5*(vit_z+H381)*pas</f>
        <v>420.456401115506</v>
      </c>
      <c r="L382" s="449" t="n">
        <f aca="false">SQRT(pos_x^2+pos_z^2)</f>
        <v>431.292685152582</v>
      </c>
      <c r="M382" s="450" t="n">
        <f aca="false">IF(AND(L381&gt;L_rampe,G382&gt;0),ATAN2(G382,H382),$M$4)</f>
        <v>1.32567034087961</v>
      </c>
      <c r="N382" s="449" t="n">
        <f aca="false">DEGREES(Beta)</f>
        <v>75.9553155580707</v>
      </c>
      <c r="O382" s="438"/>
      <c r="P382" s="452" t="n">
        <f aca="false">MATCH(t-pas/2-T_ini,CdP_t)</f>
        <v>23</v>
      </c>
      <c r="Q382" s="449" t="n">
        <f aca="false">(INDEX(CdP,2,i_P+1)-INDEX(CdP,2,i_P+0))/(INDEX(CdP,1,i_P+1)-INDEX(CdP,1,i_P+0))*(t-pas/2-T_ini-INDEX(CdP,1,i_P+0))+INDEX(CdP,2,i_P+0)</f>
        <v>0</v>
      </c>
      <c r="R382" s="450" t="n">
        <f aca="false">Poussee/(g*ISP)</f>
        <v>0</v>
      </c>
      <c r="S382" s="451" t="n">
        <f aca="false">S381-Débit*pas</f>
        <v>8.652</v>
      </c>
      <c r="T382" s="449" t="n">
        <f aca="false">m*g</f>
        <v>84.87612</v>
      </c>
      <c r="U382" s="453" t="n">
        <f aca="false">IF(pos_xz&lt;L_rampe,Poids*COS(Beta),0)</f>
        <v>0</v>
      </c>
      <c r="V382" s="450" t="n">
        <f aca="false">Rho_moyen*(20000-Alt_rampe-pos_z)/(20000+Alt_rampe+pos_z)</f>
        <v>1.17455459552428</v>
      </c>
      <c r="W382" s="449" t="n">
        <f aca="false">1/2*Rho*Sref*Cx*vit_xz^2</f>
        <v>75.7379442466141</v>
      </c>
      <c r="X382" s="438"/>
      <c r="Y382" s="454" t="str">
        <f aca="false">IF(AND(pos_z&lt;=0,K381&gt;0),"Impact balistique","") &amp; IF(AND(H383&lt;0,vit_z&gt;=0),"Apogée","") &amp; IF(AND(Poussee=0,Q381&gt;0),"Fin de propulsion","") &amp; IF(AND(L383&gt;L_rampe,pos_xz&lt;=L_rampe),"Sortie de rampe","")</f>
        <v/>
      </c>
      <c r="Z382" s="455" t="str">
        <f aca="false">IF(ABS(t-T_para)&lt;pas/2,"Para","")</f>
        <v/>
      </c>
      <c r="AA382" s="456" t="str">
        <f aca="false">IF(ABS(t-T_satellite)&lt;pas/2,"Satellite","")</f>
        <v/>
      </c>
      <c r="AB382" s="444"/>
      <c r="AC382" s="452" t="e">
        <f aca="false">IF(ABS(t-ROUND(t,0))&lt;0.001,t,NA())</f>
        <v>#N/A</v>
      </c>
      <c r="AD382" s="457" t="e">
        <f aca="false">IF(ABS(t-ROUND(t,0))&lt;0.001,pos_x,NA())</f>
        <v>#N/A</v>
      </c>
      <c r="AE382" s="458" t="n">
        <f aca="false">IF(t&lt;T_para, pos_z, NA())</f>
        <v>420.456401115506</v>
      </c>
      <c r="AF382" s="444"/>
      <c r="AG382" s="450" t="n">
        <f aca="false">IF(AND(L381&lt;L_rampe,Poussee&lt;Poids*SIN(M381)),0,(-W381+Poussee)/m-Poids*SIN(M381)/m)</f>
        <v>-18.2911529879237</v>
      </c>
      <c r="AH382" s="449" t="n">
        <f aca="false">IF(AND(L381&lt;L_rampe,Poussee&lt;Poids*SIN(M381)), g*SIN(M381), (-W381+Poussee)/m)</f>
        <v>-8.77407315307806</v>
      </c>
    </row>
    <row r="383" customFormat="false" ht="12" hidden="false" customHeight="false" outlineLevel="0" collapsed="false">
      <c r="A383" s="448" t="n">
        <f aca="false">IF(B382+0.01&lt;=T_ini+ROUNDUP(Temps_fin_propu,0), 0.01, IF(K382&gt;0, 0.1, 0.0001))</f>
        <v>0.01</v>
      </c>
      <c r="B383" s="449" t="n">
        <f aca="false">B382+pas</f>
        <v>3.78999999999996</v>
      </c>
      <c r="C383" s="432"/>
      <c r="D383" s="450" t="n">
        <f aca="false">IF(AND(L382&lt;L_rampe,Poussee&lt;Poids*SIN(M382)),0,(-W382+Poussee)/m*COS(M382)-U382/m*SIN(M382))</f>
        <v>-2.12436132973025</v>
      </c>
      <c r="E383" s="451" t="n">
        <f aca="false">IF(AND(L382&lt;L_rampe,Poussee&lt;Poids*SIN(M382)),0,(-W382+Poussee)/m*SIN(M382)+U382/m*COS(M382)-Poids/m)</f>
        <v>-18.3021280161318</v>
      </c>
      <c r="F383" s="449" t="n">
        <f aca="false">SQRT(acc_x^2+acc_z^2)</f>
        <v>18.4250047755253</v>
      </c>
      <c r="G383" s="450" t="n">
        <f aca="false">G382+acc_x*pas</f>
        <v>41.3057124855587</v>
      </c>
      <c r="H383" s="451" t="n">
        <f aca="false">H382+acc_z*pas</f>
        <v>165.021361230939</v>
      </c>
      <c r="I383" s="449" t="n">
        <f aca="false">SQRT(vit_x^2+vit_z^2)</f>
        <v>170.11234977641</v>
      </c>
      <c r="J383" s="450" t="n">
        <f aca="false">J382+0.5*(vit_x+G382)*pas*(K382&gt;=0)</f>
        <v>96.4849855756721</v>
      </c>
      <c r="K383" s="451" t="n">
        <f aca="false">K382+0.5*(vit_z+H382)*pas</f>
        <v>422.107529834216</v>
      </c>
      <c r="L383" s="449" t="n">
        <f aca="false">SQRT(pos_x^2+pos_z^2)</f>
        <v>432.994363917455</v>
      </c>
      <c r="M383" s="450" t="n">
        <f aca="false">IF(AND(L382&gt;L_rampe,G383&gt;0),ATAN2(G383,H383),$M$4)</f>
        <v>1.32553039357113</v>
      </c>
      <c r="N383" s="449" t="n">
        <f aca="false">DEGREES(Beta)</f>
        <v>75.9472971679409</v>
      </c>
      <c r="O383" s="438"/>
      <c r="P383" s="452" t="n">
        <f aca="false">MATCH(t-pas/2-T_ini,CdP_t)</f>
        <v>23</v>
      </c>
      <c r="Q383" s="449" t="n">
        <f aca="false">(INDEX(CdP,2,i_P+1)-INDEX(CdP,2,i_P+0))/(INDEX(CdP,1,i_P+1)-INDEX(CdP,1,i_P+0))*(t-pas/2-T_ini-INDEX(CdP,1,i_P+0))+INDEX(CdP,2,i_P+0)</f>
        <v>0</v>
      </c>
      <c r="R383" s="450" t="n">
        <f aca="false">Poussee/(g*ISP)</f>
        <v>0</v>
      </c>
      <c r="S383" s="451" t="n">
        <f aca="false">S382-Débit*pas</f>
        <v>8.652</v>
      </c>
      <c r="T383" s="449" t="n">
        <f aca="false">m*g</f>
        <v>84.87612</v>
      </c>
      <c r="U383" s="453" t="n">
        <f aca="false">IF(pos_xz&lt;L_rampe,Poids*COS(Beta),0)</f>
        <v>0</v>
      </c>
      <c r="V383" s="450" t="n">
        <f aca="false">Rho_moyen*(20000-Alt_rampe-pos_z)/(20000+Alt_rampe+pos_z)</f>
        <v>1.17436059137956</v>
      </c>
      <c r="W383" s="449" t="n">
        <f aca="false">1/2*Rho*Sref*Cx*vit_xz^2</f>
        <v>75.5630349958669</v>
      </c>
      <c r="X383" s="438"/>
      <c r="Y383" s="454" t="str">
        <f aca="false">IF(AND(pos_z&lt;=0,K382&gt;0),"Impact balistique","") &amp; IF(AND(H384&lt;0,vit_z&gt;=0),"Apogée","") &amp; IF(AND(Poussee=0,Q382&gt;0),"Fin de propulsion","") &amp; IF(AND(L384&gt;L_rampe,pos_xz&lt;=L_rampe),"Sortie de rampe","")</f>
        <v/>
      </c>
      <c r="Z383" s="455" t="str">
        <f aca="false">IF(ABS(t-T_para)&lt;pas/2,"Para","")</f>
        <v/>
      </c>
      <c r="AA383" s="456" t="str">
        <f aca="false">IF(ABS(t-T_satellite)&lt;pas/2,"Satellite","")</f>
        <v/>
      </c>
      <c r="AB383" s="444"/>
      <c r="AC383" s="452" t="e">
        <f aca="false">IF(ABS(t-ROUND(t,0))&lt;0.001,t,NA())</f>
        <v>#N/A</v>
      </c>
      <c r="AD383" s="457" t="e">
        <f aca="false">IF(ABS(t-ROUND(t,0))&lt;0.001,pos_x,NA())</f>
        <v>#N/A</v>
      </c>
      <c r="AE383" s="458" t="n">
        <f aca="false">IF(t&lt;T_para, pos_z, NA())</f>
        <v>422.107529834216</v>
      </c>
      <c r="AF383" s="444"/>
      <c r="AG383" s="450" t="n">
        <f aca="false">IF(AND(L382&lt;L_rampe,Poussee&lt;Poids*SIN(M382)),0,(-W382+Poussee)/m-Poids*SIN(M382)/m)</f>
        <v>-18.2705550048262</v>
      </c>
      <c r="AH383" s="449" t="n">
        <f aca="false">IF(AND(L382&lt;L_rampe,Poussee&lt;Poids*SIN(M382)), g*SIN(M382), (-W382+Poussee)/m)</f>
        <v>-8.75380770302983</v>
      </c>
    </row>
    <row r="384" customFormat="false" ht="12" hidden="false" customHeight="false" outlineLevel="0" collapsed="false">
      <c r="A384" s="448" t="n">
        <f aca="false">IF(B383+0.01&lt;=T_ini+ROUNDUP(Temps_fin_propu,0), 0.01, IF(K383&gt;0, 0.1, 0.0001))</f>
        <v>0.01</v>
      </c>
      <c r="B384" s="449" t="n">
        <f aca="false">B383+pas</f>
        <v>3.79999999999996</v>
      </c>
      <c r="C384" s="432"/>
      <c r="D384" s="450" t="n">
        <f aca="false">IF(AND(L383&lt;L_rampe,Poussee&lt;Poids*SIN(M383)),0,(-W383+Poussee)/m*COS(M383)-U383/m*SIN(M383))</f>
        <v>-2.12064101358081</v>
      </c>
      <c r="E384" s="451" t="n">
        <f aca="false">IF(AND(L383&lt;L_rampe,Poussee&lt;Poids*SIN(M383)),0,(-W383+Poussee)/m*SIN(M383)+U383/m*COS(M383)-Poids/m)</f>
        <v>-18.2822195959122</v>
      </c>
      <c r="F384" s="449" t="n">
        <f aca="false">SQRT(acc_x^2+acc_z^2)</f>
        <v>18.4048002342225</v>
      </c>
      <c r="G384" s="450" t="n">
        <f aca="false">G383+acc_x*pas</f>
        <v>41.2845060754229</v>
      </c>
      <c r="H384" s="451" t="n">
        <f aca="false">H383+acc_z*pas</f>
        <v>164.83853903498</v>
      </c>
      <c r="I384" s="449" t="n">
        <f aca="false">SQRT(vit_x^2+vit_z^2)</f>
        <v>169.929851388972</v>
      </c>
      <c r="J384" s="450" t="n">
        <f aca="false">J383+0.5*(vit_x+G383)*pas*(K383&gt;=0)</f>
        <v>96.897936668477</v>
      </c>
      <c r="K384" s="451" t="n">
        <f aca="false">K383+0.5*(vit_z+H383)*pas</f>
        <v>423.756829335546</v>
      </c>
      <c r="L384" s="449" t="n">
        <f aca="false">SQRT(pos_x^2+pos_z^2)</f>
        <v>434.694214982352</v>
      </c>
      <c r="M384" s="450" t="n">
        <f aca="false">IF(AND(L383&gt;L_rampe,G384&gt;0),ATAN2(G384,H384),$M$4)</f>
        <v>1.32539021758973</v>
      </c>
      <c r="N384" s="449" t="n">
        <f aca="false">DEGREES(Beta)</f>
        <v>75.9392656758173</v>
      </c>
      <c r="O384" s="438"/>
      <c r="P384" s="452" t="n">
        <f aca="false">MATCH(t-pas/2-T_ini,CdP_t)</f>
        <v>23</v>
      </c>
      <c r="Q384" s="449" t="n">
        <f aca="false">(INDEX(CdP,2,i_P+1)-INDEX(CdP,2,i_P+0))/(INDEX(CdP,1,i_P+1)-INDEX(CdP,1,i_P+0))*(t-pas/2-T_ini-INDEX(CdP,1,i_P+0))+INDEX(CdP,2,i_P+0)</f>
        <v>0</v>
      </c>
      <c r="R384" s="450" t="n">
        <f aca="false">Poussee/(g*ISP)</f>
        <v>0</v>
      </c>
      <c r="S384" s="451" t="n">
        <f aca="false">S383-Débit*pas</f>
        <v>8.652</v>
      </c>
      <c r="T384" s="449" t="n">
        <f aca="false">m*g</f>
        <v>84.87612</v>
      </c>
      <c r="U384" s="453" t="n">
        <f aca="false">IF(pos_xz&lt;L_rampe,Poids*COS(Beta),0)</f>
        <v>0</v>
      </c>
      <c r="V384" s="450" t="n">
        <f aca="false">Rho_moyen*(20000-Alt_rampe-pos_z)/(20000+Alt_rampe+pos_z)</f>
        <v>1.17416683347988</v>
      </c>
      <c r="W384" s="449" t="n">
        <f aca="false">1/2*Rho*Sref*Cx*vit_xz^2</f>
        <v>75.3885518450077</v>
      </c>
      <c r="X384" s="438"/>
      <c r="Y384" s="454" t="str">
        <f aca="false">IF(AND(pos_z&lt;=0,K383&gt;0),"Impact balistique","") &amp; IF(AND(H385&lt;0,vit_z&gt;=0),"Apogée","") &amp; IF(AND(Poussee=0,Q383&gt;0),"Fin de propulsion","") &amp; IF(AND(L385&gt;L_rampe,pos_xz&lt;=L_rampe),"Sortie de rampe","")</f>
        <v/>
      </c>
      <c r="Z384" s="455" t="str">
        <f aca="false">IF(ABS(t-T_para)&lt;pas/2,"Para","")</f>
        <v/>
      </c>
      <c r="AA384" s="456" t="str">
        <f aca="false">IF(ABS(t-T_satellite)&lt;pas/2,"Satellite","")</f>
        <v/>
      </c>
      <c r="AB384" s="444"/>
      <c r="AC384" s="452" t="e">
        <f aca="false">IF(ABS(t-ROUND(t,0))&lt;0.001,t,NA())</f>
        <v>#N/A</v>
      </c>
      <c r="AD384" s="457" t="e">
        <f aca="false">IF(ABS(t-ROUND(t,0))&lt;0.001,pos_x,NA())</f>
        <v>#N/A</v>
      </c>
      <c r="AE384" s="458" t="n">
        <f aca="false">IF(t&lt;T_para, pos_z, NA())</f>
        <v>423.756829335546</v>
      </c>
      <c r="AF384" s="444"/>
      <c r="AG384" s="450" t="n">
        <f aca="false">IF(AND(L383&lt;L_rampe,Poussee&lt;Poids*SIN(M383)),0,(-W383+Poussee)/m-Poids*SIN(M383)/m)</f>
        <v>-18.2500056939602</v>
      </c>
      <c r="AH384" s="449" t="n">
        <f aca="false">IF(AND(L383&lt;L_rampe,Poussee&lt;Poids*SIN(M383)), g*SIN(M383), (-W383+Poussee)/m)</f>
        <v>-8.73359165463094</v>
      </c>
    </row>
    <row r="385" customFormat="false" ht="12" hidden="false" customHeight="false" outlineLevel="0" collapsed="false">
      <c r="A385" s="448" t="n">
        <f aca="false">IF(B384+0.01&lt;=T_ini+ROUNDUP(Temps_fin_propu,0), 0.01, IF(K384&gt;0, 0.1, 0.0001))</f>
        <v>0.01</v>
      </c>
      <c r="B385" s="449" t="n">
        <f aca="false">B384+pas</f>
        <v>3.80999999999996</v>
      </c>
      <c r="C385" s="432"/>
      <c r="D385" s="450" t="n">
        <f aca="false">IF(AND(L384&lt;L_rampe,Poussee&lt;Poids*SIN(M384)),0,(-W384+Poussee)/m*COS(M384)-U384/m*SIN(M384))</f>
        <v>-2.1169290646786</v>
      </c>
      <c r="E385" s="451" t="n">
        <f aca="false">IF(AND(L384&lt;L_rampe,Poussee&lt;Poids*SIN(M384)),0,(-W384+Poussee)/m*SIN(M384)+U384/m*COS(M384)-Poids/m)</f>
        <v>-18.2623596727742</v>
      </c>
      <c r="F385" s="449" t="n">
        <f aca="false">SQRT(acc_x^2+acc_z^2)</f>
        <v>18.384644937628</v>
      </c>
      <c r="G385" s="450" t="n">
        <f aca="false">G384+acc_x*pas</f>
        <v>41.2633367847761</v>
      </c>
      <c r="H385" s="451" t="n">
        <f aca="false">H384+acc_z*pas</f>
        <v>164.655915438252</v>
      </c>
      <c r="I385" s="449" t="n">
        <f aca="false">SQRT(vit_x^2+vit_z^2)</f>
        <v>169.747558013135</v>
      </c>
      <c r="J385" s="450" t="n">
        <f aca="false">J384+0.5*(vit_x+G384)*pas*(K384&gt;=0)</f>
        <v>97.310675882778</v>
      </c>
      <c r="K385" s="451" t="n">
        <f aca="false">K384+0.5*(vit_z+H384)*pas</f>
        <v>425.404301607912</v>
      </c>
      <c r="L385" s="449" t="n">
        <f aca="false">SQRT(pos_x^2+pos_z^2)</f>
        <v>436.392240383899</v>
      </c>
      <c r="M385" s="450" t="n">
        <f aca="false">IF(AND(L384&gt;L_rampe,G385&gt;0),ATAN2(G385,H385),$M$4)</f>
        <v>1.32524981248782</v>
      </c>
      <c r="N385" s="449" t="n">
        <f aca="false">DEGREES(Beta)</f>
        <v>75.9312210560559</v>
      </c>
      <c r="O385" s="438"/>
      <c r="P385" s="452" t="n">
        <f aca="false">MATCH(t-pas/2-T_ini,CdP_t)</f>
        <v>23</v>
      </c>
      <c r="Q385" s="449" t="n">
        <f aca="false">(INDEX(CdP,2,i_P+1)-INDEX(CdP,2,i_P+0))/(INDEX(CdP,1,i_P+1)-INDEX(CdP,1,i_P+0))*(t-pas/2-T_ini-INDEX(CdP,1,i_P+0))+INDEX(CdP,2,i_P+0)</f>
        <v>0</v>
      </c>
      <c r="R385" s="450" t="n">
        <f aca="false">Poussee/(g*ISP)</f>
        <v>0</v>
      </c>
      <c r="S385" s="451" t="n">
        <f aca="false">S384-Débit*pas</f>
        <v>8.652</v>
      </c>
      <c r="T385" s="449" t="n">
        <f aca="false">m*g</f>
        <v>84.87612</v>
      </c>
      <c r="U385" s="453" t="n">
        <f aca="false">IF(pos_xz&lt;L_rampe,Poids*COS(Beta),0)</f>
        <v>0</v>
      </c>
      <c r="V385" s="450" t="n">
        <f aca="false">Rho_moyen*(20000-Alt_rampe-pos_z)/(20000+Alt_rampe+pos_z)</f>
        <v>1.17397332147999</v>
      </c>
      <c r="W385" s="449" t="n">
        <f aca="false">1/2*Rho*Sref*Cx*vit_xz^2</f>
        <v>75.2144934761165</v>
      </c>
      <c r="X385" s="438"/>
      <c r="Y385" s="454" t="str">
        <f aca="false">IF(AND(pos_z&lt;=0,K384&gt;0),"Impact balistique","") &amp; IF(AND(H386&lt;0,vit_z&gt;=0),"Apogée","") &amp; IF(AND(Poussee=0,Q384&gt;0),"Fin de propulsion","") &amp; IF(AND(L386&gt;L_rampe,pos_xz&lt;=L_rampe),"Sortie de rampe","")</f>
        <v/>
      </c>
      <c r="Z385" s="455" t="str">
        <f aca="false">IF(ABS(t-T_para)&lt;pas/2,"Para","")</f>
        <v/>
      </c>
      <c r="AA385" s="456" t="str">
        <f aca="false">IF(ABS(t-T_satellite)&lt;pas/2,"Satellite","")</f>
        <v/>
      </c>
      <c r="AB385" s="444"/>
      <c r="AC385" s="452" t="e">
        <f aca="false">IF(ABS(t-ROUND(t,0))&lt;0.001,t,NA())</f>
        <v>#N/A</v>
      </c>
      <c r="AD385" s="457" t="e">
        <f aca="false">IF(ABS(t-ROUND(t,0))&lt;0.001,pos_x,NA())</f>
        <v>#N/A</v>
      </c>
      <c r="AE385" s="458" t="n">
        <f aca="false">IF(t&lt;T_para, pos_z, NA())</f>
        <v>425.404301607912</v>
      </c>
      <c r="AF385" s="444"/>
      <c r="AG385" s="450" t="n">
        <f aca="false">IF(AND(L384&lt;L_rampe,Poussee&lt;Poids*SIN(M384)),0,(-W384+Poussee)/m-Poids*SIN(M384)/m)</f>
        <v>-18.2295049004228</v>
      </c>
      <c r="AH385" s="449" t="n">
        <f aca="false">IF(AND(L384&lt;L_rampe,Poussee&lt;Poids*SIN(M384)), g*SIN(M384), (-W384+Poussee)/m)</f>
        <v>-8.71342485494772</v>
      </c>
    </row>
    <row r="386" customFormat="false" ht="12" hidden="false" customHeight="false" outlineLevel="0" collapsed="false">
      <c r="A386" s="448" t="n">
        <f aca="false">IF(B385+0.01&lt;=T_ini+ROUNDUP(Temps_fin_propu,0), 0.01, IF(K385&gt;0, 0.1, 0.0001))</f>
        <v>0.01</v>
      </c>
      <c r="B386" s="449" t="n">
        <f aca="false">B385+pas</f>
        <v>3.81999999999996</v>
      </c>
      <c r="C386" s="432"/>
      <c r="D386" s="450" t="n">
        <f aca="false">IF(AND(L385&lt;L_rampe,Poussee&lt;Poids*SIN(M385)),0,(-W385+Poussee)/m*COS(M385)-U385/m*SIN(M385))</f>
        <v>-2.11322545650096</v>
      </c>
      <c r="E386" s="451" t="n">
        <f aca="false">IF(AND(L385&lt;L_rampe,Poussee&lt;Poids*SIN(M385)),0,(-W385+Poussee)/m*SIN(M385)+U385/m*COS(M385)-Poids/m)</f>
        <v>-18.242548096691</v>
      </c>
      <c r="F386" s="449" t="n">
        <f aca="false">SQRT(acc_x^2+acc_z^2)</f>
        <v>18.3645387333875</v>
      </c>
      <c r="G386" s="450" t="n">
        <f aca="false">G385+acc_x*pas</f>
        <v>41.2422045302111</v>
      </c>
      <c r="H386" s="451" t="n">
        <f aca="false">H385+acc_z*pas</f>
        <v>164.473489957285</v>
      </c>
      <c r="I386" s="449" t="n">
        <f aca="false">SQRT(vit_x^2+vit_z^2)</f>
        <v>169.565469165278</v>
      </c>
      <c r="J386" s="450" t="n">
        <f aca="false">J385+0.5*(vit_x+G385)*pas*(K385&gt;=0)</f>
        <v>97.723203589353</v>
      </c>
      <c r="K386" s="451" t="n">
        <f aca="false">K385+0.5*(vit_z+H385)*pas</f>
        <v>427.04994863489</v>
      </c>
      <c r="L386" s="449" t="n">
        <f aca="false">SQRT(pos_x^2+pos_z^2)</f>
        <v>438.088442153897</v>
      </c>
      <c r="M386" s="450" t="n">
        <f aca="false">IF(AND(L385&gt;L_rampe,G386&gt;0),ATAN2(G386,H386),$M$4)</f>
        <v>1.32510917781659</v>
      </c>
      <c r="N386" s="449" t="n">
        <f aca="false">DEGREES(Beta)</f>
        <v>75.923163282941</v>
      </c>
      <c r="O386" s="438"/>
      <c r="P386" s="452" t="n">
        <f aca="false">MATCH(t-pas/2-T_ini,CdP_t)</f>
        <v>23</v>
      </c>
      <c r="Q386" s="449" t="n">
        <f aca="false">(INDEX(CdP,2,i_P+1)-INDEX(CdP,2,i_P+0))/(INDEX(CdP,1,i_P+1)-INDEX(CdP,1,i_P+0))*(t-pas/2-T_ini-INDEX(CdP,1,i_P+0))+INDEX(CdP,2,i_P+0)</f>
        <v>0</v>
      </c>
      <c r="R386" s="450" t="n">
        <f aca="false">Poussee/(g*ISP)</f>
        <v>0</v>
      </c>
      <c r="S386" s="451" t="n">
        <f aca="false">S385-Débit*pas</f>
        <v>8.652</v>
      </c>
      <c r="T386" s="449" t="n">
        <f aca="false">m*g</f>
        <v>84.87612</v>
      </c>
      <c r="U386" s="453" t="n">
        <f aca="false">IF(pos_xz&lt;L_rampe,Poids*COS(Beta),0)</f>
        <v>0</v>
      </c>
      <c r="V386" s="450" t="n">
        <f aca="false">Rho_moyen*(20000-Alt_rampe-pos_z)/(20000+Alt_rampe+pos_z)</f>
        <v>1.17378005503553</v>
      </c>
      <c r="W386" s="449" t="n">
        <f aca="false">1/2*Rho*Sref*Cx*vit_xz^2</f>
        <v>75.0408585765099</v>
      </c>
      <c r="X386" s="438"/>
      <c r="Y386" s="454" t="str">
        <f aca="false">IF(AND(pos_z&lt;=0,K385&gt;0),"Impact balistique","") &amp; IF(AND(H387&lt;0,vit_z&gt;=0),"Apogée","") &amp; IF(AND(Poussee=0,Q385&gt;0),"Fin de propulsion","") &amp; IF(AND(L387&gt;L_rampe,pos_xz&lt;=L_rampe),"Sortie de rampe","")</f>
        <v/>
      </c>
      <c r="Z386" s="455" t="str">
        <f aca="false">IF(ABS(t-T_para)&lt;pas/2,"Para","")</f>
        <v/>
      </c>
      <c r="AA386" s="456" t="str">
        <f aca="false">IF(ABS(t-T_satellite)&lt;pas/2,"Satellite","")</f>
        <v/>
      </c>
      <c r="AB386" s="444"/>
      <c r="AC386" s="452" t="e">
        <f aca="false">IF(ABS(t-ROUND(t,0))&lt;0.001,t,NA())</f>
        <v>#N/A</v>
      </c>
      <c r="AD386" s="457" t="e">
        <f aca="false">IF(ABS(t-ROUND(t,0))&lt;0.001,pos_x,NA())</f>
        <v>#N/A</v>
      </c>
      <c r="AE386" s="458" t="n">
        <f aca="false">IF(t&lt;T_para, pos_z, NA())</f>
        <v>427.04994863489</v>
      </c>
      <c r="AF386" s="444"/>
      <c r="AG386" s="450" t="n">
        <f aca="false">IF(AND(L385&lt;L_rampe,Poussee&lt;Poids*SIN(M385)),0,(-W385+Poussee)/m-Poids*SIN(M385)/m)</f>
        <v>-18.2090524699129</v>
      </c>
      <c r="AH386" s="449" t="n">
        <f aca="false">IF(AND(L385&lt;L_rampe,Poussee&lt;Poids*SIN(M385)), g*SIN(M385), (-W385+Poussee)/m)</f>
        <v>-8.6933071516547</v>
      </c>
    </row>
    <row r="387" customFormat="false" ht="12" hidden="false" customHeight="false" outlineLevel="0" collapsed="false">
      <c r="A387" s="448" t="n">
        <f aca="false">IF(B386+0.01&lt;=T_ini+ROUNDUP(Temps_fin_propu,0), 0.01, IF(K386&gt;0, 0.1, 0.0001))</f>
        <v>0.01</v>
      </c>
      <c r="B387" s="449" t="n">
        <f aca="false">B386+pas</f>
        <v>3.82999999999996</v>
      </c>
      <c r="C387" s="432"/>
      <c r="D387" s="450" t="n">
        <f aca="false">IF(AND(L386&lt;L_rampe,Poussee&lt;Poids*SIN(M386)),0,(-W386+Poussee)/m*COS(M386)-U386/m*SIN(M386))</f>
        <v>-2.10953016263017</v>
      </c>
      <c r="E387" s="451" t="n">
        <f aca="false">IF(AND(L386&lt;L_rampe,Poussee&lt;Poids*SIN(M386)),0,(-W386+Poussee)/m*SIN(M386)+U386/m*COS(M386)-Poids/m)</f>
        <v>-18.2227847182316</v>
      </c>
      <c r="F387" s="449" t="n">
        <f aca="false">SQRT(acc_x^2+acc_z^2)</f>
        <v>18.3444814697517</v>
      </c>
      <c r="G387" s="450" t="n">
        <f aca="false">G386+acc_x*pas</f>
        <v>41.2211092285848</v>
      </c>
      <c r="H387" s="451" t="n">
        <f aca="false">H386+acc_z*pas</f>
        <v>164.291262110103</v>
      </c>
      <c r="I387" s="449" t="n">
        <f aca="false">SQRT(vit_x^2+vit_z^2)</f>
        <v>169.383584363319</v>
      </c>
      <c r="J387" s="450" t="n">
        <f aca="false">J386+0.5*(vit_x+G386)*pas*(K386&gt;=0)</f>
        <v>98.1355201581469</v>
      </c>
      <c r="K387" s="451" t="n">
        <f aca="false">K386+0.5*(vit_z+H386)*pas</f>
        <v>428.693772395227</v>
      </c>
      <c r="L387" s="449" t="n">
        <f aca="false">SQRT(pos_x^2+pos_z^2)</f>
        <v>439.782822319336</v>
      </c>
      <c r="M387" s="450" t="n">
        <f aca="false">IF(AND(L386&gt;L_rampe,G387&gt;0),ATAN2(G387,H387),$M$4)</f>
        <v>1.32496831312595</v>
      </c>
      <c r="N387" s="449" t="n">
        <f aca="false">DEGREES(Beta)</f>
        <v>75.9150923306851</v>
      </c>
      <c r="O387" s="438"/>
      <c r="P387" s="452" t="n">
        <f aca="false">MATCH(t-pas/2-T_ini,CdP_t)</f>
        <v>23</v>
      </c>
      <c r="Q387" s="449" t="n">
        <f aca="false">(INDEX(CdP,2,i_P+1)-INDEX(CdP,2,i_P+0))/(INDEX(CdP,1,i_P+1)-INDEX(CdP,1,i_P+0))*(t-pas/2-T_ini-INDEX(CdP,1,i_P+0))+INDEX(CdP,2,i_P+0)</f>
        <v>0</v>
      </c>
      <c r="R387" s="450" t="n">
        <f aca="false">Poussee/(g*ISP)</f>
        <v>0</v>
      </c>
      <c r="S387" s="451" t="n">
        <f aca="false">S386-Débit*pas</f>
        <v>8.652</v>
      </c>
      <c r="T387" s="449" t="n">
        <f aca="false">m*g</f>
        <v>84.87612</v>
      </c>
      <c r="U387" s="453" t="n">
        <f aca="false">IF(pos_xz&lt;L_rampe,Poids*COS(Beta),0)</f>
        <v>0</v>
      </c>
      <c r="V387" s="450" t="n">
        <f aca="false">Rho_moyen*(20000-Alt_rampe-pos_z)/(20000+Alt_rampe+pos_z)</f>
        <v>1.17358703380304</v>
      </c>
      <c r="W387" s="449" t="n">
        <f aca="false">1/2*Rho*Sref*Cx*vit_xz^2</f>
        <v>74.8676458387159</v>
      </c>
      <c r="X387" s="438"/>
      <c r="Y387" s="454" t="str">
        <f aca="false">IF(AND(pos_z&lt;=0,K386&gt;0),"Impact balistique","") &amp; IF(AND(H388&lt;0,vit_z&gt;=0),"Apogée","") &amp; IF(AND(Poussee=0,Q386&gt;0),"Fin de propulsion","") &amp; IF(AND(L388&gt;L_rampe,pos_xz&lt;=L_rampe),"Sortie de rampe","")</f>
        <v/>
      </c>
      <c r="Z387" s="455" t="str">
        <f aca="false">IF(ABS(t-T_para)&lt;pas/2,"Para","")</f>
        <v/>
      </c>
      <c r="AA387" s="456" t="str">
        <f aca="false">IF(ABS(t-T_satellite)&lt;pas/2,"Satellite","")</f>
        <v/>
      </c>
      <c r="AB387" s="444"/>
      <c r="AC387" s="452" t="e">
        <f aca="false">IF(ABS(t-ROUND(t,0))&lt;0.001,t,NA())</f>
        <v>#N/A</v>
      </c>
      <c r="AD387" s="457" t="e">
        <f aca="false">IF(ABS(t-ROUND(t,0))&lt;0.001,pos_x,NA())</f>
        <v>#N/A</v>
      </c>
      <c r="AE387" s="458" t="n">
        <f aca="false">IF(t&lt;T_para, pos_z, NA())</f>
        <v>428.693772395227</v>
      </c>
      <c r="AF387" s="444"/>
      <c r="AG387" s="450" t="n">
        <f aca="false">IF(AND(L386&lt;L_rampe,Poussee&lt;Poids*SIN(M386)),0,(-W386+Poussee)/m-Poids*SIN(M386)/m)</f>
        <v>-18.1886482487274</v>
      </c>
      <c r="AH387" s="449" t="n">
        <f aca="false">IF(AND(L386&lt;L_rampe,Poussee&lt;Poids*SIN(M386)), g*SIN(M386), (-W386+Poussee)/m)</f>
        <v>-8.67323839303165</v>
      </c>
    </row>
    <row r="388" customFormat="false" ht="12" hidden="false" customHeight="false" outlineLevel="0" collapsed="false">
      <c r="A388" s="448" t="n">
        <f aca="false">IF(B387+0.01&lt;=T_ini+ROUNDUP(Temps_fin_propu,0), 0.01, IF(K387&gt;0, 0.1, 0.0001))</f>
        <v>0.01</v>
      </c>
      <c r="B388" s="449" t="n">
        <f aca="false">B387+pas</f>
        <v>3.83999999999996</v>
      </c>
      <c r="C388" s="432"/>
      <c r="D388" s="450" t="n">
        <f aca="false">IF(AND(L387&lt;L_rampe,Poussee&lt;Poids*SIN(M387)),0,(-W387+Poussee)/m*COS(M387)-U387/m*SIN(M387))</f>
        <v>-2.10584315675289</v>
      </c>
      <c r="E388" s="451" t="n">
        <f aca="false">IF(AND(L387&lt;L_rampe,Poussee&lt;Poids*SIN(M387)),0,(-W387+Poussee)/m*SIN(M387)+U387/m*COS(M387)-Poids/m)</f>
        <v>-18.2030693885584</v>
      </c>
      <c r="F388" s="449" t="n">
        <f aca="false">SQRT(acc_x^2+acc_z^2)</f>
        <v>18.3244729955738</v>
      </c>
      <c r="G388" s="450" t="n">
        <f aca="false">G387+acc_x*pas</f>
        <v>41.2000507970173</v>
      </c>
      <c r="H388" s="451" t="n">
        <f aca="false">H387+acc_z*pas</f>
        <v>164.109231416217</v>
      </c>
      <c r="I388" s="449" t="n">
        <f aca="false">SQRT(vit_x^2+vit_z^2)</f>
        <v>169.201903126704</v>
      </c>
      <c r="J388" s="450" t="n">
        <f aca="false">J387+0.5*(vit_x+G387)*pas*(K387&gt;=0)</f>
        <v>98.547625958275</v>
      </c>
      <c r="K388" s="451" t="n">
        <f aca="false">K387+0.5*(vit_z+H387)*pas</f>
        <v>430.335774862858</v>
      </c>
      <c r="L388" s="449" t="n">
        <f aca="false">SQRT(pos_x^2+pos_z^2)</f>
        <v>441.475382902409</v>
      </c>
      <c r="M388" s="450" t="n">
        <f aca="false">IF(AND(L387&gt;L_rampe,G388&gt;0),ATAN2(G388,H388),$M$4)</f>
        <v>1.32482721796458</v>
      </c>
      <c r="N388" s="449" t="n">
        <f aca="false">DEGREES(Beta)</f>
        <v>75.9070081734287</v>
      </c>
      <c r="O388" s="438"/>
      <c r="P388" s="452" t="n">
        <f aca="false">MATCH(t-pas/2-T_ini,CdP_t)</f>
        <v>23</v>
      </c>
      <c r="Q388" s="449" t="n">
        <f aca="false">(INDEX(CdP,2,i_P+1)-INDEX(CdP,2,i_P+0))/(INDEX(CdP,1,i_P+1)-INDEX(CdP,1,i_P+0))*(t-pas/2-T_ini-INDEX(CdP,1,i_P+0))+INDEX(CdP,2,i_P+0)</f>
        <v>0</v>
      </c>
      <c r="R388" s="450" t="n">
        <f aca="false">Poussee/(g*ISP)</f>
        <v>0</v>
      </c>
      <c r="S388" s="451" t="n">
        <f aca="false">S387-Débit*pas</f>
        <v>8.652</v>
      </c>
      <c r="T388" s="449" t="n">
        <f aca="false">m*g</f>
        <v>84.87612</v>
      </c>
      <c r="U388" s="453" t="n">
        <f aca="false">IF(pos_xz&lt;L_rampe,Poids*COS(Beta),0)</f>
        <v>0</v>
      </c>
      <c r="V388" s="450" t="n">
        <f aca="false">Rho_moyen*(20000-Alt_rampe-pos_z)/(20000+Alt_rampe+pos_z)</f>
        <v>1.1733942574399</v>
      </c>
      <c r="W388" s="449" t="n">
        <f aca="false">1/2*Rho*Sref*Cx*vit_xz^2</f>
        <v>74.6948539604498</v>
      </c>
      <c r="X388" s="438"/>
      <c r="Y388" s="454" t="str">
        <f aca="false">IF(AND(pos_z&lt;=0,K387&gt;0),"Impact balistique","") &amp; IF(AND(H389&lt;0,vit_z&gt;=0),"Apogée","") &amp; IF(AND(Poussee=0,Q387&gt;0),"Fin de propulsion","") &amp; IF(AND(L389&gt;L_rampe,pos_xz&lt;=L_rampe),"Sortie de rampe","")</f>
        <v/>
      </c>
      <c r="Z388" s="455" t="str">
        <f aca="false">IF(ABS(t-T_para)&lt;pas/2,"Para","")</f>
        <v/>
      </c>
      <c r="AA388" s="456" t="str">
        <f aca="false">IF(ABS(t-T_satellite)&lt;pas/2,"Satellite","")</f>
        <v/>
      </c>
      <c r="AB388" s="444"/>
      <c r="AC388" s="452" t="e">
        <f aca="false">IF(ABS(t-ROUND(t,0))&lt;0.001,t,NA())</f>
        <v>#N/A</v>
      </c>
      <c r="AD388" s="457" t="e">
        <f aca="false">IF(ABS(t-ROUND(t,0))&lt;0.001,pos_x,NA())</f>
        <v>#N/A</v>
      </c>
      <c r="AE388" s="458" t="n">
        <f aca="false">IF(t&lt;T_para, pos_z, NA())</f>
        <v>430.335774862858</v>
      </c>
      <c r="AF388" s="444"/>
      <c r="AG388" s="450" t="n">
        <f aca="false">IF(AND(L387&lt;L_rampe,Poussee&lt;Poids*SIN(M387)),0,(-W387+Poussee)/m-Poids*SIN(M387)/m)</f>
        <v>-18.168292083759</v>
      </c>
      <c r="AH388" s="449" t="n">
        <f aca="false">IF(AND(L387&lt;L_rampe,Poussee&lt;Poids*SIN(M387)), g*SIN(M387), (-W387+Poussee)/m)</f>
        <v>-8.6532184279607</v>
      </c>
    </row>
    <row r="389" customFormat="false" ht="12" hidden="false" customHeight="false" outlineLevel="0" collapsed="false">
      <c r="A389" s="448" t="n">
        <f aca="false">IF(B388+0.01&lt;=T_ini+ROUNDUP(Temps_fin_propu,0), 0.01, IF(K388&gt;0, 0.1, 0.0001))</f>
        <v>0.01</v>
      </c>
      <c r="B389" s="449" t="n">
        <f aca="false">B388+pas</f>
        <v>3.84999999999996</v>
      </c>
      <c r="C389" s="432"/>
      <c r="D389" s="450" t="n">
        <f aca="false">IF(AND(L388&lt;L_rampe,Poussee&lt;Poids*SIN(M388)),0,(-W388+Poussee)/m*COS(M388)-U388/m*SIN(M388))</f>
        <v>-2.10216441265969</v>
      </c>
      <c r="E389" s="451" t="n">
        <f aca="false">IF(AND(L388&lt;L_rampe,Poussee&lt;Poids*SIN(M388)),0,(-W388+Poussee)/m*SIN(M388)+U388/m*COS(M388)-Poids/m)</f>
        <v>-18.1834019594238</v>
      </c>
      <c r="F389" s="449" t="n">
        <f aca="false">SQRT(acc_x^2+acc_z^2)</f>
        <v>18.3045131603064</v>
      </c>
      <c r="G389" s="450" t="n">
        <f aca="false">G388+acc_x*pas</f>
        <v>41.1790291528907</v>
      </c>
      <c r="H389" s="451" t="n">
        <f aca="false">H388+acc_z*pas</f>
        <v>163.927397396623</v>
      </c>
      <c r="I389" s="449" t="n">
        <f aca="false">SQRT(vit_x^2+vit_z^2)</f>
        <v>169.020424976406</v>
      </c>
      <c r="J389" s="450" t="n">
        <f aca="false">J388+0.5*(vit_x+G388)*pas*(K388&gt;=0)</f>
        <v>98.9595213580245</v>
      </c>
      <c r="K389" s="451" t="n">
        <f aca="false">K388+0.5*(vit_z+H388)*pas</f>
        <v>431.975958006923</v>
      </c>
      <c r="L389" s="449" t="n">
        <f aca="false">SQRT(pos_x^2+pos_z^2)</f>
        <v>443.166125920526</v>
      </c>
      <c r="M389" s="450" t="n">
        <f aca="false">IF(AND(L388&gt;L_rampe,G389&gt;0),ATAN2(G389,H389),$M$4)</f>
        <v>1.32468589187987</v>
      </c>
      <c r="N389" s="449" t="n">
        <f aca="false">DEGREES(Beta)</f>
        <v>75.8989107852399</v>
      </c>
      <c r="O389" s="438"/>
      <c r="P389" s="452" t="n">
        <f aca="false">MATCH(t-pas/2-T_ini,CdP_t)</f>
        <v>23</v>
      </c>
      <c r="Q389" s="449" t="n">
        <f aca="false">(INDEX(CdP,2,i_P+1)-INDEX(CdP,2,i_P+0))/(INDEX(CdP,1,i_P+1)-INDEX(CdP,1,i_P+0))*(t-pas/2-T_ini-INDEX(CdP,1,i_P+0))+INDEX(CdP,2,i_P+0)</f>
        <v>0</v>
      </c>
      <c r="R389" s="450" t="n">
        <f aca="false">Poussee/(g*ISP)</f>
        <v>0</v>
      </c>
      <c r="S389" s="451" t="n">
        <f aca="false">S388-Débit*pas</f>
        <v>8.652</v>
      </c>
      <c r="T389" s="449" t="n">
        <f aca="false">m*g</f>
        <v>84.87612</v>
      </c>
      <c r="U389" s="453" t="n">
        <f aca="false">IF(pos_xz&lt;L_rampe,Poids*COS(Beta),0)</f>
        <v>0</v>
      </c>
      <c r="V389" s="450" t="n">
        <f aca="false">Rho_moyen*(20000-Alt_rampe-pos_z)/(20000+Alt_rampe+pos_z)</f>
        <v>1.17320172560441</v>
      </c>
      <c r="W389" s="449" t="n">
        <f aca="false">1/2*Rho*Sref*Cx*vit_xz^2</f>
        <v>74.522481644589</v>
      </c>
      <c r="X389" s="438"/>
      <c r="Y389" s="454" t="str">
        <f aca="false">IF(AND(pos_z&lt;=0,K388&gt;0),"Impact balistique","") &amp; IF(AND(H390&lt;0,vit_z&gt;=0),"Apogée","") &amp; IF(AND(Poussee=0,Q388&gt;0),"Fin de propulsion","") &amp; IF(AND(L390&gt;L_rampe,pos_xz&lt;=L_rampe),"Sortie de rampe","")</f>
        <v/>
      </c>
      <c r="Z389" s="455" t="str">
        <f aca="false">IF(ABS(t-T_para)&lt;pas/2,"Para","")</f>
        <v/>
      </c>
      <c r="AA389" s="456" t="str">
        <f aca="false">IF(ABS(t-T_satellite)&lt;pas/2,"Satellite","")</f>
        <v/>
      </c>
      <c r="AB389" s="444"/>
      <c r="AC389" s="452" t="e">
        <f aca="false">IF(ABS(t-ROUND(t,0))&lt;0.001,t,NA())</f>
        <v>#N/A</v>
      </c>
      <c r="AD389" s="457" t="e">
        <f aca="false">IF(ABS(t-ROUND(t,0))&lt;0.001,pos_x,NA())</f>
        <v>#N/A</v>
      </c>
      <c r="AE389" s="458" t="n">
        <f aca="false">IF(t&lt;T_para, pos_z, NA())</f>
        <v>431.975958006923</v>
      </c>
      <c r="AF389" s="444"/>
      <c r="AG389" s="450" t="n">
        <f aca="false">IF(AND(L388&lt;L_rampe,Poussee&lt;Poids*SIN(M388)),0,(-W388+Poussee)/m-Poids*SIN(M388)/m)</f>
        <v>-18.147983822493</v>
      </c>
      <c r="AH389" s="449" t="n">
        <f aca="false">IF(AND(L388&lt;L_rampe,Poussee&lt;Poids*SIN(M388)), g*SIN(M388), (-W388+Poussee)/m)</f>
        <v>-8.63324710592347</v>
      </c>
    </row>
    <row r="390" customFormat="false" ht="12" hidden="false" customHeight="false" outlineLevel="0" collapsed="false">
      <c r="A390" s="448" t="n">
        <f aca="false">IF(B389+0.01&lt;=T_ini+ROUNDUP(Temps_fin_propu,0), 0.01, IF(K389&gt;0, 0.1, 0.0001))</f>
        <v>0.01</v>
      </c>
      <c r="B390" s="449" t="n">
        <f aca="false">B389+pas</f>
        <v>3.85999999999996</v>
      </c>
      <c r="C390" s="432"/>
      <c r="D390" s="450" t="n">
        <f aca="false">IF(AND(L389&lt;L_rampe,Poussee&lt;Poids*SIN(M389)),0,(-W389+Poussee)/m*COS(M389)-U389/m*SIN(M389))</f>
        <v>-2.09849390424455</v>
      </c>
      <c r="E390" s="451" t="n">
        <f aca="false">IF(AND(L389&lt;L_rampe,Poussee&lt;Poids*SIN(M389)),0,(-W389+Poussee)/m*SIN(M389)+U389/m*COS(M389)-Poids/m)</f>
        <v>-18.1637822831683</v>
      </c>
      <c r="F390" s="449" t="n">
        <f aca="false">SQRT(acc_x^2+acc_z^2)</f>
        <v>18.2846018139988</v>
      </c>
      <c r="G390" s="450" t="n">
        <f aca="false">G389+acc_x*pas</f>
        <v>41.1580442138482</v>
      </c>
      <c r="H390" s="451" t="n">
        <f aca="false">H389+acc_z*pas</f>
        <v>163.745759573792</v>
      </c>
      <c r="I390" s="449" t="n">
        <f aca="false">SQRT(vit_x^2+vit_z^2)</f>
        <v>168.839149434919</v>
      </c>
      <c r="J390" s="450" t="n">
        <f aca="false">J389+0.5*(vit_x+G389)*pas*(K389&gt;=0)</f>
        <v>99.3712067248582</v>
      </c>
      <c r="K390" s="451" t="n">
        <f aca="false">K389+0.5*(vit_z+H389)*pas</f>
        <v>433.614323791775</v>
      </c>
      <c r="L390" s="449" t="n">
        <f aca="false">SQRT(pos_x^2+pos_z^2)</f>
        <v>444.855053386328</v>
      </c>
      <c r="M390" s="450" t="n">
        <f aca="false">IF(AND(L389&gt;L_rampe,G390&gt;0),ATAN2(G390,H390),$M$4)</f>
        <v>1.32454433441797</v>
      </c>
      <c r="N390" s="449" t="n">
        <f aca="false">DEGREES(Beta)</f>
        <v>75.8908001401141</v>
      </c>
      <c r="O390" s="438"/>
      <c r="P390" s="452" t="n">
        <f aca="false">MATCH(t-pas/2-T_ini,CdP_t)</f>
        <v>23</v>
      </c>
      <c r="Q390" s="449" t="n">
        <f aca="false">(INDEX(CdP,2,i_P+1)-INDEX(CdP,2,i_P+0))/(INDEX(CdP,1,i_P+1)-INDEX(CdP,1,i_P+0))*(t-pas/2-T_ini-INDEX(CdP,1,i_P+0))+INDEX(CdP,2,i_P+0)</f>
        <v>0</v>
      </c>
      <c r="R390" s="450" t="n">
        <f aca="false">Poussee/(g*ISP)</f>
        <v>0</v>
      </c>
      <c r="S390" s="451" t="n">
        <f aca="false">S389-Débit*pas</f>
        <v>8.652</v>
      </c>
      <c r="T390" s="449" t="n">
        <f aca="false">m*g</f>
        <v>84.87612</v>
      </c>
      <c r="U390" s="453" t="n">
        <f aca="false">IF(pos_xz&lt;L_rampe,Poids*COS(Beta),0)</f>
        <v>0</v>
      </c>
      <c r="V390" s="450" t="n">
        <f aca="false">Rho_moyen*(20000-Alt_rampe-pos_z)/(20000+Alt_rampe+pos_z)</f>
        <v>1.17300943795573</v>
      </c>
      <c r="W390" s="449" t="n">
        <f aca="false">1/2*Rho*Sref*Cx*vit_xz^2</f>
        <v>74.3505275991485</v>
      </c>
      <c r="X390" s="438"/>
      <c r="Y390" s="454" t="str">
        <f aca="false">IF(AND(pos_z&lt;=0,K389&gt;0),"Impact balistique","") &amp; IF(AND(H391&lt;0,vit_z&gt;=0),"Apogée","") &amp; IF(AND(Poussee=0,Q389&gt;0),"Fin de propulsion","") &amp; IF(AND(L391&gt;L_rampe,pos_xz&lt;=L_rampe),"Sortie de rampe","")</f>
        <v/>
      </c>
      <c r="Z390" s="455" t="str">
        <f aca="false">IF(ABS(t-T_para)&lt;pas/2,"Para","")</f>
        <v/>
      </c>
      <c r="AA390" s="456" t="str">
        <f aca="false">IF(ABS(t-T_satellite)&lt;pas/2,"Satellite","")</f>
        <v/>
      </c>
      <c r="AB390" s="444"/>
      <c r="AC390" s="452" t="e">
        <f aca="false">IF(ABS(t-ROUND(t,0))&lt;0.001,t,NA())</f>
        <v>#N/A</v>
      </c>
      <c r="AD390" s="457" t="e">
        <f aca="false">IF(ABS(t-ROUND(t,0))&lt;0.001,pos_x,NA())</f>
        <v>#N/A</v>
      </c>
      <c r="AE390" s="458" t="n">
        <f aca="false">IF(t&lt;T_para, pos_z, NA())</f>
        <v>433.614323791775</v>
      </c>
      <c r="AF390" s="444"/>
      <c r="AG390" s="450" t="n">
        <f aca="false">IF(AND(L389&lt;L_rampe,Poussee&lt;Poids*SIN(M389)),0,(-W389+Poussee)/m-Poids*SIN(M389)/m)</f>
        <v>-18.1277233130044</v>
      </c>
      <c r="AH390" s="449" t="n">
        <f aca="false">IF(AND(L389&lt;L_rampe,Poussee&lt;Poids*SIN(M389)), g*SIN(M389), (-W389+Poussee)/m)</f>
        <v>-8.61332427699827</v>
      </c>
    </row>
    <row r="391" customFormat="false" ht="12" hidden="false" customHeight="false" outlineLevel="0" collapsed="false">
      <c r="A391" s="448" t="n">
        <f aca="false">IF(B390+0.01&lt;=T_ini+ROUNDUP(Temps_fin_propu,0), 0.01, IF(K390&gt;0, 0.1, 0.0001))</f>
        <v>0.01</v>
      </c>
      <c r="B391" s="449" t="n">
        <f aca="false">B390+pas</f>
        <v>3.86999999999996</v>
      </c>
      <c r="C391" s="432"/>
      <c r="D391" s="450" t="n">
        <f aca="false">IF(AND(L390&lt;L_rampe,Poussee&lt;Poids*SIN(M390)),0,(-W390+Poussee)/m*COS(M390)-U390/m*SIN(M390))</f>
        <v>-2.09483160550436</v>
      </c>
      <c r="E391" s="451" t="n">
        <f aca="false">IF(AND(L390&lt;L_rampe,Poussee&lt;Poids*SIN(M390)),0,(-W390+Poussee)/m*SIN(M390)+U390/m*COS(M390)-Poids/m)</f>
        <v>-18.1442102127167</v>
      </c>
      <c r="F391" s="449" t="n">
        <f aca="false">SQRT(acc_x^2+acc_z^2)</f>
        <v>18.264738807294</v>
      </c>
      <c r="G391" s="450" t="n">
        <f aca="false">G390+acc_x*pas</f>
        <v>41.1370958977932</v>
      </c>
      <c r="H391" s="451" t="n">
        <f aca="false">H390+acc_z*pas</f>
        <v>163.564317471664</v>
      </c>
      <c r="I391" s="449" t="n">
        <f aca="false">SQRT(vit_x^2+vit_z^2)</f>
        <v>168.658076026248</v>
      </c>
      <c r="J391" s="450" t="n">
        <f aca="false">J390+0.5*(vit_x+G390)*pas*(K390&gt;=0)</f>
        <v>99.7826824254164</v>
      </c>
      <c r="K391" s="451" t="n">
        <f aca="false">K390+0.5*(vit_z+H390)*pas</f>
        <v>435.250874177002</v>
      </c>
      <c r="L391" s="449" t="n">
        <f aca="false">SQRT(pos_x^2+pos_z^2)</f>
        <v>446.542167307698</v>
      </c>
      <c r="M391" s="450" t="n">
        <f aca="false">IF(AND(L390&gt;L_rampe,G391&gt;0),ATAN2(G391,H391),$M$4)</f>
        <v>1.32440254512373</v>
      </c>
      <c r="N391" s="449" t="n">
        <f aca="false">DEGREES(Beta)</f>
        <v>75.8826762119744</v>
      </c>
      <c r="O391" s="438"/>
      <c r="P391" s="452" t="n">
        <f aca="false">MATCH(t-pas/2-T_ini,CdP_t)</f>
        <v>23</v>
      </c>
      <c r="Q391" s="449" t="n">
        <f aca="false">(INDEX(CdP,2,i_P+1)-INDEX(CdP,2,i_P+0))/(INDEX(CdP,1,i_P+1)-INDEX(CdP,1,i_P+0))*(t-pas/2-T_ini-INDEX(CdP,1,i_P+0))+INDEX(CdP,2,i_P+0)</f>
        <v>0</v>
      </c>
      <c r="R391" s="450" t="n">
        <f aca="false">Poussee/(g*ISP)</f>
        <v>0</v>
      </c>
      <c r="S391" s="451" t="n">
        <f aca="false">S390-Débit*pas</f>
        <v>8.652</v>
      </c>
      <c r="T391" s="449" t="n">
        <f aca="false">m*g</f>
        <v>84.87612</v>
      </c>
      <c r="U391" s="453" t="n">
        <f aca="false">IF(pos_xz&lt;L_rampe,Poids*COS(Beta),0)</f>
        <v>0</v>
      </c>
      <c r="V391" s="450" t="n">
        <f aca="false">Rho_moyen*(20000-Alt_rampe-pos_z)/(20000+Alt_rampe+pos_z)</f>
        <v>1.17281739415388</v>
      </c>
      <c r="W391" s="449" t="n">
        <f aca="false">1/2*Rho*Sref*Cx*vit_xz^2</f>
        <v>74.1789905372565</v>
      </c>
      <c r="X391" s="438"/>
      <c r="Y391" s="454" t="str">
        <f aca="false">IF(AND(pos_z&lt;=0,K390&gt;0),"Impact balistique","") &amp; IF(AND(H392&lt;0,vit_z&gt;=0),"Apogée","") &amp; IF(AND(Poussee=0,Q390&gt;0),"Fin de propulsion","") &amp; IF(AND(L392&gt;L_rampe,pos_xz&lt;=L_rampe),"Sortie de rampe","")</f>
        <v/>
      </c>
      <c r="Z391" s="455" t="str">
        <f aca="false">IF(ABS(t-T_para)&lt;pas/2,"Para","")</f>
        <v/>
      </c>
      <c r="AA391" s="456" t="str">
        <f aca="false">IF(ABS(t-T_satellite)&lt;pas/2,"Satellite","")</f>
        <v/>
      </c>
      <c r="AB391" s="444"/>
      <c r="AC391" s="452" t="e">
        <f aca="false">IF(ABS(t-ROUND(t,0))&lt;0.001,t,NA())</f>
        <v>#N/A</v>
      </c>
      <c r="AD391" s="457" t="e">
        <f aca="false">IF(ABS(t-ROUND(t,0))&lt;0.001,pos_x,NA())</f>
        <v>#N/A</v>
      </c>
      <c r="AE391" s="458" t="n">
        <f aca="false">IF(t&lt;T_para, pos_z, NA())</f>
        <v>435.250874177002</v>
      </c>
      <c r="AF391" s="444"/>
      <c r="AG391" s="450" t="n">
        <f aca="false">IF(AND(L390&lt;L_rampe,Poussee&lt;Poids*SIN(M390)),0,(-W390+Poussee)/m-Poids*SIN(M390)/m)</f>
        <v>-18.1075104039552</v>
      </c>
      <c r="AH391" s="449" t="n">
        <f aca="false">IF(AND(L390&lt;L_rampe,Poussee&lt;Poids*SIN(M390)), g*SIN(M390), (-W390+Poussee)/m)</f>
        <v>-8.5934497918572</v>
      </c>
    </row>
    <row r="392" customFormat="false" ht="12" hidden="false" customHeight="false" outlineLevel="0" collapsed="false">
      <c r="A392" s="448" t="n">
        <f aca="false">IF(B391+0.01&lt;=T_ini+ROUNDUP(Temps_fin_propu,0), 0.01, IF(K391&gt;0, 0.1, 0.0001))</f>
        <v>0.01</v>
      </c>
      <c r="B392" s="449" t="n">
        <f aca="false">B391+pas</f>
        <v>3.87999999999996</v>
      </c>
      <c r="C392" s="432"/>
      <c r="D392" s="450" t="n">
        <f aca="false">IF(AND(L391&lt;L_rampe,Poussee&lt;Poids*SIN(M391)),0,(-W391+Poussee)/m*COS(M391)-U391/m*SIN(M391))</f>
        <v>-2.09117749053845</v>
      </c>
      <c r="E392" s="451" t="n">
        <f aca="false">IF(AND(L391&lt;L_rampe,Poussee&lt;Poids*SIN(M391)),0,(-W391+Poussee)/m*SIN(M391)+U391/m*COS(M391)-Poids/m)</f>
        <v>-18.1246856015759</v>
      </c>
      <c r="F392" s="449" t="n">
        <f aca="false">SQRT(acc_x^2+acc_z^2)</f>
        <v>18.2449239914259</v>
      </c>
      <c r="G392" s="450" t="n">
        <f aca="false">G391+acc_x*pas</f>
        <v>41.1161841228878</v>
      </c>
      <c r="H392" s="451" t="n">
        <f aca="false">H391+acc_z*pas</f>
        <v>163.383070615649</v>
      </c>
      <c r="I392" s="449" t="n">
        <f aca="false">SQRT(vit_x^2+vit_z^2)</f>
        <v>168.477204275906</v>
      </c>
      <c r="J392" s="450" t="n">
        <f aca="false">J391+0.5*(vit_x+G391)*pas*(K391&gt;=0)</f>
        <v>100.19394882552</v>
      </c>
      <c r="K392" s="451" t="n">
        <f aca="false">K391+0.5*(vit_z+H391)*pas</f>
        <v>436.885611117438</v>
      </c>
      <c r="L392" s="449" t="n">
        <f aca="false">SQRT(pos_x^2+pos_z^2)</f>
        <v>448.227469687779</v>
      </c>
      <c r="M392" s="450" t="n">
        <f aca="false">IF(AND(L391&gt;L_rampe,G392&gt;0),ATAN2(G392,H392),$M$4)</f>
        <v>1.32426052354076</v>
      </c>
      <c r="N392" s="449" t="n">
        <f aca="false">DEGREES(Beta)</f>
        <v>75.8745389746703</v>
      </c>
      <c r="O392" s="438"/>
      <c r="P392" s="452" t="n">
        <f aca="false">MATCH(t-pas/2-T_ini,CdP_t)</f>
        <v>23</v>
      </c>
      <c r="Q392" s="449" t="n">
        <f aca="false">(INDEX(CdP,2,i_P+1)-INDEX(CdP,2,i_P+0))/(INDEX(CdP,1,i_P+1)-INDEX(CdP,1,i_P+0))*(t-pas/2-T_ini-INDEX(CdP,1,i_P+0))+INDEX(CdP,2,i_P+0)</f>
        <v>0</v>
      </c>
      <c r="R392" s="450" t="n">
        <f aca="false">Poussee/(g*ISP)</f>
        <v>0</v>
      </c>
      <c r="S392" s="451" t="n">
        <f aca="false">S391-Débit*pas</f>
        <v>8.652</v>
      </c>
      <c r="T392" s="449" t="n">
        <f aca="false">m*g</f>
        <v>84.87612</v>
      </c>
      <c r="U392" s="453" t="n">
        <f aca="false">IF(pos_xz&lt;L_rampe,Poids*COS(Beta),0)</f>
        <v>0</v>
      </c>
      <c r="V392" s="450" t="n">
        <f aca="false">Rho_moyen*(20000-Alt_rampe-pos_z)/(20000+Alt_rampe+pos_z)</f>
        <v>1.17262559385979</v>
      </c>
      <c r="W392" s="449" t="n">
        <f aca="false">1/2*Rho*Sref*Cx*vit_xz^2</f>
        <v>74.0078691771306</v>
      </c>
      <c r="X392" s="438"/>
      <c r="Y392" s="454" t="str">
        <f aca="false">IF(AND(pos_z&lt;=0,K391&gt;0),"Impact balistique","") &amp; IF(AND(H393&lt;0,vit_z&gt;=0),"Apogée","") &amp; IF(AND(Poussee=0,Q391&gt;0),"Fin de propulsion","") &amp; IF(AND(L393&gt;L_rampe,pos_xz&lt;=L_rampe),"Sortie de rampe","")</f>
        <v/>
      </c>
      <c r="Z392" s="455" t="str">
        <f aca="false">IF(ABS(t-T_para)&lt;pas/2,"Para","")</f>
        <v/>
      </c>
      <c r="AA392" s="456" t="str">
        <f aca="false">IF(ABS(t-T_satellite)&lt;pas/2,"Satellite","")</f>
        <v/>
      </c>
      <c r="AB392" s="444"/>
      <c r="AC392" s="452" t="e">
        <f aca="false">IF(ABS(t-ROUND(t,0))&lt;0.001,t,NA())</f>
        <v>#N/A</v>
      </c>
      <c r="AD392" s="457" t="e">
        <f aca="false">IF(ABS(t-ROUND(t,0))&lt;0.001,pos_x,NA())</f>
        <v>#N/A</v>
      </c>
      <c r="AE392" s="458" t="n">
        <f aca="false">IF(t&lt;T_para, pos_z, NA())</f>
        <v>436.885611117438</v>
      </c>
      <c r="AF392" s="444"/>
      <c r="AG392" s="450" t="n">
        <f aca="false">IF(AND(L391&lt;L_rampe,Poussee&lt;Poids*SIN(M391)),0,(-W391+Poussee)/m-Poids*SIN(M391)/m)</f>
        <v>-18.0873449445913</v>
      </c>
      <c r="AH392" s="449" t="n">
        <f aca="false">IF(AND(L391&lt;L_rampe,Poussee&lt;Poids*SIN(M391)), g*SIN(M391), (-W391+Poussee)/m)</f>
        <v>-8.57362350176335</v>
      </c>
    </row>
    <row r="393" customFormat="false" ht="12" hidden="false" customHeight="false" outlineLevel="0" collapsed="false">
      <c r="A393" s="448" t="n">
        <f aca="false">IF(B392+0.01&lt;=T_ini+ROUNDUP(Temps_fin_propu,0), 0.01, IF(K392&gt;0, 0.1, 0.0001))</f>
        <v>0.01</v>
      </c>
      <c r="B393" s="449" t="n">
        <f aca="false">B392+pas</f>
        <v>3.88999999999996</v>
      </c>
      <c r="C393" s="432"/>
      <c r="D393" s="450" t="n">
        <f aca="false">IF(AND(L392&lt;L_rampe,Poussee&lt;Poids*SIN(M392)),0,(-W392+Poussee)/m*COS(M392)-U392/m*SIN(M392))</f>
        <v>-2.08753153354808</v>
      </c>
      <c r="E393" s="451" t="n">
        <f aca="false">IF(AND(L392&lt;L_rampe,Poussee&lt;Poids*SIN(M392)),0,(-W392+Poussee)/m*SIN(M392)+U392/m*COS(M392)-Poids/m)</f>
        <v>-18.1052083038324</v>
      </c>
      <c r="F393" s="449" t="n">
        <f aca="false">SQRT(acc_x^2+acc_z^2)</f>
        <v>18.2251572182167</v>
      </c>
      <c r="G393" s="450" t="n">
        <f aca="false">G392+acc_x*pas</f>
        <v>41.0953088075523</v>
      </c>
      <c r="H393" s="451" t="n">
        <f aca="false">H392+acc_z*pas</f>
        <v>163.20201853261</v>
      </c>
      <c r="I393" s="449" t="n">
        <f aca="false">SQRT(vit_x^2+vit_z^2)</f>
        <v>168.296533710907</v>
      </c>
      <c r="J393" s="450" t="n">
        <f aca="false">J392+0.5*(vit_x+G392)*pas*(K392&gt;=0)</f>
        <v>100.605006290172</v>
      </c>
      <c r="K393" s="451" t="n">
        <f aca="false">K392+0.5*(vit_z+H392)*pas</f>
        <v>438.51853656318</v>
      </c>
      <c r="L393" s="449" t="n">
        <f aca="false">SQRT(pos_x^2+pos_z^2)</f>
        <v>449.910962524985</v>
      </c>
      <c r="M393" s="450" t="n">
        <f aca="false">IF(AND(L392&gt;L_rampe,G393&gt;0),ATAN2(G393,H393),$M$4)</f>
        <v>1.32411826921136</v>
      </c>
      <c r="N393" s="449" t="n">
        <f aca="false">DEGREES(Beta)</f>
        <v>75.8663884019784</v>
      </c>
      <c r="O393" s="438"/>
      <c r="P393" s="452" t="n">
        <f aca="false">MATCH(t-pas/2-T_ini,CdP_t)</f>
        <v>23</v>
      </c>
      <c r="Q393" s="449" t="n">
        <f aca="false">(INDEX(CdP,2,i_P+1)-INDEX(CdP,2,i_P+0))/(INDEX(CdP,1,i_P+1)-INDEX(CdP,1,i_P+0))*(t-pas/2-T_ini-INDEX(CdP,1,i_P+0))+INDEX(CdP,2,i_P+0)</f>
        <v>0</v>
      </c>
      <c r="R393" s="450" t="n">
        <f aca="false">Poussee/(g*ISP)</f>
        <v>0</v>
      </c>
      <c r="S393" s="451" t="n">
        <f aca="false">S392-Débit*pas</f>
        <v>8.652</v>
      </c>
      <c r="T393" s="449" t="n">
        <f aca="false">m*g</f>
        <v>84.87612</v>
      </c>
      <c r="U393" s="453" t="n">
        <f aca="false">IF(pos_xz&lt;L_rampe,Poids*COS(Beta),0)</f>
        <v>0</v>
      </c>
      <c r="V393" s="450" t="n">
        <f aca="false">Rho_moyen*(20000-Alt_rampe-pos_z)/(20000+Alt_rampe+pos_z)</f>
        <v>1.17243403673521</v>
      </c>
      <c r="W393" s="449" t="n">
        <f aca="false">1/2*Rho*Sref*Cx*vit_xz^2</f>
        <v>73.8371622420529</v>
      </c>
      <c r="X393" s="438"/>
      <c r="Y393" s="454" t="str">
        <f aca="false">IF(AND(pos_z&lt;=0,K392&gt;0),"Impact balistique","") &amp; IF(AND(H394&lt;0,vit_z&gt;=0),"Apogée","") &amp; IF(AND(Poussee=0,Q392&gt;0),"Fin de propulsion","") &amp; IF(AND(L394&gt;L_rampe,pos_xz&lt;=L_rampe),"Sortie de rampe","")</f>
        <v/>
      </c>
      <c r="Z393" s="455" t="str">
        <f aca="false">IF(ABS(t-T_para)&lt;pas/2,"Para","")</f>
        <v/>
      </c>
      <c r="AA393" s="456" t="str">
        <f aca="false">IF(ABS(t-T_satellite)&lt;pas/2,"Satellite","")</f>
        <v/>
      </c>
      <c r="AB393" s="444"/>
      <c r="AC393" s="452" t="e">
        <f aca="false">IF(ABS(t-ROUND(t,0))&lt;0.001,t,NA())</f>
        <v>#N/A</v>
      </c>
      <c r="AD393" s="457" t="e">
        <f aca="false">IF(ABS(t-ROUND(t,0))&lt;0.001,pos_x,NA())</f>
        <v>#N/A</v>
      </c>
      <c r="AE393" s="458" t="n">
        <f aca="false">IF(t&lt;T_para, pos_z, NA())</f>
        <v>438.51853656318</v>
      </c>
      <c r="AF393" s="444"/>
      <c r="AG393" s="450" t="n">
        <f aca="false">IF(AND(L392&lt;L_rampe,Poussee&lt;Poids*SIN(M392)),0,(-W392+Poussee)/m-Poids*SIN(M392)/m)</f>
        <v>-18.0672267847401</v>
      </c>
      <c r="AH393" s="449" t="n">
        <f aca="false">IF(AND(L392&lt;L_rampe,Poussee&lt;Poids*SIN(M392)), g*SIN(M392), (-W392+Poussee)/m)</f>
        <v>-8.55384525856803</v>
      </c>
    </row>
    <row r="394" customFormat="false" ht="12" hidden="false" customHeight="false" outlineLevel="0" collapsed="false">
      <c r="A394" s="448" t="n">
        <f aca="false">IF(B393+0.01&lt;=T_ini+ROUNDUP(Temps_fin_propu,0), 0.01, IF(K393&gt;0, 0.1, 0.0001))</f>
        <v>0.01</v>
      </c>
      <c r="B394" s="449" t="n">
        <f aca="false">B393+pas</f>
        <v>3.89999999999996</v>
      </c>
      <c r="C394" s="432"/>
      <c r="D394" s="450" t="n">
        <f aca="false">IF(AND(L393&lt;L_rampe,Poussee&lt;Poids*SIN(M393)),0,(-W393+Poussee)/m*COS(M393)-U393/m*SIN(M393))</f>
        <v>-2.08389370883597</v>
      </c>
      <c r="E394" s="451" t="n">
        <f aca="false">IF(AND(L393&lt;L_rampe,Poussee&lt;Poids*SIN(M393)),0,(-W393+Poussee)/m*SIN(M393)+U393/m*COS(M393)-Poids/m)</f>
        <v>-18.0857781741486</v>
      </c>
      <c r="F394" s="449" t="n">
        <f aca="false">SQRT(acc_x^2+acc_z^2)</f>
        <v>18.205438340074</v>
      </c>
      <c r="G394" s="450" t="n">
        <f aca="false">G393+acc_x*pas</f>
        <v>41.074469870464</v>
      </c>
      <c r="H394" s="451" t="n">
        <f aca="false">H393+acc_z*pas</f>
        <v>163.021160750869</v>
      </c>
      <c r="I394" s="449" t="n">
        <f aca="false">SQRT(vit_x^2+vit_z^2)</f>
        <v>168.116063859764</v>
      </c>
      <c r="J394" s="450" t="n">
        <f aca="false">J393+0.5*(vit_x+G393)*pas*(K393&gt;=0)</f>
        <v>101.015855183562</v>
      </c>
      <c r="K394" s="451" t="n">
        <f aca="false">K393+0.5*(vit_z+H393)*pas</f>
        <v>440.149652459597</v>
      </c>
      <c r="L394" s="449" t="n">
        <f aca="false">SQRT(pos_x^2+pos_z^2)</f>
        <v>451.592647813016</v>
      </c>
      <c r="M394" s="450" t="n">
        <f aca="false">IF(AND(L393&gt;L_rampe,G394&gt;0),ATAN2(G394,H394),$M$4)</f>
        <v>1.32397578167657</v>
      </c>
      <c r="N394" s="449" t="n">
        <f aca="false">DEGREES(Beta)</f>
        <v>75.8582244676018</v>
      </c>
      <c r="O394" s="438"/>
      <c r="P394" s="452" t="n">
        <f aca="false">MATCH(t-pas/2-T_ini,CdP_t)</f>
        <v>23</v>
      </c>
      <c r="Q394" s="449" t="n">
        <f aca="false">(INDEX(CdP,2,i_P+1)-INDEX(CdP,2,i_P+0))/(INDEX(CdP,1,i_P+1)-INDEX(CdP,1,i_P+0))*(t-pas/2-T_ini-INDEX(CdP,1,i_P+0))+INDEX(CdP,2,i_P+0)</f>
        <v>0</v>
      </c>
      <c r="R394" s="450" t="n">
        <f aca="false">Poussee/(g*ISP)</f>
        <v>0</v>
      </c>
      <c r="S394" s="451" t="n">
        <f aca="false">S393-Débit*pas</f>
        <v>8.652</v>
      </c>
      <c r="T394" s="449" t="n">
        <f aca="false">m*g</f>
        <v>84.87612</v>
      </c>
      <c r="U394" s="453" t="n">
        <f aca="false">IF(pos_xz&lt;L_rampe,Poids*COS(Beta),0)</f>
        <v>0</v>
      </c>
      <c r="V394" s="450" t="n">
        <f aca="false">Rho_moyen*(20000-Alt_rampe-pos_z)/(20000+Alt_rampe+pos_z)</f>
        <v>1.17224272244278</v>
      </c>
      <c r="W394" s="449" t="n">
        <f aca="false">1/2*Rho*Sref*Cx*vit_xz^2</f>
        <v>73.6668684603467</v>
      </c>
      <c r="X394" s="438"/>
      <c r="Y394" s="454" t="str">
        <f aca="false">IF(AND(pos_z&lt;=0,K393&gt;0),"Impact balistique","") &amp; IF(AND(H395&lt;0,vit_z&gt;=0),"Apogée","") &amp; IF(AND(Poussee=0,Q393&gt;0),"Fin de propulsion","") &amp; IF(AND(L395&gt;L_rampe,pos_xz&lt;=L_rampe),"Sortie de rampe","")</f>
        <v/>
      </c>
      <c r="Z394" s="455" t="str">
        <f aca="false">IF(ABS(t-T_para)&lt;pas/2,"Para","")</f>
        <v/>
      </c>
      <c r="AA394" s="456" t="str">
        <f aca="false">IF(ABS(t-T_satellite)&lt;pas/2,"Satellite","")</f>
        <v/>
      </c>
      <c r="AB394" s="444"/>
      <c r="AC394" s="452" t="e">
        <f aca="false">IF(ABS(t-ROUND(t,0))&lt;0.001,t,NA())</f>
        <v>#N/A</v>
      </c>
      <c r="AD394" s="457" t="e">
        <f aca="false">IF(ABS(t-ROUND(t,0))&lt;0.001,pos_x,NA())</f>
        <v>#N/A</v>
      </c>
      <c r="AE394" s="458" t="n">
        <f aca="false">IF(t&lt;T_para, pos_z, NA())</f>
        <v>440.149652459597</v>
      </c>
      <c r="AF394" s="444"/>
      <c r="AG394" s="450" t="n">
        <f aca="false">IF(AND(L393&lt;L_rampe,Poussee&lt;Poids*SIN(M393)),0,(-W393+Poussee)/m-Poids*SIN(M393)/m)</f>
        <v>-18.047155774807</v>
      </c>
      <c r="AH394" s="449" t="n">
        <f aca="false">IF(AND(L393&lt;L_rampe,Poussee&lt;Poids*SIN(M393)), g*SIN(M393), (-W393+Poussee)/m)</f>
        <v>-8.53411491470792</v>
      </c>
    </row>
    <row r="395" customFormat="false" ht="12" hidden="false" customHeight="false" outlineLevel="0" collapsed="false">
      <c r="A395" s="448" t="n">
        <f aca="false">IF(B394+0.01&lt;=T_ini+ROUNDUP(Temps_fin_propu,0), 0.01, IF(K394&gt;0, 0.1, 0.0001))</f>
        <v>0.01</v>
      </c>
      <c r="B395" s="449" t="n">
        <f aca="false">B394+pas</f>
        <v>3.90999999999996</v>
      </c>
      <c r="C395" s="432"/>
      <c r="D395" s="450" t="n">
        <f aca="false">IF(AND(L394&lt;L_rampe,Poussee&lt;Poids*SIN(M394)),0,(-W394+Poussee)/m*COS(M394)-U394/m*SIN(M394))</f>
        <v>-2.08026399080582</v>
      </c>
      <c r="E395" s="451" t="n">
        <f aca="false">IF(AND(L394&lt;L_rampe,Poussee&lt;Poids*SIN(M394)),0,(-W394+Poussee)/m*SIN(M394)+U394/m*COS(M394)-Poids/m)</f>
        <v>-18.0663950677611</v>
      </c>
      <c r="F395" s="449" t="n">
        <f aca="false">SQRT(acc_x^2+acc_z^2)</f>
        <v>18.1857672099877</v>
      </c>
      <c r="G395" s="450" t="n">
        <f aca="false">G394+acc_x*pas</f>
        <v>41.0536672305559</v>
      </c>
      <c r="H395" s="451" t="n">
        <f aca="false">H394+acc_z*pas</f>
        <v>162.840496800191</v>
      </c>
      <c r="I395" s="449" t="n">
        <f aca="false">SQRT(vit_x^2+vit_z^2)</f>
        <v>167.935794252477</v>
      </c>
      <c r="J395" s="450" t="n">
        <f aca="false">J394+0.5*(vit_x+G394)*pas*(K394&gt;=0)</f>
        <v>101.426495869067</v>
      </c>
      <c r="K395" s="451" t="n">
        <f aca="false">K394+0.5*(vit_z+H394)*pas</f>
        <v>441.778960747352</v>
      </c>
      <c r="L395" s="449" t="n">
        <f aca="false">SQRT(pos_x^2+pos_z^2)</f>
        <v>453.27252754087</v>
      </c>
      <c r="M395" s="450" t="n">
        <f aca="false">IF(AND(L394&gt;L_rampe,G395&gt;0),ATAN2(G395,H395),$M$4)</f>
        <v>1.32383306047613</v>
      </c>
      <c r="N395" s="449" t="n">
        <f aca="false">DEGREES(Beta)</f>
        <v>75.8500471451696</v>
      </c>
      <c r="O395" s="438"/>
      <c r="P395" s="452" t="n">
        <f aca="false">MATCH(t-pas/2-T_ini,CdP_t)</f>
        <v>23</v>
      </c>
      <c r="Q395" s="449" t="n">
        <f aca="false">(INDEX(CdP,2,i_P+1)-INDEX(CdP,2,i_P+0))/(INDEX(CdP,1,i_P+1)-INDEX(CdP,1,i_P+0))*(t-pas/2-T_ini-INDEX(CdP,1,i_P+0))+INDEX(CdP,2,i_P+0)</f>
        <v>0</v>
      </c>
      <c r="R395" s="450" t="n">
        <f aca="false">Poussee/(g*ISP)</f>
        <v>0</v>
      </c>
      <c r="S395" s="451" t="n">
        <f aca="false">S394-Débit*pas</f>
        <v>8.652</v>
      </c>
      <c r="T395" s="449" t="n">
        <f aca="false">m*g</f>
        <v>84.87612</v>
      </c>
      <c r="U395" s="453" t="n">
        <f aca="false">IF(pos_xz&lt;L_rampe,Poids*COS(Beta),0)</f>
        <v>0</v>
      </c>
      <c r="V395" s="450" t="n">
        <f aca="false">Rho_moyen*(20000-Alt_rampe-pos_z)/(20000+Alt_rampe+pos_z)</f>
        <v>1.17205165064599</v>
      </c>
      <c r="W395" s="449" t="n">
        <f aca="false">1/2*Rho*Sref*Cx*vit_xz^2</f>
        <v>73.4969865653523</v>
      </c>
      <c r="X395" s="438"/>
      <c r="Y395" s="454" t="str">
        <f aca="false">IF(AND(pos_z&lt;=0,K394&gt;0),"Impact balistique","") &amp; IF(AND(H396&lt;0,vit_z&gt;=0),"Apogée","") &amp; IF(AND(Poussee=0,Q394&gt;0),"Fin de propulsion","") &amp; IF(AND(L396&gt;L_rampe,pos_xz&lt;=L_rampe),"Sortie de rampe","")</f>
        <v/>
      </c>
      <c r="Z395" s="455" t="str">
        <f aca="false">IF(ABS(t-T_para)&lt;pas/2,"Para","")</f>
        <v/>
      </c>
      <c r="AA395" s="456" t="str">
        <f aca="false">IF(ABS(t-T_satellite)&lt;pas/2,"Satellite","")</f>
        <v/>
      </c>
      <c r="AB395" s="444"/>
      <c r="AC395" s="452" t="e">
        <f aca="false">IF(ABS(t-ROUND(t,0))&lt;0.001,t,NA())</f>
        <v>#N/A</v>
      </c>
      <c r="AD395" s="457" t="e">
        <f aca="false">IF(ABS(t-ROUND(t,0))&lt;0.001,pos_x,NA())</f>
        <v>#N/A</v>
      </c>
      <c r="AE395" s="458" t="n">
        <f aca="false">IF(t&lt;T_para, pos_z, NA())</f>
        <v>441.778960747352</v>
      </c>
      <c r="AF395" s="444"/>
      <c r="AG395" s="450" t="n">
        <f aca="false">IF(AND(L394&lt;L_rampe,Poussee&lt;Poids*SIN(M394)),0,(-W394+Poussee)/m-Poids*SIN(M394)/m)</f>
        <v>-18.0271317657734</v>
      </c>
      <c r="AH395" s="449" t="n">
        <f aca="false">IF(AND(L394&lt;L_rampe,Poussee&lt;Poids*SIN(M394)), g*SIN(M394), (-W394+Poussee)/m)</f>
        <v>-8.51443232320235</v>
      </c>
    </row>
    <row r="396" customFormat="false" ht="12" hidden="false" customHeight="false" outlineLevel="0" collapsed="false">
      <c r="A396" s="448" t="n">
        <f aca="false">IF(B395+0.01&lt;=T_ini+ROUNDUP(Temps_fin_propu,0), 0.01, IF(K395&gt;0, 0.1, 0.0001))</f>
        <v>0.01</v>
      </c>
      <c r="B396" s="449" t="n">
        <f aca="false">B395+pas</f>
        <v>3.91999999999996</v>
      </c>
      <c r="C396" s="432"/>
      <c r="D396" s="450" t="n">
        <f aca="false">IF(AND(L395&lt;L_rampe,Poussee&lt;Poids*SIN(M395)),0,(-W395+Poussee)/m*COS(M395)-U395/m*SIN(M395))</f>
        <v>-2.07664235396185</v>
      </c>
      <c r="E396" s="451" t="n">
        <f aca="false">IF(AND(L395&lt;L_rampe,Poussee&lt;Poids*SIN(M395)),0,(-W395+Poussee)/m*SIN(M395)+U395/m*COS(M395)-Poids/m)</f>
        <v>-18.0470588404774</v>
      </c>
      <c r="F396" s="449" t="n">
        <f aca="false">SQRT(acc_x^2+acc_z^2)</f>
        <v>18.166143681528</v>
      </c>
      <c r="G396" s="450" t="n">
        <f aca="false">G395+acc_x*pas</f>
        <v>41.0329008070163</v>
      </c>
      <c r="H396" s="451" t="n">
        <f aca="false">H395+acc_z*pas</f>
        <v>162.660026211786</v>
      </c>
      <c r="I396" s="449" t="n">
        <f aca="false">SQRT(vit_x^2+vit_z^2)</f>
        <v>167.755724420532</v>
      </c>
      <c r="J396" s="450" t="n">
        <f aca="false">J395+0.5*(vit_x+G395)*pas*(K395&gt;=0)</f>
        <v>101.836928709255</v>
      </c>
      <c r="K396" s="451" t="n">
        <f aca="false">K395+0.5*(vit_z+H395)*pas</f>
        <v>443.406463362412</v>
      </c>
      <c r="L396" s="449" t="n">
        <f aca="false">SQRT(pos_x^2+pos_z^2)</f>
        <v>454.950603692858</v>
      </c>
      <c r="M396" s="450" t="n">
        <f aca="false">IF(AND(L395&gt;L_rampe,G396&gt;0),ATAN2(G396,H396),$M$4)</f>
        <v>1.3236901051485</v>
      </c>
      <c r="N396" s="449" t="n">
        <f aca="false">DEGREES(Beta)</f>
        <v>75.8418564082371</v>
      </c>
      <c r="O396" s="438"/>
      <c r="P396" s="452" t="n">
        <f aca="false">MATCH(t-pas/2-T_ini,CdP_t)</f>
        <v>23</v>
      </c>
      <c r="Q396" s="449" t="n">
        <f aca="false">(INDEX(CdP,2,i_P+1)-INDEX(CdP,2,i_P+0))/(INDEX(CdP,1,i_P+1)-INDEX(CdP,1,i_P+0))*(t-pas/2-T_ini-INDEX(CdP,1,i_P+0))+INDEX(CdP,2,i_P+0)</f>
        <v>0</v>
      </c>
      <c r="R396" s="450" t="n">
        <f aca="false">Poussee/(g*ISP)</f>
        <v>0</v>
      </c>
      <c r="S396" s="451" t="n">
        <f aca="false">S395-Débit*pas</f>
        <v>8.652</v>
      </c>
      <c r="T396" s="449" t="n">
        <f aca="false">m*g</f>
        <v>84.87612</v>
      </c>
      <c r="U396" s="453" t="n">
        <f aca="false">IF(pos_xz&lt;L_rampe,Poids*COS(Beta),0)</f>
        <v>0</v>
      </c>
      <c r="V396" s="450" t="n">
        <f aca="false">Rho_moyen*(20000-Alt_rampe-pos_z)/(20000+Alt_rampe+pos_z)</f>
        <v>1.17186082100922</v>
      </c>
      <c r="W396" s="449" t="n">
        <f aca="false">1/2*Rho*Sref*Cx*vit_xz^2</f>
        <v>73.3275152954033</v>
      </c>
      <c r="X396" s="438"/>
      <c r="Y396" s="454" t="str">
        <f aca="false">IF(AND(pos_z&lt;=0,K395&gt;0),"Impact balistique","") &amp; IF(AND(H397&lt;0,vit_z&gt;=0),"Apogée","") &amp; IF(AND(Poussee=0,Q395&gt;0),"Fin de propulsion","") &amp; IF(AND(L397&gt;L_rampe,pos_xz&lt;=L_rampe),"Sortie de rampe","")</f>
        <v/>
      </c>
      <c r="Z396" s="455" t="str">
        <f aca="false">IF(ABS(t-T_para)&lt;pas/2,"Para","")</f>
        <v/>
      </c>
      <c r="AA396" s="456" t="str">
        <f aca="false">IF(ABS(t-T_satellite)&lt;pas/2,"Satellite","")</f>
        <v/>
      </c>
      <c r="AB396" s="444"/>
      <c r="AC396" s="452" t="e">
        <f aca="false">IF(ABS(t-ROUND(t,0))&lt;0.001,t,NA())</f>
        <v>#N/A</v>
      </c>
      <c r="AD396" s="457" t="e">
        <f aca="false">IF(ABS(t-ROUND(t,0))&lt;0.001,pos_x,NA())</f>
        <v>#N/A</v>
      </c>
      <c r="AE396" s="458" t="n">
        <f aca="false">IF(t&lt;T_para, pos_z, NA())</f>
        <v>443.406463362412</v>
      </c>
      <c r="AF396" s="444"/>
      <c r="AG396" s="450" t="n">
        <f aca="false">IF(AND(L395&lt;L_rampe,Poussee&lt;Poids*SIN(M395)),0,(-W395+Poussee)/m-Poids*SIN(M395)/m)</f>
        <v>-18.0071546091934</v>
      </c>
      <c r="AH396" s="449" t="n">
        <f aca="false">IF(AND(L395&lt;L_rampe,Poussee&lt;Poids*SIN(M395)), g*SIN(M395), (-W395+Poussee)/m)</f>
        <v>-8.49479733765053</v>
      </c>
    </row>
    <row r="397" customFormat="false" ht="12" hidden="false" customHeight="false" outlineLevel="0" collapsed="false">
      <c r="A397" s="448" t="n">
        <f aca="false">IF(B396+0.01&lt;=T_ini+ROUNDUP(Temps_fin_propu,0), 0.01, IF(K396&gt;0, 0.1, 0.0001))</f>
        <v>0.01</v>
      </c>
      <c r="B397" s="449" t="n">
        <f aca="false">B396+pas</f>
        <v>3.92999999999996</v>
      </c>
      <c r="C397" s="432"/>
      <c r="D397" s="450" t="n">
        <f aca="false">IF(AND(L396&lt;L_rampe,Poussee&lt;Poids*SIN(M396)),0,(-W396+Poussee)/m*COS(M396)-U396/m*SIN(M396))</f>
        <v>-2.07302877290828</v>
      </c>
      <c r="E397" s="451" t="n">
        <f aca="false">IF(AND(L396&lt;L_rampe,Poussee&lt;Poids*SIN(M396)),0,(-W396+Poussee)/m*SIN(M396)+U396/m*COS(M396)-Poids/m)</f>
        <v>-18.0277693486732</v>
      </c>
      <c r="F397" s="449" t="n">
        <f aca="false">SQRT(acc_x^2+acc_z^2)</f>
        <v>18.1465676088418</v>
      </c>
      <c r="G397" s="450" t="n">
        <f aca="false">G396+acc_x*pas</f>
        <v>41.0121705192872</v>
      </c>
      <c r="H397" s="451" t="n">
        <f aca="false">H396+acc_z*pas</f>
        <v>162.4797485183</v>
      </c>
      <c r="I397" s="449" t="n">
        <f aca="false">SQRT(vit_x^2+vit_z^2)</f>
        <v>167.575853896894</v>
      </c>
      <c r="J397" s="450" t="n">
        <f aca="false">J396+0.5*(vit_x+G396)*pas*(K396&gt;=0)</f>
        <v>102.247154065887</v>
      </c>
      <c r="K397" s="451" t="n">
        <f aca="false">K396+0.5*(vit_z+H396)*pas</f>
        <v>445.032162236063</v>
      </c>
      <c r="L397" s="449" t="n">
        <f aca="false">SQRT(pos_x^2+pos_z^2)</f>
        <v>456.626878248618</v>
      </c>
      <c r="M397" s="450" t="n">
        <f aca="false">IF(AND(L396&gt;L_rampe,G397&gt;0),ATAN2(G397,H397),$M$4)</f>
        <v>1.32354691523082</v>
      </c>
      <c r="N397" s="449" t="n">
        <f aca="false">DEGREES(Beta)</f>
        <v>75.8336522302855</v>
      </c>
      <c r="O397" s="438"/>
      <c r="P397" s="452" t="n">
        <f aca="false">MATCH(t-pas/2-T_ini,CdP_t)</f>
        <v>23</v>
      </c>
      <c r="Q397" s="449" t="n">
        <f aca="false">(INDEX(CdP,2,i_P+1)-INDEX(CdP,2,i_P+0))/(INDEX(CdP,1,i_P+1)-INDEX(CdP,1,i_P+0))*(t-pas/2-T_ini-INDEX(CdP,1,i_P+0))+INDEX(CdP,2,i_P+0)</f>
        <v>0</v>
      </c>
      <c r="R397" s="450" t="n">
        <f aca="false">Poussee/(g*ISP)</f>
        <v>0</v>
      </c>
      <c r="S397" s="451" t="n">
        <f aca="false">S396-Débit*pas</f>
        <v>8.652</v>
      </c>
      <c r="T397" s="449" t="n">
        <f aca="false">m*g</f>
        <v>84.87612</v>
      </c>
      <c r="U397" s="453" t="n">
        <f aca="false">IF(pos_xz&lt;L_rampe,Poids*COS(Beta),0)</f>
        <v>0</v>
      </c>
      <c r="V397" s="450" t="n">
        <f aca="false">Rho_moyen*(20000-Alt_rampe-pos_z)/(20000+Alt_rampe+pos_z)</f>
        <v>1.17167023319766</v>
      </c>
      <c r="W397" s="449" t="n">
        <f aca="false">1/2*Rho*Sref*Cx*vit_xz^2</f>
        <v>73.1584533938031</v>
      </c>
      <c r="X397" s="438"/>
      <c r="Y397" s="454" t="str">
        <f aca="false">IF(AND(pos_z&lt;=0,K396&gt;0),"Impact balistique","") &amp; IF(AND(H398&lt;0,vit_z&gt;=0),"Apogée","") &amp; IF(AND(Poussee=0,Q396&gt;0),"Fin de propulsion","") &amp; IF(AND(L398&gt;L_rampe,pos_xz&lt;=L_rampe),"Sortie de rampe","")</f>
        <v/>
      </c>
      <c r="Z397" s="455" t="str">
        <f aca="false">IF(ABS(t-T_para)&lt;pas/2,"Para","")</f>
        <v/>
      </c>
      <c r="AA397" s="456" t="str">
        <f aca="false">IF(ABS(t-T_satellite)&lt;pas/2,"Satellite","")</f>
        <v/>
      </c>
      <c r="AB397" s="444"/>
      <c r="AC397" s="452" t="e">
        <f aca="false">IF(ABS(t-ROUND(t,0))&lt;0.001,t,NA())</f>
        <v>#N/A</v>
      </c>
      <c r="AD397" s="457" t="e">
        <f aca="false">IF(ABS(t-ROUND(t,0))&lt;0.001,pos_x,NA())</f>
        <v>#N/A</v>
      </c>
      <c r="AE397" s="458" t="n">
        <f aca="false">IF(t&lt;T_para, pos_z, NA())</f>
        <v>445.032162236063</v>
      </c>
      <c r="AF397" s="444"/>
      <c r="AG397" s="450" t="n">
        <f aca="false">IF(AND(L396&lt;L_rampe,Poussee&lt;Poids*SIN(M396)),0,(-W396+Poussee)/m-Poids*SIN(M396)/m)</f>
        <v>-17.987224157191</v>
      </c>
      <c r="AH397" s="449" t="n">
        <f aca="false">IF(AND(L396&lt;L_rampe,Poussee&lt;Poids*SIN(M396)), g*SIN(M396), (-W396+Poussee)/m)</f>
        <v>-8.47520981222877</v>
      </c>
    </row>
    <row r="398" customFormat="false" ht="12" hidden="false" customHeight="false" outlineLevel="0" collapsed="false">
      <c r="A398" s="448" t="n">
        <f aca="false">IF(B397+0.01&lt;=T_ini+ROUNDUP(Temps_fin_propu,0), 0.01, IF(K397&gt;0, 0.1, 0.0001))</f>
        <v>0.01</v>
      </c>
      <c r="B398" s="449" t="n">
        <f aca="false">B397+pas</f>
        <v>3.93999999999996</v>
      </c>
      <c r="C398" s="432"/>
      <c r="D398" s="450" t="n">
        <f aca="false">IF(AND(L397&lt;L_rampe,Poussee&lt;Poids*SIN(M397)),0,(-W397+Poussee)/m*COS(M397)-U397/m*SIN(M397))</f>
        <v>-2.06942322234888</v>
      </c>
      <c r="E398" s="451" t="n">
        <f aca="false">IF(AND(L397&lt;L_rampe,Poussee&lt;Poids*SIN(M397)),0,(-W397+Poussee)/m*SIN(M397)+U397/m*COS(M397)-Poids/m)</f>
        <v>-18.0085264492902</v>
      </c>
      <c r="F398" s="449" t="n">
        <f aca="false">SQRT(acc_x^2+acc_z^2)</f>
        <v>18.1270388466506</v>
      </c>
      <c r="G398" s="450" t="n">
        <f aca="false">G397+acc_x*pas</f>
        <v>40.9914762870637</v>
      </c>
      <c r="H398" s="451" t="n">
        <f aca="false">H397+acc_z*pas</f>
        <v>162.299663253807</v>
      </c>
      <c r="I398" s="449" t="n">
        <f aca="false">SQRT(vit_x^2+vit_z^2)</f>
        <v>167.396182215999</v>
      </c>
      <c r="J398" s="450" t="n">
        <f aca="false">J397+0.5*(vit_x+G397)*pas*(K397&gt;=0)</f>
        <v>102.657172299918</v>
      </c>
      <c r="K398" s="451" t="n">
        <f aca="false">K397+0.5*(vit_z+H397)*pas</f>
        <v>446.656059294923</v>
      </c>
      <c r="L398" s="449" t="n">
        <f aca="false">SQRT(pos_x^2+pos_z^2)</f>
        <v>458.301353183127</v>
      </c>
      <c r="M398" s="450" t="n">
        <f aca="false">IF(AND(L397&gt;L_rampe,G398&gt;0),ATAN2(G398,H398),$M$4)</f>
        <v>1.32340349025896</v>
      </c>
      <c r="N398" s="449" t="n">
        <f aca="false">DEGREES(Beta)</f>
        <v>75.8254345847211</v>
      </c>
      <c r="O398" s="438"/>
      <c r="P398" s="452" t="n">
        <f aca="false">MATCH(t-pas/2-T_ini,CdP_t)</f>
        <v>23</v>
      </c>
      <c r="Q398" s="449" t="n">
        <f aca="false">(INDEX(CdP,2,i_P+1)-INDEX(CdP,2,i_P+0))/(INDEX(CdP,1,i_P+1)-INDEX(CdP,1,i_P+0))*(t-pas/2-T_ini-INDEX(CdP,1,i_P+0))+INDEX(CdP,2,i_P+0)</f>
        <v>0</v>
      </c>
      <c r="R398" s="450" t="n">
        <f aca="false">Poussee/(g*ISP)</f>
        <v>0</v>
      </c>
      <c r="S398" s="451" t="n">
        <f aca="false">S397-Débit*pas</f>
        <v>8.652</v>
      </c>
      <c r="T398" s="449" t="n">
        <f aca="false">m*g</f>
        <v>84.87612</v>
      </c>
      <c r="U398" s="453" t="n">
        <f aca="false">IF(pos_xz&lt;L_rampe,Poids*COS(Beta),0)</f>
        <v>0</v>
      </c>
      <c r="V398" s="450" t="n">
        <f aca="false">Rho_moyen*(20000-Alt_rampe-pos_z)/(20000+Alt_rampe+pos_z)</f>
        <v>1.17147988687739</v>
      </c>
      <c r="W398" s="449" t="n">
        <f aca="false">1/2*Rho*Sref*Cx*vit_xz^2</f>
        <v>72.9897996088012</v>
      </c>
      <c r="X398" s="438"/>
      <c r="Y398" s="454" t="str">
        <f aca="false">IF(AND(pos_z&lt;=0,K397&gt;0),"Impact balistique","") &amp; IF(AND(H399&lt;0,vit_z&gt;=0),"Apogée","") &amp; IF(AND(Poussee=0,Q397&gt;0),"Fin de propulsion","") &amp; IF(AND(L399&gt;L_rampe,pos_xz&lt;=L_rampe),"Sortie de rampe","")</f>
        <v/>
      </c>
      <c r="Z398" s="455" t="str">
        <f aca="false">IF(ABS(t-T_para)&lt;pas/2,"Para","")</f>
        <v/>
      </c>
      <c r="AA398" s="456" t="str">
        <f aca="false">IF(ABS(t-T_satellite)&lt;pas/2,"Satellite","")</f>
        <v/>
      </c>
      <c r="AB398" s="444"/>
      <c r="AC398" s="452" t="e">
        <f aca="false">IF(ABS(t-ROUND(t,0))&lt;0.001,t,NA())</f>
        <v>#N/A</v>
      </c>
      <c r="AD398" s="457" t="e">
        <f aca="false">IF(ABS(t-ROUND(t,0))&lt;0.001,pos_x,NA())</f>
        <v>#N/A</v>
      </c>
      <c r="AE398" s="458" t="n">
        <f aca="false">IF(t&lt;T_para, pos_z, NA())</f>
        <v>446.656059294923</v>
      </c>
      <c r="AF398" s="444"/>
      <c r="AG398" s="450" t="n">
        <f aca="false">IF(AND(L397&lt;L_rampe,Poussee&lt;Poids*SIN(M397)),0,(-W397+Poussee)/m-Poids*SIN(M397)/m)</f>
        <v>-17.9673402624576</v>
      </c>
      <c r="AH398" s="449" t="n">
        <f aca="false">IF(AND(L397&lt;L_rampe,Poussee&lt;Poids*SIN(M397)), g*SIN(M397), (-W397+Poussee)/m)</f>
        <v>-8.45566960168783</v>
      </c>
    </row>
    <row r="399" customFormat="false" ht="12" hidden="false" customHeight="false" outlineLevel="0" collapsed="false">
      <c r="A399" s="448" t="n">
        <f aca="false">IF(B398+0.01&lt;=T_ini+ROUNDUP(Temps_fin_propu,0), 0.01, IF(K398&gt;0, 0.1, 0.0001))</f>
        <v>0.01</v>
      </c>
      <c r="B399" s="449" t="n">
        <f aca="false">B398+pas</f>
        <v>3.94999999999996</v>
      </c>
      <c r="C399" s="432"/>
      <c r="D399" s="450" t="n">
        <f aca="false">IF(AND(L398&lt;L_rampe,Poussee&lt;Poids*SIN(M398)),0,(-W398+Poussee)/m*COS(M398)-U398/m*SIN(M398))</f>
        <v>-2.06582567708653</v>
      </c>
      <c r="E399" s="451" t="n">
        <f aca="false">IF(AND(L398&lt;L_rampe,Poussee&lt;Poids*SIN(M398)),0,(-W398+Poussee)/m*SIN(M398)+U398/m*COS(M398)-Poids/m)</f>
        <v>-17.9893299998327</v>
      </c>
      <c r="F399" s="449" t="n">
        <f aca="false">SQRT(acc_x^2+acc_z^2)</f>
        <v>18.1075572502475</v>
      </c>
      <c r="G399" s="450" t="n">
        <f aca="false">G398+acc_x*pas</f>
        <v>40.9708180302929</v>
      </c>
      <c r="H399" s="451" t="n">
        <f aca="false">H398+acc_z*pas</f>
        <v>162.119769953808</v>
      </c>
      <c r="I399" s="449" t="n">
        <f aca="false">SQRT(vit_x^2+vit_z^2)</f>
        <v>167.216708913754</v>
      </c>
      <c r="J399" s="450" t="n">
        <f aca="false">J398+0.5*(vit_x+G398)*pas*(K398&gt;=0)</f>
        <v>103.066983771505</v>
      </c>
      <c r="K399" s="451" t="n">
        <f aca="false">K398+0.5*(vit_z+H398)*pas</f>
        <v>448.278156460961</v>
      </c>
      <c r="L399" s="449" t="n">
        <f aca="false">SQRT(pos_x^2+pos_z^2)</f>
        <v>459.974030466714</v>
      </c>
      <c r="M399" s="450" t="n">
        <f aca="false">IF(AND(L398&gt;L_rampe,G399&gt;0),ATAN2(G399,H399),$M$4)</f>
        <v>1.32325982976747</v>
      </c>
      <c r="N399" s="449" t="n">
        <f aca="false">DEGREES(Beta)</f>
        <v>75.8172034448758</v>
      </c>
      <c r="O399" s="438"/>
      <c r="P399" s="452" t="n">
        <f aca="false">MATCH(t-pas/2-T_ini,CdP_t)</f>
        <v>23</v>
      </c>
      <c r="Q399" s="449" t="n">
        <f aca="false">(INDEX(CdP,2,i_P+1)-INDEX(CdP,2,i_P+0))/(INDEX(CdP,1,i_P+1)-INDEX(CdP,1,i_P+0))*(t-pas/2-T_ini-INDEX(CdP,1,i_P+0))+INDEX(CdP,2,i_P+0)</f>
        <v>0</v>
      </c>
      <c r="R399" s="450" t="n">
        <f aca="false">Poussee/(g*ISP)</f>
        <v>0</v>
      </c>
      <c r="S399" s="451" t="n">
        <f aca="false">S398-Débit*pas</f>
        <v>8.652</v>
      </c>
      <c r="T399" s="449" t="n">
        <f aca="false">m*g</f>
        <v>84.87612</v>
      </c>
      <c r="U399" s="453" t="n">
        <f aca="false">IF(pos_xz&lt;L_rampe,Poids*COS(Beta),0)</f>
        <v>0</v>
      </c>
      <c r="V399" s="450" t="n">
        <f aca="false">Rho_moyen*(20000-Alt_rampe-pos_z)/(20000+Alt_rampe+pos_z)</f>
        <v>1.17128978171532</v>
      </c>
      <c r="W399" s="449" t="n">
        <f aca="false">1/2*Rho*Sref*Cx*vit_xz^2</f>
        <v>72.8215526935703</v>
      </c>
      <c r="X399" s="438"/>
      <c r="Y399" s="454" t="str">
        <f aca="false">IF(AND(pos_z&lt;=0,K398&gt;0),"Impact balistique","") &amp; IF(AND(H400&lt;0,vit_z&gt;=0),"Apogée","") &amp; IF(AND(Poussee=0,Q398&gt;0),"Fin de propulsion","") &amp; IF(AND(L400&gt;L_rampe,pos_xz&lt;=L_rampe),"Sortie de rampe","")</f>
        <v/>
      </c>
      <c r="Z399" s="455" t="str">
        <f aca="false">IF(ABS(t-T_para)&lt;pas/2,"Para","")</f>
        <v/>
      </c>
      <c r="AA399" s="456" t="str">
        <f aca="false">IF(ABS(t-T_satellite)&lt;pas/2,"Satellite","")</f>
        <v/>
      </c>
      <c r="AB399" s="444"/>
      <c r="AC399" s="452" t="e">
        <f aca="false">IF(ABS(t-ROUND(t,0))&lt;0.001,t,NA())</f>
        <v>#N/A</v>
      </c>
      <c r="AD399" s="457" t="e">
        <f aca="false">IF(ABS(t-ROUND(t,0))&lt;0.001,pos_x,NA())</f>
        <v>#N/A</v>
      </c>
      <c r="AE399" s="458" t="n">
        <f aca="false">IF(t&lt;T_para, pos_z, NA())</f>
        <v>448.278156460961</v>
      </c>
      <c r="AF399" s="444"/>
      <c r="AG399" s="450" t="n">
        <f aca="false">IF(AND(L398&lt;L_rampe,Poussee&lt;Poids*SIN(M398)),0,(-W398+Poussee)/m-Poids*SIN(M398)/m)</f>
        <v>-17.9475027782492</v>
      </c>
      <c r="AH399" s="449" t="n">
        <f aca="false">IF(AND(L398&lt;L_rampe,Poussee&lt;Poids*SIN(M398)), g*SIN(M398), (-W398+Poussee)/m)</f>
        <v>-8.43617656135012</v>
      </c>
    </row>
    <row r="400" customFormat="false" ht="12" hidden="false" customHeight="false" outlineLevel="0" collapsed="false">
      <c r="A400" s="448" t="n">
        <f aca="false">IF(B399+0.01&lt;=T_ini+ROUNDUP(Temps_fin_propu,0), 0.01, IF(K399&gt;0, 0.1, 0.0001))</f>
        <v>0.01</v>
      </c>
      <c r="B400" s="449" t="n">
        <f aca="false">B399+pas</f>
        <v>3.95999999999996</v>
      </c>
      <c r="C400" s="432"/>
      <c r="D400" s="450" t="n">
        <f aca="false">IF(AND(L399&lt;L_rampe,Poussee&lt;Poids*SIN(M399)),0,(-W399+Poussee)/m*COS(M399)-U399/m*SIN(M399))</f>
        <v>-2.06223611202269</v>
      </c>
      <c r="E400" s="451" t="n">
        <f aca="false">IF(AND(L399&lt;L_rampe,Poussee&lt;Poids*SIN(M399)),0,(-W399+Poussee)/m*SIN(M399)+U399/m*COS(M399)-Poids/m)</f>
        <v>-17.9701798583655</v>
      </c>
      <c r="F400" s="449" t="n">
        <f aca="false">SQRT(acc_x^2+acc_z^2)</f>
        <v>18.0881226754945</v>
      </c>
      <c r="G400" s="450" t="n">
        <f aca="false">G399+acc_x*pas</f>
        <v>40.9501956691726</v>
      </c>
      <c r="H400" s="451" t="n">
        <f aca="false">H399+acc_z*pas</f>
        <v>161.940068155225</v>
      </c>
      <c r="I400" s="449" t="n">
        <f aca="false">SQRT(vit_x^2+vit_z^2)</f>
        <v>167.037433527525</v>
      </c>
      <c r="J400" s="450" t="n">
        <f aca="false">J399+0.5*(vit_x+G399)*pas*(K399&gt;=0)</f>
        <v>103.476588840002</v>
      </c>
      <c r="K400" s="451" t="n">
        <f aca="false">K399+0.5*(vit_z+H399)*pas</f>
        <v>449.898455651507</v>
      </c>
      <c r="L400" s="449" t="n">
        <f aca="false">SQRT(pos_x^2+pos_z^2)</f>
        <v>461.644912065078</v>
      </c>
      <c r="M400" s="450" t="n">
        <f aca="false">IF(AND(L399&gt;L_rampe,G400&gt;0),ATAN2(G400,H400),$M$4)</f>
        <v>1.32311593328959</v>
      </c>
      <c r="N400" s="449" t="n">
        <f aca="false">DEGREES(Beta)</f>
        <v>75.8089587840066</v>
      </c>
      <c r="O400" s="438"/>
      <c r="P400" s="452" t="n">
        <f aca="false">MATCH(t-pas/2-T_ini,CdP_t)</f>
        <v>23</v>
      </c>
      <c r="Q400" s="449" t="n">
        <f aca="false">(INDEX(CdP,2,i_P+1)-INDEX(CdP,2,i_P+0))/(INDEX(CdP,1,i_P+1)-INDEX(CdP,1,i_P+0))*(t-pas/2-T_ini-INDEX(CdP,1,i_P+0))+INDEX(CdP,2,i_P+0)</f>
        <v>0</v>
      </c>
      <c r="R400" s="450" t="n">
        <f aca="false">Poussee/(g*ISP)</f>
        <v>0</v>
      </c>
      <c r="S400" s="451" t="n">
        <f aca="false">S399-Débit*pas</f>
        <v>8.652</v>
      </c>
      <c r="T400" s="449" t="n">
        <f aca="false">m*g</f>
        <v>84.87612</v>
      </c>
      <c r="U400" s="453" t="n">
        <f aca="false">IF(pos_xz&lt;L_rampe,Poids*COS(Beta),0)</f>
        <v>0</v>
      </c>
      <c r="V400" s="450" t="n">
        <f aca="false">Rho_moyen*(20000-Alt_rampe-pos_z)/(20000+Alt_rampe+pos_z)</f>
        <v>1.17109991737922</v>
      </c>
      <c r="W400" s="449" t="n">
        <f aca="false">1/2*Rho*Sref*Cx*vit_xz^2</f>
        <v>72.6537114061827</v>
      </c>
      <c r="X400" s="438"/>
      <c r="Y400" s="454" t="str">
        <f aca="false">IF(AND(pos_z&lt;=0,K399&gt;0),"Impact balistique","") &amp; IF(AND(H401&lt;0,vit_z&gt;=0),"Apogée","") &amp; IF(AND(Poussee=0,Q399&gt;0),"Fin de propulsion","") &amp; IF(AND(L401&gt;L_rampe,pos_xz&lt;=L_rampe),"Sortie de rampe","")</f>
        <v/>
      </c>
      <c r="Z400" s="455" t="str">
        <f aca="false">IF(ABS(t-T_para)&lt;pas/2,"Para","")</f>
        <v/>
      </c>
      <c r="AA400" s="456" t="str">
        <f aca="false">IF(ABS(t-T_satellite)&lt;pas/2,"Satellite","")</f>
        <v/>
      </c>
      <c r="AB400" s="444"/>
      <c r="AC400" s="452" t="e">
        <f aca="false">IF(ABS(t-ROUND(t,0))&lt;0.001,t,NA())</f>
        <v>#N/A</v>
      </c>
      <c r="AD400" s="457" t="e">
        <f aca="false">IF(ABS(t-ROUND(t,0))&lt;0.001,pos_x,NA())</f>
        <v>#N/A</v>
      </c>
      <c r="AE400" s="458" t="n">
        <f aca="false">IF(t&lt;T_para, pos_z, NA())</f>
        <v>449.898455651507</v>
      </c>
      <c r="AF400" s="444"/>
      <c r="AG400" s="450" t="n">
        <f aca="false">IF(AND(L399&lt;L_rampe,Poussee&lt;Poids*SIN(M399)),0,(-W399+Poussee)/m-Poids*SIN(M399)/m)</f>
        <v>-17.9277115583835</v>
      </c>
      <c r="AH400" s="449" t="n">
        <f aca="false">IF(AND(L399&lt;L_rampe,Poussee&lt;Poids*SIN(M399)), g*SIN(M399), (-W399+Poussee)/m)</f>
        <v>-8.41673054710707</v>
      </c>
    </row>
    <row r="401" customFormat="false" ht="12" hidden="false" customHeight="false" outlineLevel="0" collapsed="false">
      <c r="A401" s="448" t="n">
        <f aca="false">IF(B400+0.01&lt;=T_ini+ROUNDUP(Temps_fin_propu,0), 0.01, IF(K400&gt;0, 0.1, 0.0001))</f>
        <v>0.01</v>
      </c>
      <c r="B401" s="449" t="n">
        <f aca="false">B400+pas</f>
        <v>3.96999999999996</v>
      </c>
      <c r="C401" s="432"/>
      <c r="D401" s="450" t="n">
        <f aca="false">IF(AND(L400&lt;L_rampe,Poussee&lt;Poids*SIN(M400)),0,(-W400+Poussee)/m*COS(M400)-U400/m*SIN(M400))</f>
        <v>-2.05865450215701</v>
      </c>
      <c r="E401" s="451" t="n">
        <f aca="false">IF(AND(L400&lt;L_rampe,Poussee&lt;Poids*SIN(M400)),0,(-W400+Poussee)/m*SIN(M400)+U400/m*COS(M400)-Poids/m)</f>
        <v>-17.9510758835112</v>
      </c>
      <c r="F401" s="449" t="n">
        <f aca="false">SQRT(acc_x^2+acc_z^2)</f>
        <v>18.0687349788199</v>
      </c>
      <c r="G401" s="450" t="n">
        <f aca="false">G400+acc_x*pas</f>
        <v>40.9296091241511</v>
      </c>
      <c r="H401" s="451" t="n">
        <f aca="false">H400+acc_z*pas</f>
        <v>161.76055739639</v>
      </c>
      <c r="I401" s="449" t="n">
        <f aca="false">SQRT(vit_x^2+vit_z^2)</f>
        <v>166.858355596136</v>
      </c>
      <c r="J401" s="450" t="n">
        <f aca="false">J400+0.5*(vit_x+G400)*pas*(K400&gt;=0)</f>
        <v>103.885987863969</v>
      </c>
      <c r="K401" s="451" t="n">
        <f aca="false">K400+0.5*(vit_z+H400)*pas</f>
        <v>451.516958779265</v>
      </c>
      <c r="L401" s="449" t="n">
        <f aca="false">SQRT(pos_x^2+pos_z^2)</f>
        <v>463.313999939295</v>
      </c>
      <c r="M401" s="450" t="n">
        <f aca="false">IF(AND(L400&gt;L_rampe,G401&gt;0),ATAN2(G401,H401),$M$4)</f>
        <v>1.32297180035726</v>
      </c>
      <c r="N401" s="449" t="n">
        <f aca="false">DEGREES(Beta)</f>
        <v>75.8007005752949</v>
      </c>
      <c r="O401" s="438"/>
      <c r="P401" s="452" t="n">
        <f aca="false">MATCH(t-pas/2-T_ini,CdP_t)</f>
        <v>23</v>
      </c>
      <c r="Q401" s="449" t="n">
        <f aca="false">(INDEX(CdP,2,i_P+1)-INDEX(CdP,2,i_P+0))/(INDEX(CdP,1,i_P+1)-INDEX(CdP,1,i_P+0))*(t-pas/2-T_ini-INDEX(CdP,1,i_P+0))+INDEX(CdP,2,i_P+0)</f>
        <v>0</v>
      </c>
      <c r="R401" s="450" t="n">
        <f aca="false">Poussee/(g*ISP)</f>
        <v>0</v>
      </c>
      <c r="S401" s="451" t="n">
        <f aca="false">S400-Débit*pas</f>
        <v>8.652</v>
      </c>
      <c r="T401" s="449" t="n">
        <f aca="false">m*g</f>
        <v>84.87612</v>
      </c>
      <c r="U401" s="453" t="n">
        <f aca="false">IF(pos_xz&lt;L_rampe,Poids*COS(Beta),0)</f>
        <v>0</v>
      </c>
      <c r="V401" s="450" t="n">
        <f aca="false">Rho_moyen*(20000-Alt_rampe-pos_z)/(20000+Alt_rampe+pos_z)</f>
        <v>1.1709102935377</v>
      </c>
      <c r="W401" s="449" t="n">
        <f aca="false">1/2*Rho*Sref*Cx*vit_xz^2</f>
        <v>72.4862745095875</v>
      </c>
      <c r="X401" s="438"/>
      <c r="Y401" s="454" t="str">
        <f aca="false">IF(AND(pos_z&lt;=0,K400&gt;0),"Impact balistique","") &amp; IF(AND(H402&lt;0,vit_z&gt;=0),"Apogée","") &amp; IF(AND(Poussee=0,Q400&gt;0),"Fin de propulsion","") &amp; IF(AND(L402&gt;L_rampe,pos_xz&lt;=L_rampe),"Sortie de rampe","")</f>
        <v/>
      </c>
      <c r="Z401" s="455" t="str">
        <f aca="false">IF(ABS(t-T_para)&lt;pas/2,"Para","")</f>
        <v/>
      </c>
      <c r="AA401" s="456" t="str">
        <f aca="false">IF(ABS(t-T_satellite)&lt;pas/2,"Satellite","")</f>
        <v/>
      </c>
      <c r="AB401" s="444"/>
      <c r="AC401" s="452" t="e">
        <f aca="false">IF(ABS(t-ROUND(t,0))&lt;0.001,t,NA())</f>
        <v>#N/A</v>
      </c>
      <c r="AD401" s="457" t="e">
        <f aca="false">IF(ABS(t-ROUND(t,0))&lt;0.001,pos_x,NA())</f>
        <v>#N/A</v>
      </c>
      <c r="AE401" s="458" t="n">
        <f aca="false">IF(t&lt;T_para, pos_z, NA())</f>
        <v>451.516958779265</v>
      </c>
      <c r="AF401" s="444"/>
      <c r="AG401" s="450" t="n">
        <f aca="false">IF(AND(L400&lt;L_rampe,Poussee&lt;Poids*SIN(M400)),0,(-W400+Poussee)/m-Poids*SIN(M400)/m)</f>
        <v>-17.9079664572376</v>
      </c>
      <c r="AH401" s="449" t="n">
        <f aca="false">IF(AND(L400&lt;L_rampe,Poussee&lt;Poids*SIN(M400)), g*SIN(M400), (-W400+Poussee)/m)</f>
        <v>-8.39733141541641</v>
      </c>
    </row>
    <row r="402" customFormat="false" ht="12" hidden="false" customHeight="false" outlineLevel="0" collapsed="false">
      <c r="A402" s="448" t="n">
        <f aca="false">IF(B401+0.01&lt;=T_ini+ROUNDUP(Temps_fin_propu,0), 0.01, IF(K401&gt;0, 0.1, 0.0001))</f>
        <v>0.01</v>
      </c>
      <c r="B402" s="449" t="n">
        <f aca="false">B401+pas</f>
        <v>3.97999999999996</v>
      </c>
      <c r="C402" s="432"/>
      <c r="D402" s="450" t="n">
        <f aca="false">IF(AND(L401&lt;L_rampe,Poussee&lt;Poids*SIN(M401)),0,(-W401+Poussee)/m*COS(M401)-U401/m*SIN(M401))</f>
        <v>-2.05508082258679</v>
      </c>
      <c r="E402" s="451" t="n">
        <f aca="false">IF(AND(L401&lt;L_rampe,Poussee&lt;Poids*SIN(M401)),0,(-W401+Poussee)/m*SIN(M401)+U401/m*COS(M401)-Poids/m)</f>
        <v>-17.9320179344473</v>
      </c>
      <c r="F402" s="449" t="n">
        <f aca="false">SQRT(acc_x^2+acc_z^2)</f>
        <v>18.0493940172157</v>
      </c>
      <c r="G402" s="450" t="n">
        <f aca="false">G401+acc_x*pas</f>
        <v>40.9090583159252</v>
      </c>
      <c r="H402" s="451" t="n">
        <f aca="false">H401+acc_z*pas</f>
        <v>161.581237217045</v>
      </c>
      <c r="I402" s="449" t="n">
        <f aca="false">SQRT(vit_x^2+vit_z^2)</f>
        <v>166.67947465986</v>
      </c>
      <c r="J402" s="450" t="n">
        <f aca="false">J401+0.5*(vit_x+G401)*pas*(K401&gt;=0)</f>
        <v>104.295181201169</v>
      </c>
      <c r="K402" s="451" t="n">
        <f aca="false">K401+0.5*(vit_z+H401)*pas</f>
        <v>453.133667752332</v>
      </c>
      <c r="L402" s="449" t="n">
        <f aca="false">SQRT(pos_x^2+pos_z^2)</f>
        <v>464.981296045836</v>
      </c>
      <c r="M402" s="450" t="n">
        <f aca="false">IF(AND(L401&gt;L_rampe,G402&gt;0),ATAN2(G402,H402),$M$4)</f>
        <v>1.32282743050108</v>
      </c>
      <c r="N402" s="449" t="n">
        <f aca="false">DEGREES(Beta)</f>
        <v>75.7924287918471</v>
      </c>
      <c r="O402" s="438"/>
      <c r="P402" s="452" t="n">
        <f aca="false">MATCH(t-pas/2-T_ini,CdP_t)</f>
        <v>23</v>
      </c>
      <c r="Q402" s="449" t="n">
        <f aca="false">(INDEX(CdP,2,i_P+1)-INDEX(CdP,2,i_P+0))/(INDEX(CdP,1,i_P+1)-INDEX(CdP,1,i_P+0))*(t-pas/2-T_ini-INDEX(CdP,1,i_P+0))+INDEX(CdP,2,i_P+0)</f>
        <v>0</v>
      </c>
      <c r="R402" s="450" t="n">
        <f aca="false">Poussee/(g*ISP)</f>
        <v>0</v>
      </c>
      <c r="S402" s="451" t="n">
        <f aca="false">S401-Débit*pas</f>
        <v>8.652</v>
      </c>
      <c r="T402" s="449" t="n">
        <f aca="false">m*g</f>
        <v>84.87612</v>
      </c>
      <c r="U402" s="453" t="n">
        <f aca="false">IF(pos_xz&lt;L_rampe,Poids*COS(Beta),0)</f>
        <v>0</v>
      </c>
      <c r="V402" s="450" t="n">
        <f aca="false">Rho_moyen*(20000-Alt_rampe-pos_z)/(20000+Alt_rampe+pos_z)</f>
        <v>1.1707209098602</v>
      </c>
      <c r="W402" s="449" t="n">
        <f aca="false">1/2*Rho*Sref*Cx*vit_xz^2</f>
        <v>72.3192407715872</v>
      </c>
      <c r="X402" s="438"/>
      <c r="Y402" s="454" t="str">
        <f aca="false">IF(AND(pos_z&lt;=0,K401&gt;0),"Impact balistique","") &amp; IF(AND(H403&lt;0,vit_z&gt;=0),"Apogée","") &amp; IF(AND(Poussee=0,Q401&gt;0),"Fin de propulsion","") &amp; IF(AND(L403&gt;L_rampe,pos_xz&lt;=L_rampe),"Sortie de rampe","")</f>
        <v/>
      </c>
      <c r="Z402" s="455" t="str">
        <f aca="false">IF(ABS(t-T_para)&lt;pas/2,"Para","")</f>
        <v/>
      </c>
      <c r="AA402" s="456" t="str">
        <f aca="false">IF(ABS(t-T_satellite)&lt;pas/2,"Satellite","")</f>
        <v/>
      </c>
      <c r="AB402" s="444"/>
      <c r="AC402" s="452" t="e">
        <f aca="false">IF(ABS(t-ROUND(t,0))&lt;0.001,t,NA())</f>
        <v>#N/A</v>
      </c>
      <c r="AD402" s="457" t="e">
        <f aca="false">IF(ABS(t-ROUND(t,0))&lt;0.001,pos_x,NA())</f>
        <v>#N/A</v>
      </c>
      <c r="AE402" s="458" t="n">
        <f aca="false">IF(t&lt;T_para, pos_z, NA())</f>
        <v>453.133667752332</v>
      </c>
      <c r="AF402" s="444"/>
      <c r="AG402" s="450" t="n">
        <f aca="false">IF(AND(L401&lt;L_rampe,Poussee&lt;Poids*SIN(M401)),0,(-W401+Poussee)/m-Poids*SIN(M401)/m)</f>
        <v>-17.8882673297446</v>
      </c>
      <c r="AH402" s="449" t="n">
        <f aca="false">IF(AND(L401&lt;L_rampe,Poussee&lt;Poids*SIN(M401)), g*SIN(M401), (-W401+Poussee)/m)</f>
        <v>-8.37797902329952</v>
      </c>
    </row>
    <row r="403" customFormat="false" ht="12" hidden="false" customHeight="false" outlineLevel="0" collapsed="false">
      <c r="A403" s="448" t="n">
        <f aca="false">IF(B402+0.01&lt;=T_ini+ROUNDUP(Temps_fin_propu,0), 0.01, IF(K402&gt;0, 0.1, 0.0001))</f>
        <v>0.01</v>
      </c>
      <c r="B403" s="449" t="n">
        <f aca="false">B402+pas</f>
        <v>3.98999999999996</v>
      </c>
      <c r="C403" s="432"/>
      <c r="D403" s="450" t="n">
        <f aca="false">IF(AND(L402&lt;L_rampe,Poussee&lt;Poids*SIN(M402)),0,(-W402+Poussee)/m*COS(M402)-U402/m*SIN(M402))</f>
        <v>-2.05151504850659</v>
      </c>
      <c r="E403" s="451" t="n">
        <f aca="false">IF(AND(L402&lt;L_rampe,Poussee&lt;Poids*SIN(M402)),0,(-W402+Poussee)/m*SIN(M402)+U402/m*COS(M402)-Poids/m)</f>
        <v>-17.9130058709036</v>
      </c>
      <c r="F403" s="449" t="n">
        <f aca="false">SQRT(acc_x^2+acc_z^2)</f>
        <v>18.0300996482348</v>
      </c>
      <c r="G403" s="450" t="n">
        <f aca="false">G402+acc_x*pas</f>
        <v>40.8885431654401</v>
      </c>
      <c r="H403" s="451" t="n">
        <f aca="false">H402+acc_z*pas</f>
        <v>161.402107158336</v>
      </c>
      <c r="I403" s="449" t="n">
        <f aca="false">SQRT(vit_x^2+vit_z^2)</f>
        <v>166.500790260416</v>
      </c>
      <c r="J403" s="450" t="n">
        <f aca="false">J402+0.5*(vit_x+G402)*pas*(K402&gt;=0)</f>
        <v>104.704169208576</v>
      </c>
      <c r="K403" s="451" t="n">
        <f aca="false">K402+0.5*(vit_z+H402)*pas</f>
        <v>454.748584474209</v>
      </c>
      <c r="L403" s="449" t="n">
        <f aca="false">SQRT(pos_x^2+pos_z^2)</f>
        <v>466.646802336579</v>
      </c>
      <c r="M403" s="450" t="n">
        <f aca="false">IF(AND(L402&gt;L_rampe,G403&gt;0),ATAN2(G403,H403),$M$4)</f>
        <v>1.32268282325035</v>
      </c>
      <c r="N403" s="449" t="n">
        <f aca="false">DEGREES(Beta)</f>
        <v>75.7841434066935</v>
      </c>
      <c r="O403" s="438"/>
      <c r="P403" s="452" t="n">
        <f aca="false">MATCH(t-pas/2-T_ini,CdP_t)</f>
        <v>23</v>
      </c>
      <c r="Q403" s="449" t="n">
        <f aca="false">(INDEX(CdP,2,i_P+1)-INDEX(CdP,2,i_P+0))/(INDEX(CdP,1,i_P+1)-INDEX(CdP,1,i_P+0))*(t-pas/2-T_ini-INDEX(CdP,1,i_P+0))+INDEX(CdP,2,i_P+0)</f>
        <v>0</v>
      </c>
      <c r="R403" s="450" t="n">
        <f aca="false">Poussee/(g*ISP)</f>
        <v>0</v>
      </c>
      <c r="S403" s="451" t="n">
        <f aca="false">S402-Débit*pas</f>
        <v>8.652</v>
      </c>
      <c r="T403" s="449" t="n">
        <f aca="false">m*g</f>
        <v>84.87612</v>
      </c>
      <c r="U403" s="453" t="n">
        <f aca="false">IF(pos_xz&lt;L_rampe,Poids*COS(Beta),0)</f>
        <v>0</v>
      </c>
      <c r="V403" s="450" t="n">
        <f aca="false">Rho_moyen*(20000-Alt_rampe-pos_z)/(20000+Alt_rampe+pos_z)</f>
        <v>1.17053176601704</v>
      </c>
      <c r="W403" s="449" t="n">
        <f aca="false">1/2*Rho*Sref*Cx*vit_xz^2</f>
        <v>72.1526089648157</v>
      </c>
      <c r="X403" s="438"/>
      <c r="Y403" s="454" t="str">
        <f aca="false">IF(AND(pos_z&lt;=0,K402&gt;0),"Impact balistique","") &amp; IF(AND(H404&lt;0,vit_z&gt;=0),"Apogée","") &amp; IF(AND(Poussee=0,Q402&gt;0),"Fin de propulsion","") &amp; IF(AND(L404&gt;L_rampe,pos_xz&lt;=L_rampe),"Sortie de rampe","")</f>
        <v/>
      </c>
      <c r="Z403" s="455" t="str">
        <f aca="false">IF(ABS(t-T_para)&lt;pas/2,"Para","")</f>
        <v/>
      </c>
      <c r="AA403" s="456" t="str">
        <f aca="false">IF(ABS(t-T_satellite)&lt;pas/2,"Satellite","")</f>
        <v/>
      </c>
      <c r="AB403" s="444"/>
      <c r="AC403" s="452" t="e">
        <f aca="false">IF(ABS(t-ROUND(t,0))&lt;0.001,t,NA())</f>
        <v>#N/A</v>
      </c>
      <c r="AD403" s="457" t="e">
        <f aca="false">IF(ABS(t-ROUND(t,0))&lt;0.001,pos_x,NA())</f>
        <v>#N/A</v>
      </c>
      <c r="AE403" s="458" t="n">
        <f aca="false">IF(t&lt;T_para, pos_z, NA())</f>
        <v>454.748584474209</v>
      </c>
      <c r="AF403" s="444"/>
      <c r="AG403" s="450" t="n">
        <f aca="false">IF(AND(L402&lt;L_rampe,Poussee&lt;Poids*SIN(M402)),0,(-W402+Poussee)/m-Poids*SIN(M402)/m)</f>
        <v>-17.8686140313916</v>
      </c>
      <c r="AH403" s="449" t="n">
        <f aca="false">IF(AND(L402&lt;L_rampe,Poussee&lt;Poids*SIN(M402)), g*SIN(M402), (-W402+Poussee)/m)</f>
        <v>-8.35867322833879</v>
      </c>
    </row>
    <row r="404" customFormat="false" ht="12" hidden="false" customHeight="false" outlineLevel="0" collapsed="false">
      <c r="A404" s="448" t="n">
        <f aca="false">IF(B403+0.01&lt;=T_ini+ROUNDUP(Temps_fin_propu,0), 0.01, IF(K403&gt;0, 0.1, 0.0001))</f>
        <v>0.01</v>
      </c>
      <c r="B404" s="449" t="n">
        <f aca="false">B403+pas</f>
        <v>3.99999999999996</v>
      </c>
      <c r="C404" s="432"/>
      <c r="D404" s="450" t="n">
        <f aca="false">IF(AND(L403&lt;L_rampe,Poussee&lt;Poids*SIN(M403)),0,(-W403+Poussee)/m*COS(M403)-U403/m*SIN(M403))</f>
        <v>-2.0479571552077</v>
      </c>
      <c r="E404" s="451" t="n">
        <f aca="false">IF(AND(L403&lt;L_rampe,Poussee&lt;Poids*SIN(M403)),0,(-W403+Poussee)/m*SIN(M403)+U403/m*COS(M403)-Poids/m)</f>
        <v>-17.8940395531602</v>
      </c>
      <c r="F404" s="449" t="n">
        <f aca="false">SQRT(acc_x^2+acc_z^2)</f>
        <v>18.0108517299884</v>
      </c>
      <c r="G404" s="450" t="n">
        <f aca="false">G403+acc_x*pas</f>
        <v>40.868063593888</v>
      </c>
      <c r="H404" s="451" t="n">
        <f aca="false">H403+acc_z*pas</f>
        <v>161.223166762805</v>
      </c>
      <c r="I404" s="449" t="n">
        <f aca="false">SQRT(vit_x^2+vit_z^2)</f>
        <v>166.322301940964</v>
      </c>
      <c r="J404" s="450" t="n">
        <f aca="false">J403+0.5*(vit_x+G403)*pas*(K403&gt;=0)</f>
        <v>105.112952242373</v>
      </c>
      <c r="K404" s="451" t="n">
        <f aca="false">K403+0.5*(vit_z+H403)*pas</f>
        <v>456.361710843814</v>
      </c>
      <c r="L404" s="449" t="n">
        <f aca="false">SQRT(pos_x^2+pos_z^2)</f>
        <v>468.310520758824</v>
      </c>
      <c r="M404" s="450" t="n">
        <f aca="false">IF(AND(L403&gt;L_rampe,G404&gt;0),ATAN2(G404,H404),$M$4)</f>
        <v>1.32253797813304</v>
      </c>
      <c r="N404" s="449" t="n">
        <f aca="false">DEGREES(Beta)</f>
        <v>75.7758443927886</v>
      </c>
      <c r="O404" s="438"/>
      <c r="P404" s="452" t="n">
        <f aca="false">MATCH(t-pas/2-T_ini,CdP_t)</f>
        <v>23</v>
      </c>
      <c r="Q404" s="449" t="n">
        <f aca="false">(INDEX(CdP,2,i_P+1)-INDEX(CdP,2,i_P+0))/(INDEX(CdP,1,i_P+1)-INDEX(CdP,1,i_P+0))*(t-pas/2-T_ini-INDEX(CdP,1,i_P+0))+INDEX(CdP,2,i_P+0)</f>
        <v>0</v>
      </c>
      <c r="R404" s="450" t="n">
        <f aca="false">Poussee/(g*ISP)</f>
        <v>0</v>
      </c>
      <c r="S404" s="451" t="n">
        <f aca="false">S403-Débit*pas</f>
        <v>8.652</v>
      </c>
      <c r="T404" s="449" t="n">
        <f aca="false">m*g</f>
        <v>84.87612</v>
      </c>
      <c r="U404" s="453" t="n">
        <f aca="false">IF(pos_xz&lt;L_rampe,Poids*COS(Beta),0)</f>
        <v>0</v>
      </c>
      <c r="V404" s="450" t="n">
        <f aca="false">Rho_moyen*(20000-Alt_rampe-pos_z)/(20000+Alt_rampe+pos_z)</f>
        <v>1.17034286167933</v>
      </c>
      <c r="W404" s="449" t="n">
        <f aca="false">1/2*Rho*Sref*Cx*vit_xz^2</f>
        <v>71.9863778667145</v>
      </c>
      <c r="X404" s="438"/>
      <c r="Y404" s="454" t="str">
        <f aca="false">IF(AND(pos_z&lt;=0,K403&gt;0),"Impact balistique","") &amp; IF(AND(H405&lt;0,vit_z&gt;=0),"Apogée","") &amp; IF(AND(Poussee=0,Q403&gt;0),"Fin de propulsion","") &amp; IF(AND(L405&gt;L_rampe,pos_xz&lt;=L_rampe),"Sortie de rampe","")</f>
        <v/>
      </c>
      <c r="Z404" s="455" t="str">
        <f aca="false">IF(ABS(t-T_para)&lt;pas/2,"Para","")</f>
        <v/>
      </c>
      <c r="AA404" s="456" t="str">
        <f aca="false">IF(ABS(t-T_satellite)&lt;pas/2,"Satellite","")</f>
        <v/>
      </c>
      <c r="AB404" s="444"/>
      <c r="AC404" s="452" t="n">
        <f aca="false">IF(ABS(t-ROUND(t,0))&lt;0.001,t,NA())</f>
        <v>3.99999999999996</v>
      </c>
      <c r="AD404" s="457" t="n">
        <f aca="false">IF(ABS(t-ROUND(t,0))&lt;0.001,pos_x,NA())</f>
        <v>105.112952242373</v>
      </c>
      <c r="AE404" s="458" t="n">
        <f aca="false">IF(t&lt;T_para, pos_z, NA())</f>
        <v>456.361710843814</v>
      </c>
      <c r="AF404" s="444"/>
      <c r="AG404" s="450" t="n">
        <f aca="false">IF(AND(L403&lt;L_rampe,Poussee&lt;Poids*SIN(M403)),0,(-W403+Poussee)/m-Poids*SIN(M403)/m)</f>
        <v>-17.8490064182169</v>
      </c>
      <c r="AH404" s="449" t="n">
        <f aca="false">IF(AND(L403&lt;L_rampe,Poussee&lt;Poids*SIN(M403)), g*SIN(M403), (-W403+Poussee)/m)</f>
        <v>-8.33941388867495</v>
      </c>
    </row>
    <row r="405" customFormat="false" ht="12" hidden="false" customHeight="false" outlineLevel="0" collapsed="false">
      <c r="A405" s="448" t="n">
        <f aca="false">IF(B404+0.01&lt;=T_ini+ROUNDUP(Temps_fin_propu,0), 0.01, IF(K404&gt;0, 0.1, 0.0001))</f>
        <v>0.1</v>
      </c>
      <c r="B405" s="449" t="n">
        <f aca="false">B404+pas</f>
        <v>4.09999999999996</v>
      </c>
      <c r="C405" s="432"/>
      <c r="D405" s="450" t="n">
        <f aca="false">IF(AND(L404&lt;L_rampe,Poussee&lt;Poids*SIN(M404)),0,(-W404+Poussee)/m*COS(M404)-U404/m*SIN(M404))</f>
        <v>-2.04440711807778</v>
      </c>
      <c r="E405" s="451" t="n">
        <f aca="false">IF(AND(L404&lt;L_rampe,Poussee&lt;Poids*SIN(M404)),0,(-W404+Poussee)/m*SIN(M404)+U404/m*COS(M404)-Poids/m)</f>
        <v>-17.875118842044</v>
      </c>
      <c r="F405" s="449" t="n">
        <f aca="false">SQRT(acc_x^2+acc_z^2)</f>
        <v>17.9916501211435</v>
      </c>
      <c r="G405" s="450" t="n">
        <f aca="false">G404+acc_x*pas</f>
        <v>40.6636228820803</v>
      </c>
      <c r="H405" s="451" t="n">
        <f aca="false">H404+acc_z*pas</f>
        <v>159.4356548786</v>
      </c>
      <c r="I405" s="449" t="n">
        <f aca="false">SQRT(vit_x^2+vit_z^2)</f>
        <v>164.539534071493</v>
      </c>
      <c r="J405" s="450" t="n">
        <f aca="false">J404+0.5*(vit_x+G404)*pas*(K404&gt;=0)</f>
        <v>109.189536566171</v>
      </c>
      <c r="K405" s="451" t="n">
        <f aca="false">K404+0.5*(vit_z+H404)*pas</f>
        <v>472.394651925885</v>
      </c>
      <c r="L405" s="449" t="n">
        <f aca="false">SQRT(pos_x^2+pos_z^2)</f>
        <v>484.84952517633</v>
      </c>
      <c r="M405" s="450" t="n">
        <f aca="false">IF(AND(L404&gt;L_rampe,G405&gt;0),ATAN2(G405,H405),$M$4)</f>
        <v>1.32107299551124</v>
      </c>
      <c r="N405" s="449" t="n">
        <f aca="false">DEGREES(Beta)</f>
        <v>75.6919070714992</v>
      </c>
      <c r="O405" s="438"/>
      <c r="P405" s="452" t="n">
        <f aca="false">MATCH(t-pas/2-T_ini,CdP_t)</f>
        <v>23</v>
      </c>
      <c r="Q405" s="449" t="n">
        <f aca="false">(INDEX(CdP,2,i_P+1)-INDEX(CdP,2,i_P+0))/(INDEX(CdP,1,i_P+1)-INDEX(CdP,1,i_P+0))*(t-pas/2-T_ini-INDEX(CdP,1,i_P+0))+INDEX(CdP,2,i_P+0)</f>
        <v>0</v>
      </c>
      <c r="R405" s="450" t="n">
        <f aca="false">Poussee/(g*ISP)</f>
        <v>0</v>
      </c>
      <c r="S405" s="451" t="n">
        <f aca="false">S404-Débit*pas</f>
        <v>8.652</v>
      </c>
      <c r="T405" s="449" t="n">
        <f aca="false">m*g</f>
        <v>84.87612</v>
      </c>
      <c r="U405" s="453" t="n">
        <f aca="false">IF(pos_xz&lt;L_rampe,Poids*COS(Beta),0)</f>
        <v>0</v>
      </c>
      <c r="V405" s="450" t="n">
        <f aca="false">Rho_moyen*(20000-Alt_rampe-pos_z)/(20000+Alt_rampe+pos_z)</f>
        <v>1.16846695064764</v>
      </c>
      <c r="W405" s="449" t="n">
        <f aca="false">1/2*Rho*Sref*Cx*vit_xz^2</f>
        <v>70.3385152114592</v>
      </c>
      <c r="X405" s="438"/>
      <c r="Y405" s="454" t="str">
        <f aca="false">IF(AND(pos_z&lt;=0,K404&gt;0),"Impact balistique","") &amp; IF(AND(H406&lt;0,vit_z&gt;=0),"Apogée","") &amp; IF(AND(Poussee=0,Q404&gt;0),"Fin de propulsion","") &amp; IF(AND(L406&gt;L_rampe,pos_xz&lt;=L_rampe),"Sortie de rampe","")</f>
        <v/>
      </c>
      <c r="Z405" s="455" t="str">
        <f aca="false">IF(ABS(t-T_para)&lt;pas/2,"Para","")</f>
        <v/>
      </c>
      <c r="AA405" s="456" t="str">
        <f aca="false">IF(ABS(t-T_satellite)&lt;pas/2,"Satellite","")</f>
        <v/>
      </c>
      <c r="AB405" s="444"/>
      <c r="AC405" s="452" t="e">
        <f aca="false">IF(ABS(t-ROUND(t,0))&lt;0.001,t,NA())</f>
        <v>#N/A</v>
      </c>
      <c r="AD405" s="457" t="e">
        <f aca="false">IF(ABS(t-ROUND(t,0))&lt;0.001,pos_x,NA())</f>
        <v>#N/A</v>
      </c>
      <c r="AE405" s="458" t="n">
        <f aca="false">IF(t&lt;T_para, pos_z, NA())</f>
        <v>472.394651925885</v>
      </c>
      <c r="AF405" s="444"/>
      <c r="AG405" s="450" t="n">
        <f aca="false">IF(AND(L404&lt;L_rampe,Poussee&lt;Poids*SIN(M404)),0,(-W404+Poussee)/m-Poids*SIN(M404)/m)</f>
        <v>-17.8294443468068</v>
      </c>
      <c r="AH405" s="449" t="n">
        <f aca="false">IF(AND(L404&lt;L_rampe,Poussee&lt;Poids*SIN(M404)), g*SIN(M404), (-W404+Poussee)/m)</f>
        <v>-8.32020086300445</v>
      </c>
    </row>
    <row r="406" customFormat="false" ht="12" hidden="false" customHeight="false" outlineLevel="0" collapsed="false">
      <c r="A406" s="448" t="n">
        <f aca="false">IF(B405+0.01&lt;=T_ini+ROUNDUP(Temps_fin_propu,0), 0.01, IF(K405&gt;0, 0.1, 0.0001))</f>
        <v>0.1</v>
      </c>
      <c r="B406" s="449" t="n">
        <f aca="false">B405+pas</f>
        <v>4.19999999999996</v>
      </c>
      <c r="C406" s="432"/>
      <c r="D406" s="450" t="n">
        <f aca="false">IF(AND(L405&lt;L_rampe,Poussee&lt;Poids*SIN(M405)),0,(-W405+Poussee)/m*COS(M405)-U405/m*SIN(M405))</f>
        <v>-2.00915060074958</v>
      </c>
      <c r="E406" s="451" t="n">
        <f aca="false">IF(AND(L405&lt;L_rampe,Poussee&lt;Poids*SIN(M405)),0,(-W405+Poussee)/m*SIN(M405)+U405/m*COS(M405)-Poids/m)</f>
        <v>-17.6875627717472</v>
      </c>
      <c r="F406" s="449" t="n">
        <f aca="false">SQRT(acc_x^2+acc_z^2)</f>
        <v>17.80130789973</v>
      </c>
      <c r="G406" s="450" t="n">
        <f aca="false">G405+acc_x*pas</f>
        <v>40.4627078220053</v>
      </c>
      <c r="H406" s="451" t="n">
        <f aca="false">H405+acc_z*pas</f>
        <v>157.666898601425</v>
      </c>
      <c r="I406" s="449" t="n">
        <f aca="false">SQRT(vit_x^2+vit_z^2)</f>
        <v>162.77617036557</v>
      </c>
      <c r="J406" s="450" t="n">
        <f aca="false">J405+0.5*(vit_x+G405)*pas*(K405&gt;=0)</f>
        <v>113.245853101376</v>
      </c>
      <c r="K406" s="451" t="n">
        <f aca="false">K405+0.5*(vit_z+H405)*pas</f>
        <v>488.249779599886</v>
      </c>
      <c r="L406" s="449" t="n">
        <f aca="false">SQRT(pos_x^2+pos_z^2)</f>
        <v>501.211003993324</v>
      </c>
      <c r="M406" s="450" t="n">
        <f aca="false">IF(AND(L405&gt;L_rampe,G406&gt;0),ATAN2(G406,H406),$M$4)</f>
        <v>1.31958358591667</v>
      </c>
      <c r="N406" s="449" t="n">
        <f aca="false">DEGREES(Beta)</f>
        <v>75.6065701877639</v>
      </c>
      <c r="O406" s="438"/>
      <c r="P406" s="452" t="n">
        <f aca="false">MATCH(t-pas/2-T_ini,CdP_t)</f>
        <v>23</v>
      </c>
      <c r="Q406" s="449" t="n">
        <f aca="false">(INDEX(CdP,2,i_P+1)-INDEX(CdP,2,i_P+0))/(INDEX(CdP,1,i_P+1)-INDEX(CdP,1,i_P+0))*(t-pas/2-T_ini-INDEX(CdP,1,i_P+0))+INDEX(CdP,2,i_P+0)</f>
        <v>0</v>
      </c>
      <c r="R406" s="450" t="n">
        <f aca="false">Poussee/(g*ISP)</f>
        <v>0</v>
      </c>
      <c r="S406" s="451" t="n">
        <f aca="false">S405-Débit*pas</f>
        <v>8.652</v>
      </c>
      <c r="T406" s="449" t="n">
        <f aca="false">m*g</f>
        <v>84.87612</v>
      </c>
      <c r="U406" s="453" t="n">
        <f aca="false">IF(pos_xz&lt;L_rampe,Poids*COS(Beta),0)</f>
        <v>0</v>
      </c>
      <c r="V406" s="450" t="n">
        <f aca="false">Rho_moyen*(20000-Alt_rampe-pos_z)/(20000+Alt_rampe+pos_z)</f>
        <v>1.16661473171755</v>
      </c>
      <c r="W406" s="449" t="n">
        <f aca="false">1/2*Rho*Sref*Cx*vit_xz^2</f>
        <v>68.7298421537558</v>
      </c>
      <c r="X406" s="438"/>
      <c r="Y406" s="454" t="str">
        <f aca="false">IF(AND(pos_z&lt;=0,K405&gt;0),"Impact balistique","") &amp; IF(AND(H407&lt;0,vit_z&gt;=0),"Apogée","") &amp; IF(AND(Poussee=0,Q405&gt;0),"Fin de propulsion","") &amp; IF(AND(L407&gt;L_rampe,pos_xz&lt;=L_rampe),"Sortie de rampe","")</f>
        <v/>
      </c>
      <c r="Z406" s="455" t="str">
        <f aca="false">IF(ABS(t-T_para)&lt;pas/2,"Para","")</f>
        <v/>
      </c>
      <c r="AA406" s="456" t="str">
        <f aca="false">IF(ABS(t-T_satellite)&lt;pas/2,"Satellite","")</f>
        <v/>
      </c>
      <c r="AB406" s="444"/>
      <c r="AC406" s="452" t="e">
        <f aca="false">IF(ABS(t-ROUND(t,0))&lt;0.001,t,NA())</f>
        <v>#N/A</v>
      </c>
      <c r="AD406" s="457" t="e">
        <f aca="false">IF(ABS(t-ROUND(t,0))&lt;0.001,pos_x,NA())</f>
        <v>#N/A</v>
      </c>
      <c r="AE406" s="458" t="n">
        <f aca="false">IF(t&lt;T_para, pos_z, NA())</f>
        <v>488.249779599886</v>
      </c>
      <c r="AF406" s="444"/>
      <c r="AG406" s="450" t="n">
        <f aca="false">IF(AND(L405&lt;L_rampe,Poussee&lt;Poids*SIN(M405)),0,(-W405+Poussee)/m-Poids*SIN(M405)/m)</f>
        <v>-17.6354425241123</v>
      </c>
      <c r="AH406" s="449" t="n">
        <f aca="false">IF(AND(L405&lt;L_rampe,Poussee&lt;Poids*SIN(M405)), g*SIN(M405), (-W405+Poussee)/m)</f>
        <v>-8.12974054686307</v>
      </c>
    </row>
    <row r="407" customFormat="false" ht="12" hidden="false" customHeight="false" outlineLevel="0" collapsed="false">
      <c r="A407" s="448" t="n">
        <f aca="false">IF(B406+0.01&lt;=T_ini+ROUNDUP(Temps_fin_propu,0), 0.01, IF(K406&gt;0, 0.1, 0.0001))</f>
        <v>0.1</v>
      </c>
      <c r="B407" s="449" t="n">
        <f aca="false">B406+pas</f>
        <v>4.29999999999996</v>
      </c>
      <c r="C407" s="432"/>
      <c r="D407" s="450" t="n">
        <f aca="false">IF(AND(L406&lt;L_rampe,Poussee&lt;Poids*SIN(M406)),0,(-W406+Poussee)/m*COS(M406)-U406/m*SIN(M406))</f>
        <v>-1.97466283366991</v>
      </c>
      <c r="E407" s="451" t="n">
        <f aca="false">IF(AND(L406&lt;L_rampe,Poussee&lt;Poids*SIN(M406)),0,(-W406+Poussee)/m*SIN(M406)+U406/m*COS(M406)-Poids/m)</f>
        <v>-17.5044668690442</v>
      </c>
      <c r="F407" s="449" t="n">
        <f aca="false">SQRT(acc_x^2+acc_z^2)</f>
        <v>17.6154947042694</v>
      </c>
      <c r="G407" s="450" t="n">
        <f aca="false">G406+acc_x*pas</f>
        <v>40.2652415386383</v>
      </c>
      <c r="H407" s="451" t="n">
        <f aca="false">H406+acc_z*pas</f>
        <v>155.916451914521</v>
      </c>
      <c r="I407" s="449" t="n">
        <f aca="false">SQRT(vit_x^2+vit_z^2)</f>
        <v>161.031765977331</v>
      </c>
      <c r="J407" s="450" t="n">
        <f aca="false">J406+0.5*(vit_x+G406)*pas*(K406&gt;=0)</f>
        <v>117.282250569408</v>
      </c>
      <c r="K407" s="451" t="n">
        <f aca="false">K406+0.5*(vit_z+H406)*pas</f>
        <v>503.928947125683</v>
      </c>
      <c r="L407" s="449" t="n">
        <f aca="false">SQRT(pos_x^2+pos_z^2)</f>
        <v>517.3968593351</v>
      </c>
      <c r="M407" s="450" t="n">
        <f aca="false">IF(AND(L406&gt;L_rampe,G407&gt;0),ATAN2(G407,H407),$M$4)</f>
        <v>1.31806925170479</v>
      </c>
      <c r="N407" s="449" t="n">
        <f aca="false">DEGREES(Beta)</f>
        <v>75.5198052286511</v>
      </c>
      <c r="O407" s="438"/>
      <c r="P407" s="452" t="n">
        <f aca="false">MATCH(t-pas/2-T_ini,CdP_t)</f>
        <v>23</v>
      </c>
      <c r="Q407" s="449" t="n">
        <f aca="false">(INDEX(CdP,2,i_P+1)-INDEX(CdP,2,i_P+0))/(INDEX(CdP,1,i_P+1)-INDEX(CdP,1,i_P+0))*(t-pas/2-T_ini-INDEX(CdP,1,i_P+0))+INDEX(CdP,2,i_P+0)</f>
        <v>0</v>
      </c>
      <c r="R407" s="450" t="n">
        <f aca="false">Poussee/(g*ISP)</f>
        <v>0</v>
      </c>
      <c r="S407" s="451" t="n">
        <f aca="false">S406-Débit*pas</f>
        <v>8.652</v>
      </c>
      <c r="T407" s="449" t="n">
        <f aca="false">m*g</f>
        <v>84.87612</v>
      </c>
      <c r="U407" s="453" t="n">
        <f aca="false">IF(pos_xz&lt;L_rampe,Poids*COS(Beta),0)</f>
        <v>0</v>
      </c>
      <c r="V407" s="450" t="n">
        <f aca="false">Rho_moyen*(20000-Alt_rampe-pos_z)/(20000+Alt_rampe+pos_z)</f>
        <v>1.16478588573723</v>
      </c>
      <c r="W407" s="449" t="n">
        <f aca="false">1/2*Rho*Sref*Cx*vit_xz^2</f>
        <v>67.1591897398563</v>
      </c>
      <c r="X407" s="438"/>
      <c r="Y407" s="454" t="str">
        <f aca="false">IF(AND(pos_z&lt;=0,K406&gt;0),"Impact balistique","") &amp; IF(AND(H408&lt;0,vit_z&gt;=0),"Apogée","") &amp; IF(AND(Poussee=0,Q406&gt;0),"Fin de propulsion","") &amp; IF(AND(L408&gt;L_rampe,pos_xz&lt;=L_rampe),"Sortie de rampe","")</f>
        <v/>
      </c>
      <c r="Z407" s="455" t="str">
        <f aca="false">IF(ABS(t-T_para)&lt;pas/2,"Para","")</f>
        <v/>
      </c>
      <c r="AA407" s="456" t="str">
        <f aca="false">IF(ABS(t-T_satellite)&lt;pas/2,"Satellite","")</f>
        <v/>
      </c>
      <c r="AB407" s="444"/>
      <c r="AC407" s="452" t="e">
        <f aca="false">IF(ABS(t-ROUND(t,0))&lt;0.001,t,NA())</f>
        <v>#N/A</v>
      </c>
      <c r="AD407" s="457" t="e">
        <f aca="false">IF(ABS(t-ROUND(t,0))&lt;0.001,pos_x,NA())</f>
        <v>#N/A</v>
      </c>
      <c r="AE407" s="458" t="n">
        <f aca="false">IF(t&lt;T_para, pos_z, NA())</f>
        <v>503.928947125683</v>
      </c>
      <c r="AF407" s="444"/>
      <c r="AG407" s="450" t="n">
        <f aca="false">IF(AND(L406&lt;L_rampe,Poussee&lt;Poids*SIN(M406)),0,(-W406+Poussee)/m-Poids*SIN(M406)/m)</f>
        <v>-17.44589027879</v>
      </c>
      <c r="AH407" s="449" t="n">
        <f aca="false">IF(AND(L406&lt;L_rampe,Poussee&lt;Poids*SIN(M406)), g*SIN(M406), (-W406+Poussee)/m)</f>
        <v>-7.94380977274108</v>
      </c>
    </row>
    <row r="408" customFormat="false" ht="12" hidden="false" customHeight="false" outlineLevel="0" collapsed="false">
      <c r="A408" s="448" t="n">
        <f aca="false">IF(B407+0.01&lt;=T_ini+ROUNDUP(Temps_fin_propu,0), 0.01, IF(K407&gt;0, 0.1, 0.0001))</f>
        <v>0.1</v>
      </c>
      <c r="B408" s="449" t="n">
        <f aca="false">B407+pas</f>
        <v>4.39999999999996</v>
      </c>
      <c r="C408" s="432"/>
      <c r="D408" s="450" t="n">
        <f aca="false">IF(AND(L407&lt;L_rampe,Poussee&lt;Poids*SIN(M407)),0,(-W407+Poussee)/m*COS(M407)-U407/m*SIN(M407))</f>
        <v>-1.94092024489908</v>
      </c>
      <c r="E408" s="451" t="n">
        <f aca="false">IF(AND(L407&lt;L_rampe,Poussee&lt;Poids*SIN(M407)),0,(-W407+Poussee)/m*SIN(M407)+U407/m*COS(M407)-Poids/m)</f>
        <v>-17.3256980678567</v>
      </c>
      <c r="F408" s="449" t="n">
        <f aca="false">SQRT(acc_x^2+acc_z^2)</f>
        <v>17.4340753966361</v>
      </c>
      <c r="G408" s="450" t="n">
        <f aca="false">G407+acc_x*pas</f>
        <v>40.0711495141484</v>
      </c>
      <c r="H408" s="451" t="n">
        <f aca="false">H407+acc_z*pas</f>
        <v>154.183882107735</v>
      </c>
      <c r="I408" s="449" t="n">
        <f aca="false">SQRT(vit_x^2+vit_z^2)</f>
        <v>159.305889800714</v>
      </c>
      <c r="J408" s="450" t="n">
        <f aca="false">J407+0.5*(vit_x+G407)*pas*(K407&gt;=0)</f>
        <v>121.299070122047</v>
      </c>
      <c r="K408" s="451" t="n">
        <f aca="false">K407+0.5*(vit_z+H407)*pas</f>
        <v>519.433963826796</v>
      </c>
      <c r="L408" s="449" t="n">
        <f aca="false">SQRT(pos_x^2+pos_z^2)</f>
        <v>533.408949296213</v>
      </c>
      <c r="M408" s="450" t="n">
        <f aca="false">IF(AND(L407&gt;L_rampe,G408&gt;0),ATAN2(G408,H408),$M$4)</f>
        <v>1.31652948083471</v>
      </c>
      <c r="N408" s="449" t="n">
        <f aca="false">DEGREES(Beta)</f>
        <v>75.4315828563782</v>
      </c>
      <c r="O408" s="438"/>
      <c r="P408" s="452" t="n">
        <f aca="false">MATCH(t-pas/2-T_ini,CdP_t)</f>
        <v>23</v>
      </c>
      <c r="Q408" s="449" t="n">
        <f aca="false">(INDEX(CdP,2,i_P+1)-INDEX(CdP,2,i_P+0))/(INDEX(CdP,1,i_P+1)-INDEX(CdP,1,i_P+0))*(t-pas/2-T_ini-INDEX(CdP,1,i_P+0))+INDEX(CdP,2,i_P+0)</f>
        <v>0</v>
      </c>
      <c r="R408" s="450" t="n">
        <f aca="false">Poussee/(g*ISP)</f>
        <v>0</v>
      </c>
      <c r="S408" s="451" t="n">
        <f aca="false">S407-Débit*pas</f>
        <v>8.652</v>
      </c>
      <c r="T408" s="449" t="n">
        <f aca="false">m*g</f>
        <v>84.87612</v>
      </c>
      <c r="U408" s="453" t="n">
        <f aca="false">IF(pos_xz&lt;L_rampe,Poids*COS(Beta),0)</f>
        <v>0</v>
      </c>
      <c r="V408" s="450" t="n">
        <f aca="false">Rho_moyen*(20000-Alt_rampe-pos_z)/(20000+Alt_rampe+pos_z)</f>
        <v>1.16298010151649</v>
      </c>
      <c r="W408" s="449" t="n">
        <f aca="false">1/2*Rho*Sref*Cx*vit_xz^2</f>
        <v>65.6254336740037</v>
      </c>
      <c r="X408" s="438"/>
      <c r="Y408" s="454" t="str">
        <f aca="false">IF(AND(pos_z&lt;=0,K407&gt;0),"Impact balistique","") &amp; IF(AND(H409&lt;0,vit_z&gt;=0),"Apogée","") &amp; IF(AND(Poussee=0,Q407&gt;0),"Fin de propulsion","") &amp; IF(AND(L409&gt;L_rampe,pos_xz&lt;=L_rampe),"Sortie de rampe","")</f>
        <v/>
      </c>
      <c r="Z408" s="455" t="str">
        <f aca="false">IF(ABS(t-T_para)&lt;pas/2,"Para","")</f>
        <v/>
      </c>
      <c r="AA408" s="456" t="str">
        <f aca="false">IF(ABS(t-T_satellite)&lt;pas/2,"Satellite","")</f>
        <v/>
      </c>
      <c r="AB408" s="444"/>
      <c r="AC408" s="452" t="e">
        <f aca="false">IF(ABS(t-ROUND(t,0))&lt;0.001,t,NA())</f>
        <v>#N/A</v>
      </c>
      <c r="AD408" s="457" t="e">
        <f aca="false">IF(ABS(t-ROUND(t,0))&lt;0.001,pos_x,NA())</f>
        <v>#N/A</v>
      </c>
      <c r="AE408" s="458" t="n">
        <f aca="false">IF(t&lt;T_para, pos_z, NA())</f>
        <v>519.433963826796</v>
      </c>
      <c r="AF408" s="444"/>
      <c r="AG408" s="450" t="n">
        <f aca="false">IF(AND(L407&lt;L_rampe,Poussee&lt;Poids*SIN(M407)),0,(-W407+Poussee)/m-Poids*SIN(M407)/m)</f>
        <v>-17.260650252956</v>
      </c>
      <c r="AH408" s="449" t="n">
        <f aca="false">IF(AND(L407&lt;L_rampe,Poussee&lt;Poids*SIN(M407)), g*SIN(M407), (-W407+Poussee)/m)</f>
        <v>-7.76227343271571</v>
      </c>
    </row>
    <row r="409" customFormat="false" ht="12" hidden="false" customHeight="false" outlineLevel="0" collapsed="false">
      <c r="A409" s="448" t="n">
        <f aca="false">IF(B408+0.01&lt;=T_ini+ROUNDUP(Temps_fin_propu,0), 0.01, IF(K408&gt;0, 0.1, 0.0001))</f>
        <v>0.1</v>
      </c>
      <c r="B409" s="449" t="n">
        <f aca="false">B408+pas</f>
        <v>4.49999999999996</v>
      </c>
      <c r="C409" s="432"/>
      <c r="D409" s="450" t="n">
        <f aca="false">IF(AND(L408&lt;L_rampe,Poussee&lt;Poids*SIN(M408)),0,(-W408+Poussee)/m*COS(M408)-U408/m*SIN(M408))</f>
        <v>-1.90790015846402</v>
      </c>
      <c r="E409" s="451" t="n">
        <f aca="false">IF(AND(L408&lt;L_rampe,Poussee&lt;Poids*SIN(M408)),0,(-W408+Poussee)/m*SIN(M408)+U408/m*COS(M408)-Poids/m)</f>
        <v>-17.1511283847018</v>
      </c>
      <c r="F409" s="449" t="n">
        <f aca="false">SQRT(acc_x^2+acc_z^2)</f>
        <v>17.256919999907</v>
      </c>
      <c r="G409" s="450" t="n">
        <f aca="false">G408+acc_x*pas</f>
        <v>39.880359498302</v>
      </c>
      <c r="H409" s="451" t="n">
        <f aca="false">H408+acc_z*pas</f>
        <v>152.468769269265</v>
      </c>
      <c r="I409" s="449" t="n">
        <f aca="false">SQRT(vit_x^2+vit_z^2)</f>
        <v>157.598123961544</v>
      </c>
      <c r="J409" s="450" t="n">
        <f aca="false">J408+0.5*(vit_x+G408)*pas*(K408&gt;=0)</f>
        <v>125.29664557267</v>
      </c>
      <c r="K409" s="451" t="n">
        <f aca="false">K408+0.5*(vit_z+H408)*pas</f>
        <v>534.766596395646</v>
      </c>
      <c r="L409" s="449" t="n">
        <f aca="false">SQRT(pos_x^2+pos_z^2)</f>
        <v>549.249089223047</v>
      </c>
      <c r="M409" s="450" t="n">
        <f aca="false">IF(AND(L408&gt;L_rampe,G409&gt;0),ATAN2(G409,H409),$M$4)</f>
        <v>1.31496374637499</v>
      </c>
      <c r="N409" s="449" t="n">
        <f aca="false">DEGREES(Beta)</f>
        <v>75.341872879998</v>
      </c>
      <c r="O409" s="438"/>
      <c r="P409" s="452" t="n">
        <f aca="false">MATCH(t-pas/2-T_ini,CdP_t)</f>
        <v>23</v>
      </c>
      <c r="Q409" s="449" t="n">
        <f aca="false">(INDEX(CdP,2,i_P+1)-INDEX(CdP,2,i_P+0))/(INDEX(CdP,1,i_P+1)-INDEX(CdP,1,i_P+0))*(t-pas/2-T_ini-INDEX(CdP,1,i_P+0))+INDEX(CdP,2,i_P+0)</f>
        <v>0</v>
      </c>
      <c r="R409" s="450" t="n">
        <f aca="false">Poussee/(g*ISP)</f>
        <v>0</v>
      </c>
      <c r="S409" s="451" t="n">
        <f aca="false">S408-Débit*pas</f>
        <v>8.652</v>
      </c>
      <c r="T409" s="449" t="n">
        <f aca="false">m*g</f>
        <v>84.87612</v>
      </c>
      <c r="U409" s="453" t="n">
        <f aca="false">IF(pos_xz&lt;L_rampe,Poids*COS(Beta),0)</f>
        <v>0</v>
      </c>
      <c r="V409" s="450" t="n">
        <f aca="false">Rho_moyen*(20000-Alt_rampe-pos_z)/(20000+Alt_rampe+pos_z)</f>
        <v>1.16119707557819</v>
      </c>
      <c r="W409" s="449" t="n">
        <f aca="false">1/2*Rho*Sref*Cx*vit_xz^2</f>
        <v>64.1274922878025</v>
      </c>
      <c r="X409" s="438"/>
      <c r="Y409" s="454" t="str">
        <f aca="false">IF(AND(pos_z&lt;=0,K408&gt;0),"Impact balistique","") &amp; IF(AND(H410&lt;0,vit_z&gt;=0),"Apogée","") &amp; IF(AND(Poussee=0,Q408&gt;0),"Fin de propulsion","") &amp; IF(AND(L410&gt;L_rampe,pos_xz&lt;=L_rampe),"Sortie de rampe","")</f>
        <v/>
      </c>
      <c r="Z409" s="455" t="str">
        <f aca="false">IF(ABS(t-T_para)&lt;pas/2,"Para","")</f>
        <v/>
      </c>
      <c r="AA409" s="456" t="str">
        <f aca="false">IF(ABS(t-T_satellite)&lt;pas/2,"Satellite","")</f>
        <v/>
      </c>
      <c r="AB409" s="444"/>
      <c r="AC409" s="452" t="e">
        <f aca="false">IF(ABS(t-ROUND(t,0))&lt;0.001,t,NA())</f>
        <v>#N/A</v>
      </c>
      <c r="AD409" s="457" t="e">
        <f aca="false">IF(ABS(t-ROUND(t,0))&lt;0.001,pos_x,NA())</f>
        <v>#N/A</v>
      </c>
      <c r="AE409" s="458" t="n">
        <f aca="false">IF(t&lt;T_para, pos_z, NA())</f>
        <v>534.766596395646</v>
      </c>
      <c r="AF409" s="444"/>
      <c r="AG409" s="450" t="n">
        <f aca="false">IF(AND(L408&lt;L_rampe,Poussee&lt;Poids*SIN(M408)),0,(-W408+Poussee)/m-Poids*SIN(M408)/m)</f>
        <v>-17.0795901695355</v>
      </c>
      <c r="AH409" s="449" t="n">
        <f aca="false">IF(AND(L408&lt;L_rampe,Poussee&lt;Poids*SIN(M408)), g*SIN(M408), (-W408+Poussee)/m)</f>
        <v>-7.58500158044425</v>
      </c>
    </row>
    <row r="410" customFormat="false" ht="12" hidden="false" customHeight="false" outlineLevel="0" collapsed="false">
      <c r="A410" s="448" t="n">
        <f aca="false">IF(B409+0.01&lt;=T_ini+ROUNDUP(Temps_fin_propu,0), 0.01, IF(K409&gt;0, 0.1, 0.0001))</f>
        <v>0.1</v>
      </c>
      <c r="B410" s="449" t="n">
        <f aca="false">B409+pas</f>
        <v>4.59999999999996</v>
      </c>
      <c r="C410" s="432"/>
      <c r="D410" s="450" t="n">
        <f aca="false">IF(AND(L409&lt;L_rampe,Poussee&lt;Poids*SIN(M409)),0,(-W409+Poussee)/m*COS(M409)-U409/m*SIN(M409))</f>
        <v>-1.87558075362295</v>
      </c>
      <c r="E410" s="451" t="n">
        <f aca="false">IF(AND(L409&lt;L_rampe,Poussee&lt;Poids*SIN(M409)),0,(-W409+Poussee)/m*SIN(M409)+U409/m*COS(M409)-Poids/m)</f>
        <v>-16.9806346875381</v>
      </c>
      <c r="F410" s="449" t="n">
        <f aca="false">SQRT(acc_x^2+acc_z^2)</f>
        <v>17.0839034636403</v>
      </c>
      <c r="G410" s="450" t="n">
        <f aca="false">G409+acc_x*pas</f>
        <v>39.6928014229397</v>
      </c>
      <c r="H410" s="451" t="n">
        <f aca="false">H409+acc_z*pas</f>
        <v>150.770705800511</v>
      </c>
      <c r="I410" s="449" t="n">
        <f aca="false">SQRT(vit_x^2+vit_z^2)</f>
        <v>155.908063333444</v>
      </c>
      <c r="J410" s="450" t="n">
        <f aca="false">J409+0.5*(vit_x+G409)*pas*(K409&gt;=0)</f>
        <v>129.275303618732</v>
      </c>
      <c r="K410" s="451" t="n">
        <f aca="false">K409+0.5*(vit_z+H409)*pas</f>
        <v>549.928570149135</v>
      </c>
      <c r="L410" s="449" t="n">
        <f aca="false">SQRT(pos_x^2+pos_z^2)</f>
        <v>564.919052955366</v>
      </c>
      <c r="M410" s="450" t="n">
        <f aca="false">IF(AND(L409&gt;L_rampe,G410&gt;0),ATAN2(G410,H410),$M$4)</f>
        <v>1.3133715059891</v>
      </c>
      <c r="N410" s="449" t="n">
        <f aca="false">DEGREES(Beta)</f>
        <v>75.2506442259161</v>
      </c>
      <c r="O410" s="438"/>
      <c r="P410" s="452" t="n">
        <f aca="false">MATCH(t-pas/2-T_ini,CdP_t)</f>
        <v>23</v>
      </c>
      <c r="Q410" s="449" t="n">
        <f aca="false">(INDEX(CdP,2,i_P+1)-INDEX(CdP,2,i_P+0))/(INDEX(CdP,1,i_P+1)-INDEX(CdP,1,i_P+0))*(t-pas/2-T_ini-INDEX(CdP,1,i_P+0))+INDEX(CdP,2,i_P+0)</f>
        <v>0</v>
      </c>
      <c r="R410" s="450" t="n">
        <f aca="false">Poussee/(g*ISP)</f>
        <v>0</v>
      </c>
      <c r="S410" s="451" t="n">
        <f aca="false">S409-Débit*pas</f>
        <v>8.652</v>
      </c>
      <c r="T410" s="449" t="n">
        <f aca="false">m*g</f>
        <v>84.87612</v>
      </c>
      <c r="U410" s="453" t="n">
        <f aca="false">IF(pos_xz&lt;L_rampe,Poids*COS(Beta),0)</f>
        <v>0</v>
      </c>
      <c r="V410" s="450" t="n">
        <f aca="false">Rho_moyen*(20000-Alt_rampe-pos_z)/(20000+Alt_rampe+pos_z)</f>
        <v>1.15943651191944</v>
      </c>
      <c r="W410" s="449" t="n">
        <f aca="false">1/2*Rho*Sref*Cx*vit_xz^2</f>
        <v>62.6643246172582</v>
      </c>
      <c r="X410" s="438"/>
      <c r="Y410" s="454" t="str">
        <f aca="false">IF(AND(pos_z&lt;=0,K409&gt;0),"Impact balistique","") &amp; IF(AND(H411&lt;0,vit_z&gt;=0),"Apogée","") &amp; IF(AND(Poussee=0,Q409&gt;0),"Fin de propulsion","") &amp; IF(AND(L411&gt;L_rampe,pos_xz&lt;=L_rampe),"Sortie de rampe","")</f>
        <v/>
      </c>
      <c r="Z410" s="455" t="str">
        <f aca="false">IF(ABS(t-T_para)&lt;pas/2,"Para","")</f>
        <v/>
      </c>
      <c r="AA410" s="456" t="str">
        <f aca="false">IF(ABS(t-T_satellite)&lt;pas/2,"Satellite","")</f>
        <v/>
      </c>
      <c r="AB410" s="444"/>
      <c r="AC410" s="452" t="e">
        <f aca="false">IF(ABS(t-ROUND(t,0))&lt;0.001,t,NA())</f>
        <v>#N/A</v>
      </c>
      <c r="AD410" s="457" t="e">
        <f aca="false">IF(ABS(t-ROUND(t,0))&lt;0.001,pos_x,NA())</f>
        <v>#N/A</v>
      </c>
      <c r="AE410" s="458" t="n">
        <f aca="false">IF(t&lt;T_para, pos_z, NA())</f>
        <v>549.928570149135</v>
      </c>
      <c r="AF410" s="444"/>
      <c r="AG410" s="450" t="n">
        <f aca="false">IF(AND(L409&lt;L_rampe,Poussee&lt;Poids*SIN(M409)),0,(-W409+Poussee)/m-Poids*SIN(M409)/m)</f>
        <v>-16.9025825941463</v>
      </c>
      <c r="AH410" s="449" t="n">
        <f aca="false">IF(AND(L409&lt;L_rampe,Poussee&lt;Poids*SIN(M409)), g*SIN(M409), (-W409+Poussee)/m)</f>
        <v>-7.41186919646353</v>
      </c>
    </row>
    <row r="411" customFormat="false" ht="12" hidden="false" customHeight="false" outlineLevel="0" collapsed="false">
      <c r="A411" s="448" t="n">
        <f aca="false">IF(B410+0.01&lt;=T_ini+ROUNDUP(Temps_fin_propu,0), 0.01, IF(K410&gt;0, 0.1, 0.0001))</f>
        <v>0.1</v>
      </c>
      <c r="B411" s="449" t="n">
        <f aca="false">B410+pas</f>
        <v>4.69999999999996</v>
      </c>
      <c r="C411" s="432"/>
      <c r="D411" s="450" t="n">
        <f aca="false">IF(AND(L410&lt;L_rampe,Poussee&lt;Poids*SIN(M410)),0,(-W410+Poussee)/m*COS(M410)-U410/m*SIN(M410))</f>
        <v>-1.84394102629423</v>
      </c>
      <c r="E411" s="451" t="n">
        <f aca="false">IF(AND(L410&lt;L_rampe,Poussee&lt;Poids*SIN(M410)),0,(-W410+Poussee)/m*SIN(M410)+U410/m*COS(M410)-Poids/m)</f>
        <v>-16.8140984768646</v>
      </c>
      <c r="F411" s="449" t="n">
        <f aca="false">SQRT(acc_x^2+acc_z^2)</f>
        <v>16.9149054415965</v>
      </c>
      <c r="G411" s="450" t="n">
        <f aca="false">G410+acc_x*pas</f>
        <v>39.5084073203103</v>
      </c>
      <c r="H411" s="451" t="n">
        <f aca="false">H410+acc_z*pas</f>
        <v>149.089295952825</v>
      </c>
      <c r="I411" s="449" t="n">
        <f aca="false">SQRT(vit_x^2+vit_z^2)</f>
        <v>154.235315076336</v>
      </c>
      <c r="J411" s="450" t="n">
        <f aca="false">J410+0.5*(vit_x+G410)*pas*(K410&gt;=0)</f>
        <v>133.235364055894</v>
      </c>
      <c r="K411" s="451" t="n">
        <f aca="false">K410+0.5*(vit_z+H410)*pas</f>
        <v>564.921570236802</v>
      </c>
      <c r="L411" s="449" t="n">
        <f aca="false">SQRT(pos_x^2+pos_z^2)</f>
        <v>580.420574027076</v>
      </c>
      <c r="M411" s="450" t="n">
        <f aca="false">IF(AND(L410&gt;L_rampe,G411&gt;0),ATAN2(G411,H411),$M$4)</f>
        <v>1.31175220139948</v>
      </c>
      <c r="N411" s="449" t="n">
        <f aca="false">DEGREES(Beta)</f>
        <v>75.1578649071852</v>
      </c>
      <c r="O411" s="438"/>
      <c r="P411" s="452" t="n">
        <f aca="false">MATCH(t-pas/2-T_ini,CdP_t)</f>
        <v>23</v>
      </c>
      <c r="Q411" s="449" t="n">
        <f aca="false">(INDEX(CdP,2,i_P+1)-INDEX(CdP,2,i_P+0))/(INDEX(CdP,1,i_P+1)-INDEX(CdP,1,i_P+0))*(t-pas/2-T_ini-INDEX(CdP,1,i_P+0))+INDEX(CdP,2,i_P+0)</f>
        <v>0</v>
      </c>
      <c r="R411" s="450" t="n">
        <f aca="false">Poussee/(g*ISP)</f>
        <v>0</v>
      </c>
      <c r="S411" s="451" t="n">
        <f aca="false">S410-Débit*pas</f>
        <v>8.652</v>
      </c>
      <c r="T411" s="449" t="n">
        <f aca="false">m*g</f>
        <v>84.87612</v>
      </c>
      <c r="U411" s="453" t="n">
        <f aca="false">IF(pos_xz&lt;L_rampe,Poids*COS(Beta),0)</f>
        <v>0</v>
      </c>
      <c r="V411" s="450" t="n">
        <f aca="false">Rho_moyen*(20000-Alt_rampe-pos_z)/(20000+Alt_rampe+pos_z)</f>
        <v>1.15769812178213</v>
      </c>
      <c r="W411" s="449" t="n">
        <f aca="false">1/2*Rho*Sref*Cx*vit_xz^2</f>
        <v>61.2349285809923</v>
      </c>
      <c r="X411" s="438"/>
      <c r="Y411" s="454" t="str">
        <f aca="false">IF(AND(pos_z&lt;=0,K410&gt;0),"Impact balistique","") &amp; IF(AND(H412&lt;0,vit_z&gt;=0),"Apogée","") &amp; IF(AND(Poussee=0,Q410&gt;0),"Fin de propulsion","") &amp; IF(AND(L412&gt;L_rampe,pos_xz&lt;=L_rampe),"Sortie de rampe","")</f>
        <v/>
      </c>
      <c r="Z411" s="455" t="str">
        <f aca="false">IF(ABS(t-T_para)&lt;pas/2,"Para","")</f>
        <v/>
      </c>
      <c r="AA411" s="456" t="str">
        <f aca="false">IF(ABS(t-T_satellite)&lt;pas/2,"Satellite","")</f>
        <v/>
      </c>
      <c r="AB411" s="444"/>
      <c r="AC411" s="452" t="e">
        <f aca="false">IF(ABS(t-ROUND(t,0))&lt;0.001,t,NA())</f>
        <v>#N/A</v>
      </c>
      <c r="AD411" s="457" t="e">
        <f aca="false">IF(ABS(t-ROUND(t,0))&lt;0.001,pos_x,NA())</f>
        <v>#N/A</v>
      </c>
      <c r="AE411" s="458" t="n">
        <f aca="false">IF(t&lt;T_para, pos_z, NA())</f>
        <v>564.921570236802</v>
      </c>
      <c r="AF411" s="444"/>
      <c r="AG411" s="450" t="n">
        <f aca="false">IF(AND(L410&lt;L_rampe,Poussee&lt;Poids*SIN(M410)),0,(-W410+Poussee)/m-Poids*SIN(M410)/m)</f>
        <v>-16.7295047092602</v>
      </c>
      <c r="AH411" s="449" t="n">
        <f aca="false">IF(AND(L410&lt;L_rampe,Poussee&lt;Poids*SIN(M410)), g*SIN(M410), (-W410+Poussee)/m)</f>
        <v>-7.24275596593368</v>
      </c>
    </row>
    <row r="412" customFormat="false" ht="12" hidden="false" customHeight="false" outlineLevel="0" collapsed="false">
      <c r="A412" s="448" t="n">
        <f aca="false">IF(B411+0.01&lt;=T_ini+ROUNDUP(Temps_fin_propu,0), 0.01, IF(K411&gt;0, 0.1, 0.0001))</f>
        <v>0.1</v>
      </c>
      <c r="B412" s="449" t="n">
        <f aca="false">B411+pas</f>
        <v>4.79999999999996</v>
      </c>
      <c r="C412" s="432"/>
      <c r="D412" s="450" t="n">
        <f aca="false">IF(AND(L411&lt;L_rampe,Poussee&lt;Poids*SIN(M411)),0,(-W411+Poussee)/m*COS(M411)-U411/m*SIN(M411))</f>
        <v>-1.81296075251902</v>
      </c>
      <c r="E412" s="451" t="n">
        <f aca="false">IF(AND(L411&lt;L_rampe,Poussee&lt;Poids*SIN(M411)),0,(-W411+Poussee)/m*SIN(M411)+U411/m*COS(M411)-Poids/m)</f>
        <v>-16.6514056783355</v>
      </c>
      <c r="F412" s="449" t="n">
        <f aca="false">SQRT(acc_x^2+acc_z^2)</f>
        <v>16.7498100811525</v>
      </c>
      <c r="G412" s="450" t="n">
        <f aca="false">G411+acc_x*pas</f>
        <v>39.3271112450584</v>
      </c>
      <c r="H412" s="451" t="n">
        <f aca="false">H411+acc_z*pas</f>
        <v>147.424155384991</v>
      </c>
      <c r="I412" s="449" t="n">
        <f aca="false">SQRT(vit_x^2+vit_z^2)</f>
        <v>152.57949819638</v>
      </c>
      <c r="J412" s="450" t="n">
        <f aca="false">J411+0.5*(vit_x+G411)*pas*(K411&gt;=0)</f>
        <v>137.177139984163</v>
      </c>
      <c r="K412" s="451" t="n">
        <f aca="false">K411+0.5*(vit_z+H411)*pas</f>
        <v>579.747242803692</v>
      </c>
      <c r="L412" s="449" t="n">
        <f aca="false">SQRT(pos_x^2+pos_z^2)</f>
        <v>595.755346826798</v>
      </c>
      <c r="M412" s="450" t="n">
        <f aca="false">IF(AND(L411&gt;L_rampe,G412&gt;0),ATAN2(G412,H412),$M$4)</f>
        <v>1.3101052578293</v>
      </c>
      <c r="N412" s="449" t="n">
        <f aca="false">DEGREES(Beta)</f>
        <v>75.0635019915174</v>
      </c>
      <c r="O412" s="438"/>
      <c r="P412" s="452" t="n">
        <f aca="false">MATCH(t-pas/2-T_ini,CdP_t)</f>
        <v>23</v>
      </c>
      <c r="Q412" s="449" t="n">
        <f aca="false">(INDEX(CdP,2,i_P+1)-INDEX(CdP,2,i_P+0))/(INDEX(CdP,1,i_P+1)-INDEX(CdP,1,i_P+0))*(t-pas/2-T_ini-INDEX(CdP,1,i_P+0))+INDEX(CdP,2,i_P+0)</f>
        <v>0</v>
      </c>
      <c r="R412" s="450" t="n">
        <f aca="false">Poussee/(g*ISP)</f>
        <v>0</v>
      </c>
      <c r="S412" s="451" t="n">
        <f aca="false">S411-Débit*pas</f>
        <v>8.652</v>
      </c>
      <c r="T412" s="449" t="n">
        <f aca="false">m*g</f>
        <v>84.87612</v>
      </c>
      <c r="U412" s="453" t="n">
        <f aca="false">IF(pos_xz&lt;L_rampe,Poids*COS(Beta),0)</f>
        <v>0</v>
      </c>
      <c r="V412" s="450" t="n">
        <f aca="false">Rho_moyen*(20000-Alt_rampe-pos_z)/(20000+Alt_rampe+pos_z)</f>
        <v>1.15598162343244</v>
      </c>
      <c r="W412" s="449" t="n">
        <f aca="false">1/2*Rho*Sref*Cx*vit_xz^2</f>
        <v>59.8383392535772</v>
      </c>
      <c r="X412" s="438"/>
      <c r="Y412" s="454" t="str">
        <f aca="false">IF(AND(pos_z&lt;=0,K411&gt;0),"Impact balistique","") &amp; IF(AND(H413&lt;0,vit_z&gt;=0),"Apogée","") &amp; IF(AND(Poussee=0,Q411&gt;0),"Fin de propulsion","") &amp; IF(AND(L413&gt;L_rampe,pos_xz&lt;=L_rampe),"Sortie de rampe","")</f>
        <v/>
      </c>
      <c r="Z412" s="455" t="str">
        <f aca="false">IF(ABS(t-T_para)&lt;pas/2,"Para","")</f>
        <v/>
      </c>
      <c r="AA412" s="456" t="str">
        <f aca="false">IF(ABS(t-T_satellite)&lt;pas/2,"Satellite","")</f>
        <v/>
      </c>
      <c r="AB412" s="444"/>
      <c r="AC412" s="452" t="e">
        <f aca="false">IF(ABS(t-ROUND(t,0))&lt;0.001,t,NA())</f>
        <v>#N/A</v>
      </c>
      <c r="AD412" s="457" t="e">
        <f aca="false">IF(ABS(t-ROUND(t,0))&lt;0.001,pos_x,NA())</f>
        <v>#N/A</v>
      </c>
      <c r="AE412" s="458" t="n">
        <f aca="false">IF(t&lt;T_para, pos_z, NA())</f>
        <v>579.747242803692</v>
      </c>
      <c r="AF412" s="444"/>
      <c r="AG412" s="450" t="n">
        <f aca="false">IF(AND(L411&lt;L_rampe,Poussee&lt;Poids*SIN(M411)),0,(-W411+Poussee)/m-Poids*SIN(M411)/m)</f>
        <v>-16.5602380998803</v>
      </c>
      <c r="AH412" s="449" t="n">
        <f aca="false">IF(AND(L411&lt;L_rampe,Poussee&lt;Poids*SIN(M411)), g*SIN(M411), (-W411+Poussee)/m)</f>
        <v>-7.07754606807585</v>
      </c>
    </row>
    <row r="413" customFormat="false" ht="12" hidden="false" customHeight="false" outlineLevel="0" collapsed="false">
      <c r="A413" s="448" t="n">
        <f aca="false">IF(B412+0.01&lt;=T_ini+ROUNDUP(Temps_fin_propu,0), 0.01, IF(K412&gt;0, 0.1, 0.0001))</f>
        <v>0.1</v>
      </c>
      <c r="B413" s="449" t="n">
        <f aca="false">B412+pas</f>
        <v>4.89999999999996</v>
      </c>
      <c r="C413" s="432"/>
      <c r="D413" s="450" t="n">
        <f aca="false">IF(AND(L412&lt;L_rampe,Poussee&lt;Poids*SIN(M412)),0,(-W412+Poussee)/m*COS(M412)-U412/m*SIN(M412))</f>
        <v>-1.78262045383641</v>
      </c>
      <c r="E413" s="451" t="n">
        <f aca="false">IF(AND(L412&lt;L_rampe,Poussee&lt;Poids*SIN(M412)),0,(-W412+Poussee)/m*SIN(M412)+U412/m*COS(M412)-Poids/m)</f>
        <v>-16.4924464461998</v>
      </c>
      <c r="F413" s="449" t="n">
        <f aca="false">SQRT(acc_x^2+acc_z^2)</f>
        <v>16.5885058237083</v>
      </c>
      <c r="G413" s="450" t="n">
        <f aca="false">G412+acc_x*pas</f>
        <v>39.1488491996748</v>
      </c>
      <c r="H413" s="451" t="n">
        <f aca="false">H412+acc_z*pas</f>
        <v>145.774910740371</v>
      </c>
      <c r="I413" s="449" t="n">
        <f aca="false">SQRT(vit_x^2+vit_z^2)</f>
        <v>150.940243126285</v>
      </c>
      <c r="J413" s="450" t="n">
        <f aca="false">J412+0.5*(vit_x+G412)*pas*(K412&gt;=0)</f>
        <v>141.100938006399</v>
      </c>
      <c r="K413" s="451" t="n">
        <f aca="false">K412+0.5*(vit_z+H412)*pas</f>
        <v>594.407196109961</v>
      </c>
      <c r="L413" s="449" t="n">
        <f aca="false">SQRT(pos_x^2+pos_z^2)</f>
        <v>610.925027719106</v>
      </c>
      <c r="M413" s="450" t="n">
        <f aca="false">IF(AND(L412&gt;L_rampe,G413&gt;0),ATAN2(G413,H413),$M$4)</f>
        <v>1.30843008342069</v>
      </c>
      <c r="N413" s="449" t="n">
        <f aca="false">DEGREES(Beta)</f>
        <v>74.967521567956</v>
      </c>
      <c r="O413" s="438"/>
      <c r="P413" s="452" t="n">
        <f aca="false">MATCH(t-pas/2-T_ini,CdP_t)</f>
        <v>23</v>
      </c>
      <c r="Q413" s="449" t="n">
        <f aca="false">(INDEX(CdP,2,i_P+1)-INDEX(CdP,2,i_P+0))/(INDEX(CdP,1,i_P+1)-INDEX(CdP,1,i_P+0))*(t-pas/2-T_ini-INDEX(CdP,1,i_P+0))+INDEX(CdP,2,i_P+0)</f>
        <v>0</v>
      </c>
      <c r="R413" s="450" t="n">
        <f aca="false">Poussee/(g*ISP)</f>
        <v>0</v>
      </c>
      <c r="S413" s="451" t="n">
        <f aca="false">S412-Débit*pas</f>
        <v>8.652</v>
      </c>
      <c r="T413" s="449" t="n">
        <f aca="false">m*g</f>
        <v>84.87612</v>
      </c>
      <c r="U413" s="453" t="n">
        <f aca="false">IF(pos_xz&lt;L_rampe,Poids*COS(Beta),0)</f>
        <v>0</v>
      </c>
      <c r="V413" s="450" t="n">
        <f aca="false">Rho_moyen*(20000-Alt_rampe-pos_z)/(20000+Alt_rampe+pos_z)</f>
        <v>1.15428674194883</v>
      </c>
      <c r="W413" s="449" t="n">
        <f aca="false">1/2*Rho*Sref*Cx*vit_xz^2</f>
        <v>58.4736272283445</v>
      </c>
      <c r="X413" s="438"/>
      <c r="Y413" s="454" t="str">
        <f aca="false">IF(AND(pos_z&lt;=0,K412&gt;0),"Impact balistique","") &amp; IF(AND(H414&lt;0,vit_z&gt;=0),"Apogée","") &amp; IF(AND(Poussee=0,Q412&gt;0),"Fin de propulsion","") &amp; IF(AND(L414&gt;L_rampe,pos_xz&lt;=L_rampe),"Sortie de rampe","")</f>
        <v/>
      </c>
      <c r="Z413" s="455" t="str">
        <f aca="false">IF(ABS(t-T_para)&lt;pas/2,"Para","")</f>
        <v/>
      </c>
      <c r="AA413" s="456" t="str">
        <f aca="false">IF(ABS(t-T_satellite)&lt;pas/2,"Satellite","")</f>
        <v/>
      </c>
      <c r="AB413" s="444"/>
      <c r="AC413" s="452" t="e">
        <f aca="false">IF(ABS(t-ROUND(t,0))&lt;0.001,t,NA())</f>
        <v>#N/A</v>
      </c>
      <c r="AD413" s="457" t="e">
        <f aca="false">IF(ABS(t-ROUND(t,0))&lt;0.001,pos_x,NA())</f>
        <v>#N/A</v>
      </c>
      <c r="AE413" s="458" t="n">
        <f aca="false">IF(t&lt;T_para, pos_z, NA())</f>
        <v>594.407196109961</v>
      </c>
      <c r="AF413" s="444"/>
      <c r="AG413" s="450" t="n">
        <f aca="false">IF(AND(L412&lt;L_rampe,Poussee&lt;Poids*SIN(M412)),0,(-W412+Poussee)/m-Poids*SIN(M412)/m)</f>
        <v>-16.394668550026</v>
      </c>
      <c r="AH413" s="449" t="n">
        <f aca="false">IF(AND(L412&lt;L_rampe,Poussee&lt;Poids*SIN(M412)), g*SIN(M412), (-W412+Poussee)/m)</f>
        <v>-6.91612797660393</v>
      </c>
    </row>
    <row r="414" customFormat="false" ht="12" hidden="false" customHeight="false" outlineLevel="0" collapsed="false">
      <c r="A414" s="448" t="n">
        <f aca="false">IF(B413+0.01&lt;=T_ini+ROUNDUP(Temps_fin_propu,0), 0.01, IF(K413&gt;0, 0.1, 0.0001))</f>
        <v>0.1</v>
      </c>
      <c r="B414" s="449" t="n">
        <f aca="false">B413+pas</f>
        <v>4.99999999999996</v>
      </c>
      <c r="C414" s="432"/>
      <c r="D414" s="450" t="n">
        <f aca="false">IF(AND(L413&lt;L_rampe,Poussee&lt;Poids*SIN(M413)),0,(-W413+Poussee)/m*COS(M413)-U413/m*SIN(M413))</f>
        <v>-1.75290136445777</v>
      </c>
      <c r="E414" s="451" t="n">
        <f aca="false">IF(AND(L413&lt;L_rampe,Poussee&lt;Poids*SIN(M413)),0,(-W413+Poussee)/m*SIN(M413)+U413/m*COS(M413)-Poids/m)</f>
        <v>-16.3371149769232</v>
      </c>
      <c r="F414" s="449" t="n">
        <f aca="false">SQRT(acc_x^2+acc_z^2)</f>
        <v>16.4308852154328</v>
      </c>
      <c r="G414" s="450" t="n">
        <f aca="false">G413+acc_x*pas</f>
        <v>38.973559063229</v>
      </c>
      <c r="H414" s="451" t="n">
        <f aca="false">H413+acc_z*pas</f>
        <v>144.141199242679</v>
      </c>
      <c r="I414" s="449" t="n">
        <f aca="false">SQRT(vit_x^2+vit_z^2)</f>
        <v>149.317191324953</v>
      </c>
      <c r="J414" s="450" t="n">
        <f aca="false">J413+0.5*(vit_x+G413)*pas*(K413&gt;=0)</f>
        <v>145.007058419544</v>
      </c>
      <c r="K414" s="451" t="n">
        <f aca="false">K413+0.5*(vit_z+H413)*pas</f>
        <v>608.903001609113</v>
      </c>
      <c r="L414" s="449" t="n">
        <f aca="false">SQRT(pos_x^2+pos_z^2)</f>
        <v>625.931236127481</v>
      </c>
      <c r="M414" s="450" t="n">
        <f aca="false">IF(AND(L413&gt;L_rampe,G414&gt;0),ATAN2(G414,H414),$M$4)</f>
        <v>1.30672606862861</v>
      </c>
      <c r="N414" s="449" t="n">
        <f aca="false">DEGREES(Beta)</f>
        <v>74.8698887121418</v>
      </c>
      <c r="O414" s="438"/>
      <c r="P414" s="452" t="n">
        <f aca="false">MATCH(t-pas/2-T_ini,CdP_t)</f>
        <v>23</v>
      </c>
      <c r="Q414" s="449" t="n">
        <f aca="false">(INDEX(CdP,2,i_P+1)-INDEX(CdP,2,i_P+0))/(INDEX(CdP,1,i_P+1)-INDEX(CdP,1,i_P+0))*(t-pas/2-T_ini-INDEX(CdP,1,i_P+0))+INDEX(CdP,2,i_P+0)</f>
        <v>0</v>
      </c>
      <c r="R414" s="450" t="n">
        <f aca="false">Poussee/(g*ISP)</f>
        <v>0</v>
      </c>
      <c r="S414" s="451" t="n">
        <f aca="false">S413-Débit*pas</f>
        <v>8.652</v>
      </c>
      <c r="T414" s="449" t="n">
        <f aca="false">m*g</f>
        <v>84.87612</v>
      </c>
      <c r="U414" s="453" t="n">
        <f aca="false">IF(pos_xz&lt;L_rampe,Poids*COS(Beta),0)</f>
        <v>0</v>
      </c>
      <c r="V414" s="450" t="n">
        <f aca="false">Rho_moyen*(20000-Alt_rampe-pos_z)/(20000+Alt_rampe+pos_z)</f>
        <v>1.15261320901817</v>
      </c>
      <c r="W414" s="449" t="n">
        <f aca="false">1/2*Rho*Sref*Cx*vit_xz^2</f>
        <v>57.1398970643904</v>
      </c>
      <c r="X414" s="438"/>
      <c r="Y414" s="454" t="str">
        <f aca="false">IF(AND(pos_z&lt;=0,K413&gt;0),"Impact balistique","") &amp; IF(AND(H415&lt;0,vit_z&gt;=0),"Apogée","") &amp; IF(AND(Poussee=0,Q413&gt;0),"Fin de propulsion","") &amp; IF(AND(L415&gt;L_rampe,pos_xz&lt;=L_rampe),"Sortie de rampe","")</f>
        <v/>
      </c>
      <c r="Z414" s="455" t="str">
        <f aca="false">IF(ABS(t-T_para)&lt;pas/2,"Para","")</f>
        <v/>
      </c>
      <c r="AA414" s="456" t="str">
        <f aca="false">IF(ABS(t-T_satellite)&lt;pas/2,"Satellite","")</f>
        <v/>
      </c>
      <c r="AB414" s="444"/>
      <c r="AC414" s="452" t="n">
        <f aca="false">IF(ABS(t-ROUND(t,0))&lt;0.001,t,NA())</f>
        <v>4.99999999999996</v>
      </c>
      <c r="AD414" s="457" t="n">
        <f aca="false">IF(ABS(t-ROUND(t,0))&lt;0.001,pos_x,NA())</f>
        <v>145.007058419544</v>
      </c>
      <c r="AE414" s="458" t="n">
        <f aca="false">IF(t&lt;T_para, pos_z, NA())</f>
        <v>608.903001609113</v>
      </c>
      <c r="AF414" s="444"/>
      <c r="AG414" s="450" t="n">
        <f aca="false">IF(AND(L413&lt;L_rampe,Poussee&lt;Poids*SIN(M413)),0,(-W413+Poussee)/m-Poids*SIN(M413)/m)</f>
        <v>-16.2326858493615</v>
      </c>
      <c r="AH414" s="449" t="n">
        <f aca="false">IF(AND(L413&lt;L_rampe,Poussee&lt;Poids*SIN(M413)), g*SIN(M413), (-W413+Poussee)/m)</f>
        <v>-6.75839427049751</v>
      </c>
    </row>
    <row r="415" customFormat="false" ht="12" hidden="false" customHeight="false" outlineLevel="0" collapsed="false">
      <c r="A415" s="448" t="n">
        <f aca="false">IF(B414+0.01&lt;=T_ini+ROUNDUP(Temps_fin_propu,0), 0.01, IF(K414&gt;0, 0.1, 0.0001))</f>
        <v>0.1</v>
      </c>
      <c r="B415" s="449" t="n">
        <f aca="false">B414+pas</f>
        <v>5.09999999999996</v>
      </c>
      <c r="C415" s="432"/>
      <c r="D415" s="450" t="n">
        <f aca="false">IF(AND(L414&lt;L_rampe,Poussee&lt;Poids*SIN(M414)),0,(-W414+Poussee)/m*COS(M414)-U414/m*SIN(M414))</f>
        <v>-1.72378540013444</v>
      </c>
      <c r="E415" s="451" t="n">
        <f aca="false">IF(AND(L414&lt;L_rampe,Poussee&lt;Poids*SIN(M414)),0,(-W414+Poussee)/m*SIN(M414)+U414/m*COS(M414)-Poids/m)</f>
        <v>-16.1853093323937</v>
      </c>
      <c r="F415" s="449" t="n">
        <f aca="false">SQRT(acc_x^2+acc_z^2)</f>
        <v>16.2768447277409</v>
      </c>
      <c r="G415" s="450" t="n">
        <f aca="false">G414+acc_x*pas</f>
        <v>38.8011805232155</v>
      </c>
      <c r="H415" s="451" t="n">
        <f aca="false">H414+acc_z*pas</f>
        <v>142.52266830944</v>
      </c>
      <c r="I415" s="449" t="n">
        <f aca="false">SQRT(vit_x^2+vit_z^2)</f>
        <v>147.709994895531</v>
      </c>
      <c r="J415" s="450" t="n">
        <f aca="false">J414+0.5*(vit_x+G414)*pas*(K414&gt;=0)</f>
        <v>148.895795398867</v>
      </c>
      <c r="K415" s="451" t="n">
        <f aca="false">K414+0.5*(vit_z+H414)*pas</f>
        <v>623.236194986719</v>
      </c>
      <c r="L415" s="449" t="n">
        <f aca="false">SQRT(pos_x^2+pos_z^2)</f>
        <v>640.775555580099</v>
      </c>
      <c r="M415" s="450" t="n">
        <f aca="false">IF(AND(L414&gt;L_rampe,G415&gt;0),ATAN2(G415,H415),$M$4)</f>
        <v>1.30499258558888</v>
      </c>
      <c r="N415" s="449" t="n">
        <f aca="false">DEGREES(Beta)</f>
        <v>74.7705674501079</v>
      </c>
      <c r="O415" s="438"/>
      <c r="P415" s="452" t="n">
        <f aca="false">MATCH(t-pas/2-T_ini,CdP_t)</f>
        <v>23</v>
      </c>
      <c r="Q415" s="449" t="n">
        <f aca="false">(INDEX(CdP,2,i_P+1)-INDEX(CdP,2,i_P+0))/(INDEX(CdP,1,i_P+1)-INDEX(CdP,1,i_P+0))*(t-pas/2-T_ini-INDEX(CdP,1,i_P+0))+INDEX(CdP,2,i_P+0)</f>
        <v>0</v>
      </c>
      <c r="R415" s="450" t="n">
        <f aca="false">Poussee/(g*ISP)</f>
        <v>0</v>
      </c>
      <c r="S415" s="451" t="n">
        <f aca="false">S414-Débit*pas</f>
        <v>8.652</v>
      </c>
      <c r="T415" s="449" t="n">
        <f aca="false">m*g</f>
        <v>84.87612</v>
      </c>
      <c r="U415" s="453" t="n">
        <f aca="false">IF(pos_xz&lt;L_rampe,Poids*COS(Beta),0)</f>
        <v>0</v>
      </c>
      <c r="V415" s="450" t="n">
        <f aca="false">Rho_moyen*(20000-Alt_rampe-pos_z)/(20000+Alt_rampe+pos_z)</f>
        <v>1.15096076273962</v>
      </c>
      <c r="W415" s="449" t="n">
        <f aca="false">1/2*Rho*Sref*Cx*vit_xz^2</f>
        <v>55.8362858128568</v>
      </c>
      <c r="X415" s="438"/>
      <c r="Y415" s="454" t="str">
        <f aca="false">IF(AND(pos_z&lt;=0,K414&gt;0),"Impact balistique","") &amp; IF(AND(H416&lt;0,vit_z&gt;=0),"Apogée","") &amp; IF(AND(Poussee=0,Q414&gt;0),"Fin de propulsion","") &amp; IF(AND(L416&gt;L_rampe,pos_xz&lt;=L_rampe),"Sortie de rampe","")</f>
        <v/>
      </c>
      <c r="Z415" s="455" t="str">
        <f aca="false">IF(ABS(t-T_para)&lt;pas/2,"Para","")</f>
        <v/>
      </c>
      <c r="AA415" s="456" t="str">
        <f aca="false">IF(ABS(t-T_satellite)&lt;pas/2,"Satellite","")</f>
        <v/>
      </c>
      <c r="AB415" s="444"/>
      <c r="AC415" s="452" t="e">
        <f aca="false">IF(ABS(t-ROUND(t,0))&lt;0.001,t,NA())</f>
        <v>#N/A</v>
      </c>
      <c r="AD415" s="457" t="e">
        <f aca="false">IF(ABS(t-ROUND(t,0))&lt;0.001,pos_x,NA())</f>
        <v>#N/A</v>
      </c>
      <c r="AE415" s="458" t="n">
        <f aca="false">IF(t&lt;T_para, pos_z, NA())</f>
        <v>623.236194986719</v>
      </c>
      <c r="AF415" s="444"/>
      <c r="AG415" s="450" t="n">
        <f aca="false">IF(AND(L414&lt;L_rampe,Poussee&lt;Poids*SIN(M414)),0,(-W414+Poussee)/m-Poids*SIN(M414)/m)</f>
        <v>-16.0741836093478</v>
      </c>
      <c r="AH415" s="449" t="n">
        <f aca="false">IF(AND(L414&lt;L_rampe,Poussee&lt;Poids*SIN(M414)), g*SIN(M414), (-W414+Poussee)/m)</f>
        <v>-6.60424145450652</v>
      </c>
    </row>
    <row r="416" customFormat="false" ht="12" hidden="false" customHeight="false" outlineLevel="0" collapsed="false">
      <c r="A416" s="448" t="n">
        <f aca="false">IF(B415+0.01&lt;=T_ini+ROUNDUP(Temps_fin_propu,0), 0.01, IF(K415&gt;0, 0.1, 0.0001))</f>
        <v>0.1</v>
      </c>
      <c r="B416" s="449" t="n">
        <f aca="false">B415+pas</f>
        <v>5.19999999999996</v>
      </c>
      <c r="C416" s="432"/>
      <c r="D416" s="450" t="n">
        <f aca="false">IF(AND(L415&lt;L_rampe,Poussee&lt;Poids*SIN(M415)),0,(-W415+Poussee)/m*COS(M415)-U415/m*SIN(M415))</f>
        <v>-1.69525512862021</v>
      </c>
      <c r="E416" s="451" t="n">
        <f aca="false">IF(AND(L415&lt;L_rampe,Poussee&lt;Poids*SIN(M415)),0,(-W415+Poussee)/m*SIN(M415)+U415/m*COS(M415)-Poids/m)</f>
        <v>-16.0369312721465</v>
      </c>
      <c r="F416" s="449" t="n">
        <f aca="false">SQRT(acc_x^2+acc_z^2)</f>
        <v>16.1262845869303</v>
      </c>
      <c r="G416" s="450" t="n">
        <f aca="false">G415+acc_x*pas</f>
        <v>38.6316550103535</v>
      </c>
      <c r="H416" s="451" t="n">
        <f aca="false">H415+acc_z*pas</f>
        <v>140.918975182225</v>
      </c>
      <c r="I416" s="449" t="n">
        <f aca="false">SQRT(vit_x^2+vit_z^2)</f>
        <v>146.118316220957</v>
      </c>
      <c r="J416" s="450" t="n">
        <f aca="false">J415+0.5*(vit_x+G415)*pas*(K415&gt;=0)</f>
        <v>152.767437175545</v>
      </c>
      <c r="K416" s="451" t="n">
        <f aca="false">K415+0.5*(vit_z+H415)*pas</f>
        <v>637.408277161302</v>
      </c>
      <c r="L416" s="449" t="n">
        <f aca="false">SQRT(pos_x^2+pos_z^2)</f>
        <v>655.459534719668</v>
      </c>
      <c r="M416" s="450" t="n">
        <f aca="false">IF(AND(L415&gt;L_rampe,G416&gt;0),ATAN2(G416,H416),$M$4)</f>
        <v>1.30322898745941</v>
      </c>
      <c r="N416" s="449" t="n">
        <f aca="false">DEGREES(Beta)</f>
        <v>74.6695207205317</v>
      </c>
      <c r="O416" s="438"/>
      <c r="P416" s="452" t="n">
        <f aca="false">MATCH(t-pas/2-T_ini,CdP_t)</f>
        <v>23</v>
      </c>
      <c r="Q416" s="449" t="n">
        <f aca="false">(INDEX(CdP,2,i_P+1)-INDEX(CdP,2,i_P+0))/(INDEX(CdP,1,i_P+1)-INDEX(CdP,1,i_P+0))*(t-pas/2-T_ini-INDEX(CdP,1,i_P+0))+INDEX(CdP,2,i_P+0)</f>
        <v>0</v>
      </c>
      <c r="R416" s="450" t="n">
        <f aca="false">Poussee/(g*ISP)</f>
        <v>0</v>
      </c>
      <c r="S416" s="451" t="n">
        <f aca="false">S415-Débit*pas</f>
        <v>8.652</v>
      </c>
      <c r="T416" s="449" t="n">
        <f aca="false">m*g</f>
        <v>84.87612</v>
      </c>
      <c r="U416" s="453" t="n">
        <f aca="false">IF(pos_xz&lt;L_rampe,Poids*COS(Beta),0)</f>
        <v>0</v>
      </c>
      <c r="V416" s="450" t="n">
        <f aca="false">Rho_moyen*(20000-Alt_rampe-pos_z)/(20000+Alt_rampe+pos_z)</f>
        <v>1.14932914743595</v>
      </c>
      <c r="W416" s="449" t="n">
        <f aca="false">1/2*Rho*Sref*Cx*vit_xz^2</f>
        <v>54.5619616178829</v>
      </c>
      <c r="X416" s="438"/>
      <c r="Y416" s="454" t="str">
        <f aca="false">IF(AND(pos_z&lt;=0,K415&gt;0),"Impact balistique","") &amp; IF(AND(H417&lt;0,vit_z&gt;=0),"Apogée","") &amp; IF(AND(Poussee=0,Q415&gt;0),"Fin de propulsion","") &amp; IF(AND(L417&gt;L_rampe,pos_xz&lt;=L_rampe),"Sortie de rampe","")</f>
        <v/>
      </c>
      <c r="Z416" s="455" t="str">
        <f aca="false">IF(ABS(t-T_para)&lt;pas/2,"Para","")</f>
        <v/>
      </c>
      <c r="AA416" s="456" t="str">
        <f aca="false">IF(ABS(t-T_satellite)&lt;pas/2,"Satellite","")</f>
        <v/>
      </c>
      <c r="AB416" s="444"/>
      <c r="AC416" s="452" t="e">
        <f aca="false">IF(ABS(t-ROUND(t,0))&lt;0.001,t,NA())</f>
        <v>#N/A</v>
      </c>
      <c r="AD416" s="457" t="e">
        <f aca="false">IF(ABS(t-ROUND(t,0))&lt;0.001,pos_x,NA())</f>
        <v>#N/A</v>
      </c>
      <c r="AE416" s="458" t="n">
        <f aca="false">IF(t&lt;T_para, pos_z, NA())</f>
        <v>637.408277161302</v>
      </c>
      <c r="AF416" s="444"/>
      <c r="AG416" s="450" t="n">
        <f aca="false">IF(AND(L415&lt;L_rampe,Poussee&lt;Poids*SIN(M415)),0,(-W415+Poussee)/m-Poids*SIN(M415)/m)</f>
        <v>-15.9190590883371</v>
      </c>
      <c r="AH416" s="449" t="n">
        <f aca="false">IF(AND(L415&lt;L_rampe,Poussee&lt;Poids*SIN(M415)), g*SIN(M415), (-W415+Poussee)/m)</f>
        <v>-6.45356978881841</v>
      </c>
    </row>
    <row r="417" customFormat="false" ht="12" hidden="false" customHeight="false" outlineLevel="0" collapsed="false">
      <c r="A417" s="448" t="n">
        <f aca="false">IF(B416+0.01&lt;=T_ini+ROUNDUP(Temps_fin_propu,0), 0.01, IF(K416&gt;0, 0.1, 0.0001))</f>
        <v>0.1</v>
      </c>
      <c r="B417" s="449" t="n">
        <f aca="false">B416+pas</f>
        <v>5.29999999999995</v>
      </c>
      <c r="C417" s="432"/>
      <c r="D417" s="450" t="n">
        <f aca="false">IF(AND(L416&lt;L_rampe,Poussee&lt;Poids*SIN(M416)),0,(-W416+Poussee)/m*COS(M416)-U416/m*SIN(M416))</f>
        <v>-1.66729374163623</v>
      </c>
      <c r="E417" s="451" t="n">
        <f aca="false">IF(AND(L416&lt;L_rampe,Poussee&lt;Poids*SIN(M416)),0,(-W416+Poussee)/m*SIN(M416)+U416/m*COS(M416)-Poids/m)</f>
        <v>-15.8918860940891</v>
      </c>
      <c r="F417" s="449" t="n">
        <f aca="false">SQRT(acc_x^2+acc_z^2)</f>
        <v>15.9791086124477</v>
      </c>
      <c r="G417" s="450" t="n">
        <f aca="false">G416+acc_x*pas</f>
        <v>38.4649256361899</v>
      </c>
      <c r="H417" s="451" t="n">
        <f aca="false">H416+acc_z*pas</f>
        <v>139.329786572816</v>
      </c>
      <c r="I417" s="449" t="n">
        <f aca="false">SQRT(vit_x^2+vit_z^2)</f>
        <v>144.541827616175</v>
      </c>
      <c r="J417" s="450" t="n">
        <f aca="false">J416+0.5*(vit_x+G416)*pas*(K416&gt;=0)</f>
        <v>156.622266207872</v>
      </c>
      <c r="K417" s="451" t="n">
        <f aca="false">K416+0.5*(vit_z+H416)*pas</f>
        <v>651.420715249054</v>
      </c>
      <c r="L417" s="449" t="n">
        <f aca="false">SQRT(pos_x^2+pos_z^2)</f>
        <v>669.98468827853</v>
      </c>
      <c r="M417" s="450" t="n">
        <f aca="false">IF(AND(L416&gt;L_rampe,G417&gt;0),ATAN2(G417,H417),$M$4)</f>
        <v>1.30143460773311</v>
      </c>
      <c r="N417" s="449" t="n">
        <f aca="false">DEGREES(Beta)</f>
        <v>74.566710335371</v>
      </c>
      <c r="O417" s="438"/>
      <c r="P417" s="452" t="n">
        <f aca="false">MATCH(t-pas/2-T_ini,CdP_t)</f>
        <v>23</v>
      </c>
      <c r="Q417" s="449" t="n">
        <f aca="false">(INDEX(CdP,2,i_P+1)-INDEX(CdP,2,i_P+0))/(INDEX(CdP,1,i_P+1)-INDEX(CdP,1,i_P+0))*(t-pas/2-T_ini-INDEX(CdP,1,i_P+0))+INDEX(CdP,2,i_P+0)</f>
        <v>0</v>
      </c>
      <c r="R417" s="450" t="n">
        <f aca="false">Poussee/(g*ISP)</f>
        <v>0</v>
      </c>
      <c r="S417" s="451" t="n">
        <f aca="false">S416-Débit*pas</f>
        <v>8.652</v>
      </c>
      <c r="T417" s="449" t="n">
        <f aca="false">m*g</f>
        <v>84.87612</v>
      </c>
      <c r="U417" s="453" t="n">
        <f aca="false">IF(pos_xz&lt;L_rampe,Poids*COS(Beta),0)</f>
        <v>0</v>
      </c>
      <c r="V417" s="450" t="n">
        <f aca="false">Rho_moyen*(20000-Alt_rampe-pos_z)/(20000+Alt_rampe+pos_z)</f>
        <v>1.14771811347189</v>
      </c>
      <c r="W417" s="449" t="n">
        <f aca="false">1/2*Rho*Sref*Cx*vit_xz^2</f>
        <v>53.3161223879257</v>
      </c>
      <c r="X417" s="438"/>
      <c r="Y417" s="454" t="str">
        <f aca="false">IF(AND(pos_z&lt;=0,K416&gt;0),"Impact balistique","") &amp; IF(AND(H418&lt;0,vit_z&gt;=0),"Apogée","") &amp; IF(AND(Poussee=0,Q416&gt;0),"Fin de propulsion","") &amp; IF(AND(L418&gt;L_rampe,pos_xz&lt;=L_rampe),"Sortie de rampe","")</f>
        <v/>
      </c>
      <c r="Z417" s="455" t="str">
        <f aca="false">IF(ABS(t-T_para)&lt;pas/2,"Para","")</f>
        <v/>
      </c>
      <c r="AA417" s="456" t="str">
        <f aca="false">IF(ABS(t-T_satellite)&lt;pas/2,"Satellite","")</f>
        <v/>
      </c>
      <c r="AB417" s="444"/>
      <c r="AC417" s="452" t="e">
        <f aca="false">IF(ABS(t-ROUND(t,0))&lt;0.001,t,NA())</f>
        <v>#N/A</v>
      </c>
      <c r="AD417" s="457" t="e">
        <f aca="false">IF(ABS(t-ROUND(t,0))&lt;0.001,pos_x,NA())</f>
        <v>#N/A</v>
      </c>
      <c r="AE417" s="458" t="n">
        <f aca="false">IF(t&lt;T_para, pos_z, NA())</f>
        <v>651.420715249054</v>
      </c>
      <c r="AF417" s="444"/>
      <c r="AG417" s="450" t="n">
        <f aca="false">IF(AND(L416&lt;L_rampe,Poussee&lt;Poids*SIN(M416)),0,(-W416+Poussee)/m-Poids*SIN(M416)/m)</f>
        <v>-15.767213025064</v>
      </c>
      <c r="AH417" s="449" t="n">
        <f aca="false">IF(AND(L416&lt;L_rampe,Poussee&lt;Poids*SIN(M416)), g*SIN(M416), (-W416+Poussee)/m)</f>
        <v>-6.30628312735586</v>
      </c>
    </row>
    <row r="418" customFormat="false" ht="12" hidden="false" customHeight="false" outlineLevel="0" collapsed="false">
      <c r="A418" s="448" t="n">
        <f aca="false">IF(B417+0.01&lt;=T_ini+ROUNDUP(Temps_fin_propu,0), 0.01, IF(K417&gt;0, 0.1, 0.0001))</f>
        <v>0.1</v>
      </c>
      <c r="B418" s="449" t="n">
        <f aca="false">B417+pas</f>
        <v>5.39999999999995</v>
      </c>
      <c r="C418" s="432"/>
      <c r="D418" s="450" t="n">
        <f aca="false">IF(AND(L417&lt;L_rampe,Poussee&lt;Poids*SIN(M417)),0,(-W417+Poussee)/m*COS(M417)-U417/m*SIN(M417))</f>
        <v>-1.63988502825223</v>
      </c>
      <c r="E418" s="451" t="n">
        <f aca="false">IF(AND(L417&lt;L_rampe,Poussee&lt;Poids*SIN(M417)),0,(-W417+Poussee)/m*SIN(M417)+U417/m*COS(M417)-Poids/m)</f>
        <v>-15.7500824832317</v>
      </c>
      <c r="F418" s="449" t="n">
        <f aca="false">SQRT(acc_x^2+acc_z^2)</f>
        <v>15.8352240632865</v>
      </c>
      <c r="G418" s="450" t="n">
        <f aca="false">G417+acc_x*pas</f>
        <v>38.3009371333647</v>
      </c>
      <c r="H418" s="451" t="n">
        <f aca="false">H417+acc_z*pas</f>
        <v>137.754778324493</v>
      </c>
      <c r="I418" s="449" t="n">
        <f aca="false">SQRT(vit_x^2+vit_z^2)</f>
        <v>142.980210996222</v>
      </c>
      <c r="J418" s="450" t="n">
        <f aca="false">J417+0.5*(vit_x+G417)*pas*(K417&gt;=0)</f>
        <v>160.46055934635</v>
      </c>
      <c r="K418" s="451" t="n">
        <f aca="false">K417+0.5*(vit_z+H417)*pas</f>
        <v>665.27494349392</v>
      </c>
      <c r="L418" s="449" t="n">
        <f aca="false">SQRT(pos_x^2+pos_z^2)</f>
        <v>684.352498020268</v>
      </c>
      <c r="M418" s="450" t="n">
        <f aca="false">IF(AND(L417&gt;L_rampe,G418&gt;0),ATAN2(G418,H418),$M$4)</f>
        <v>1.29960875952134</v>
      </c>
      <c r="N418" s="449" t="n">
        <f aca="false">DEGREES(Beta)</f>
        <v>74.4620969388054</v>
      </c>
      <c r="O418" s="438"/>
      <c r="P418" s="452" t="n">
        <f aca="false">MATCH(t-pas/2-T_ini,CdP_t)</f>
        <v>23</v>
      </c>
      <c r="Q418" s="449" t="n">
        <f aca="false">(INDEX(CdP,2,i_P+1)-INDEX(CdP,2,i_P+0))/(INDEX(CdP,1,i_P+1)-INDEX(CdP,1,i_P+0))*(t-pas/2-T_ini-INDEX(CdP,1,i_P+0))+INDEX(CdP,2,i_P+0)</f>
        <v>0</v>
      </c>
      <c r="R418" s="450" t="n">
        <f aca="false">Poussee/(g*ISP)</f>
        <v>0</v>
      </c>
      <c r="S418" s="451" t="n">
        <f aca="false">S417-Débit*pas</f>
        <v>8.652</v>
      </c>
      <c r="T418" s="449" t="n">
        <f aca="false">m*g</f>
        <v>84.87612</v>
      </c>
      <c r="U418" s="453" t="n">
        <f aca="false">IF(pos_xz&lt;L_rampe,Poids*COS(Beta),0)</f>
        <v>0</v>
      </c>
      <c r="V418" s="450" t="n">
        <f aca="false">Rho_moyen*(20000-Alt_rampe-pos_z)/(20000+Alt_rampe+pos_z)</f>
        <v>1.14612741707929</v>
      </c>
      <c r="W418" s="449" t="n">
        <f aca="false">1/2*Rho*Sref*Cx*vit_xz^2</f>
        <v>52.0979945334255</v>
      </c>
      <c r="X418" s="438"/>
      <c r="Y418" s="454" t="str">
        <f aca="false">IF(AND(pos_z&lt;=0,K417&gt;0),"Impact balistique","") &amp; IF(AND(H419&lt;0,vit_z&gt;=0),"Apogée","") &amp; IF(AND(Poussee=0,Q417&gt;0),"Fin de propulsion","") &amp; IF(AND(L419&gt;L_rampe,pos_xz&lt;=L_rampe),"Sortie de rampe","")</f>
        <v/>
      </c>
      <c r="Z418" s="455" t="str">
        <f aca="false">IF(ABS(t-T_para)&lt;pas/2,"Para","")</f>
        <v/>
      </c>
      <c r="AA418" s="456" t="str">
        <f aca="false">IF(ABS(t-T_satellite)&lt;pas/2,"Satellite","")</f>
        <v/>
      </c>
      <c r="AB418" s="444"/>
      <c r="AC418" s="452" t="e">
        <f aca="false">IF(ABS(t-ROUND(t,0))&lt;0.001,t,NA())</f>
        <v>#N/A</v>
      </c>
      <c r="AD418" s="457" t="e">
        <f aca="false">IF(ABS(t-ROUND(t,0))&lt;0.001,pos_x,NA())</f>
        <v>#N/A</v>
      </c>
      <c r="AE418" s="458" t="n">
        <f aca="false">IF(t&lt;T_para, pos_z, NA())</f>
        <v>665.27494349392</v>
      </c>
      <c r="AF418" s="444"/>
      <c r="AG418" s="450" t="n">
        <f aca="false">IF(AND(L417&lt;L_rampe,Poussee&lt;Poids*SIN(M417)),0,(-W417+Poussee)/m-Poids*SIN(M417)/m)</f>
        <v>-15.6185494800254</v>
      </c>
      <c r="AH418" s="449" t="n">
        <f aca="false">IF(AND(L417&lt;L_rampe,Poussee&lt;Poids*SIN(M417)), g*SIN(M417), (-W417+Poussee)/m)</f>
        <v>-6.16228876420778</v>
      </c>
    </row>
    <row r="419" customFormat="false" ht="12" hidden="false" customHeight="false" outlineLevel="0" collapsed="false">
      <c r="A419" s="448" t="n">
        <f aca="false">IF(B418+0.01&lt;=T_ini+ROUNDUP(Temps_fin_propu,0), 0.01, IF(K418&gt;0, 0.1, 0.0001))</f>
        <v>0.1</v>
      </c>
      <c r="B419" s="449" t="n">
        <f aca="false">B418+pas</f>
        <v>5.49999999999995</v>
      </c>
      <c r="C419" s="432"/>
      <c r="D419" s="450" t="n">
        <f aca="false">IF(AND(L418&lt;L_rampe,Poussee&lt;Poids*SIN(M418)),0,(-W418+Poussee)/m*COS(M418)-U418/m*SIN(M418))</f>
        <v>-1.61301334960334</v>
      </c>
      <c r="E419" s="451" t="n">
        <f aca="false">IF(AND(L418&lt;L_rampe,Poussee&lt;Poids*SIN(M418)),0,(-W418+Poussee)/m*SIN(M418)+U418/m*COS(M418)-Poids/m)</f>
        <v>-15.6114323679692</v>
      </c>
      <c r="F419" s="449" t="n">
        <f aca="false">SQRT(acc_x^2+acc_z^2)</f>
        <v>15.6945414920499</v>
      </c>
      <c r="G419" s="450" t="n">
        <f aca="false">G418+acc_x*pas</f>
        <v>38.1396357984043</v>
      </c>
      <c r="H419" s="451" t="n">
        <f aca="false">H418+acc_z*pas</f>
        <v>136.193635087696</v>
      </c>
      <c r="I419" s="449" t="n">
        <f aca="false">SQRT(vit_x^2+vit_z^2)</f>
        <v>141.433157559447</v>
      </c>
      <c r="J419" s="450" t="n">
        <f aca="false">J418+0.5*(vit_x+G418)*pas*(K418&gt;=0)</f>
        <v>164.282587992939</v>
      </c>
      <c r="K419" s="451" t="n">
        <f aca="false">K418+0.5*(vit_z+H418)*pas</f>
        <v>678.972364164529</v>
      </c>
      <c r="L419" s="449" t="n">
        <f aca="false">SQRT(pos_x^2+pos_z^2)</f>
        <v>698.56441364904</v>
      </c>
      <c r="M419" s="450" t="n">
        <f aca="false">IF(AND(L418&gt;L_rampe,G419&gt;0),ATAN2(G419,H419),$M$4)</f>
        <v>1.29775073480626</v>
      </c>
      <c r="N419" s="449" t="n">
        <f aca="false">DEGREES(Beta)</f>
        <v>74.3556399644002</v>
      </c>
      <c r="O419" s="438"/>
      <c r="P419" s="452" t="n">
        <f aca="false">MATCH(t-pas/2-T_ini,CdP_t)</f>
        <v>23</v>
      </c>
      <c r="Q419" s="449" t="n">
        <f aca="false">(INDEX(CdP,2,i_P+1)-INDEX(CdP,2,i_P+0))/(INDEX(CdP,1,i_P+1)-INDEX(CdP,1,i_P+0))*(t-pas/2-T_ini-INDEX(CdP,1,i_P+0))+INDEX(CdP,2,i_P+0)</f>
        <v>0</v>
      </c>
      <c r="R419" s="450" t="n">
        <f aca="false">Poussee/(g*ISP)</f>
        <v>0</v>
      </c>
      <c r="S419" s="451" t="n">
        <f aca="false">S418-Débit*pas</f>
        <v>8.652</v>
      </c>
      <c r="T419" s="449" t="n">
        <f aca="false">m*g</f>
        <v>84.87612</v>
      </c>
      <c r="U419" s="453" t="n">
        <f aca="false">IF(pos_xz&lt;L_rampe,Poids*COS(Beta),0)</f>
        <v>0</v>
      </c>
      <c r="V419" s="450" t="n">
        <f aca="false">Rho_moyen*(20000-Alt_rampe-pos_z)/(20000+Alt_rampe+pos_z)</f>
        <v>1.14455682018871</v>
      </c>
      <c r="W419" s="449" t="n">
        <f aca="false">1/2*Rho*Sref*Cx*vit_xz^2</f>
        <v>50.9068317670461</v>
      </c>
      <c r="X419" s="438"/>
      <c r="Y419" s="454" t="str">
        <f aca="false">IF(AND(pos_z&lt;=0,K418&gt;0),"Impact balistique","") &amp; IF(AND(H420&lt;0,vit_z&gt;=0),"Apogée","") &amp; IF(AND(Poussee=0,Q418&gt;0),"Fin de propulsion","") &amp; IF(AND(L420&gt;L_rampe,pos_xz&lt;=L_rampe),"Sortie de rampe","")</f>
        <v/>
      </c>
      <c r="Z419" s="455" t="str">
        <f aca="false">IF(ABS(t-T_para)&lt;pas/2,"Para","")</f>
        <v/>
      </c>
      <c r="AA419" s="456" t="str">
        <f aca="false">IF(ABS(t-T_satellite)&lt;pas/2,"Satellite","")</f>
        <v/>
      </c>
      <c r="AB419" s="444"/>
      <c r="AC419" s="452" t="e">
        <f aca="false">IF(ABS(t-ROUND(t,0))&lt;0.001,t,NA())</f>
        <v>#N/A</v>
      </c>
      <c r="AD419" s="457" t="e">
        <f aca="false">IF(ABS(t-ROUND(t,0))&lt;0.001,pos_x,NA())</f>
        <v>#N/A</v>
      </c>
      <c r="AE419" s="458" t="n">
        <f aca="false">IF(t&lt;T_para, pos_z, NA())</f>
        <v>678.972364164529</v>
      </c>
      <c r="AF419" s="444"/>
      <c r="AG419" s="450" t="n">
        <f aca="false">IF(AND(L418&lt;L_rampe,Poussee&lt;Poids*SIN(M418)),0,(-W418+Poussee)/m-Poids*SIN(M418)/m)</f>
        <v>-15.4729756842666</v>
      </c>
      <c r="AH419" s="449" t="n">
        <f aca="false">IF(AND(L418&lt;L_rampe,Poussee&lt;Poids*SIN(M418)), g*SIN(M418), (-W418+Poussee)/m)</f>
        <v>-6.02149728772832</v>
      </c>
    </row>
    <row r="420" customFormat="false" ht="12" hidden="false" customHeight="false" outlineLevel="0" collapsed="false">
      <c r="A420" s="448" t="n">
        <f aca="false">IF(B419+0.01&lt;=T_ini+ROUNDUP(Temps_fin_propu,0), 0.01, IF(K419&gt;0, 0.1, 0.0001))</f>
        <v>0.1</v>
      </c>
      <c r="B420" s="449" t="n">
        <f aca="false">B419+pas</f>
        <v>5.59999999999995</v>
      </c>
      <c r="C420" s="432"/>
      <c r="D420" s="450" t="n">
        <f aca="false">IF(AND(L419&lt;L_rampe,Poussee&lt;Poids*SIN(M419)),0,(-W419+Poussee)/m*COS(M419)-U419/m*SIN(M419))</f>
        <v>-1.58666361486711</v>
      </c>
      <c r="E420" s="451" t="n">
        <f aca="false">IF(AND(L419&lt;L_rampe,Poussee&lt;Poids*SIN(M419)),0,(-W419+Poussee)/m*SIN(M419)+U419/m*COS(M419)-Poids/m)</f>
        <v>-15.4758507834827</v>
      </c>
      <c r="F420" s="449" t="n">
        <f aca="false">SQRT(acc_x^2+acc_z^2)</f>
        <v>15.5569746062455</v>
      </c>
      <c r="G420" s="450" t="n">
        <f aca="false">G419+acc_x*pas</f>
        <v>37.9809694369176</v>
      </c>
      <c r="H420" s="451" t="n">
        <f aca="false">H419+acc_z*pas</f>
        <v>134.646050009348</v>
      </c>
      <c r="I420" s="449" t="n">
        <f aca="false">SQRT(vit_x^2+vit_z^2)</f>
        <v>139.900367485178</v>
      </c>
      <c r="J420" s="450" t="n">
        <f aca="false">J419+0.5*(vit_x+G419)*pas*(K419&gt;=0)</f>
        <v>168.088618254705</v>
      </c>
      <c r="K420" s="451" t="n">
        <f aca="false">K419+0.5*(vit_z+H419)*pas</f>
        <v>692.514348419381</v>
      </c>
      <c r="L420" s="449" t="n">
        <f aca="false">SQRT(pos_x^2+pos_z^2)</f>
        <v>712.621853687842</v>
      </c>
      <c r="M420" s="450" t="n">
        <f aca="false">IF(AND(L419&gt;L_rampe,G420&gt;0),ATAN2(G420,H420),$M$4)</f>
        <v>1.29585980366066</v>
      </c>
      <c r="N420" s="449" t="n">
        <f aca="false">DEGREES(Beta)</f>
        <v>74.2472975904071</v>
      </c>
      <c r="O420" s="438"/>
      <c r="P420" s="452" t="n">
        <f aca="false">MATCH(t-pas/2-T_ini,CdP_t)</f>
        <v>23</v>
      </c>
      <c r="Q420" s="449" t="n">
        <f aca="false">(INDEX(CdP,2,i_P+1)-INDEX(CdP,2,i_P+0))/(INDEX(CdP,1,i_P+1)-INDEX(CdP,1,i_P+0))*(t-pas/2-T_ini-INDEX(CdP,1,i_P+0))+INDEX(CdP,2,i_P+0)</f>
        <v>0</v>
      </c>
      <c r="R420" s="450" t="n">
        <f aca="false">Poussee/(g*ISP)</f>
        <v>0</v>
      </c>
      <c r="S420" s="451" t="n">
        <f aca="false">S419-Débit*pas</f>
        <v>8.652</v>
      </c>
      <c r="T420" s="449" t="n">
        <f aca="false">m*g</f>
        <v>84.87612</v>
      </c>
      <c r="U420" s="453" t="n">
        <f aca="false">IF(pos_xz&lt;L_rampe,Poids*COS(Beta),0)</f>
        <v>0</v>
      </c>
      <c r="V420" s="450" t="n">
        <f aca="false">Rho_moyen*(20000-Alt_rampe-pos_z)/(20000+Alt_rampe+pos_z)</f>
        <v>1.14300609026727</v>
      </c>
      <c r="W420" s="449" t="n">
        <f aca="false">1/2*Rho*Sref*Cx*vit_xz^2</f>
        <v>49.7419139629662</v>
      </c>
      <c r="X420" s="438"/>
      <c r="Y420" s="454" t="str">
        <f aca="false">IF(AND(pos_z&lt;=0,K419&gt;0),"Impact balistique","") &amp; IF(AND(H421&lt;0,vit_z&gt;=0),"Apogée","") &amp; IF(AND(Poussee=0,Q419&gt;0),"Fin de propulsion","") &amp; IF(AND(L421&gt;L_rampe,pos_xz&lt;=L_rampe),"Sortie de rampe","")</f>
        <v/>
      </c>
      <c r="Z420" s="455" t="str">
        <f aca="false">IF(ABS(t-T_para)&lt;pas/2,"Para","")</f>
        <v/>
      </c>
      <c r="AA420" s="456" t="str">
        <f aca="false">IF(ABS(t-T_satellite)&lt;pas/2,"Satellite","")</f>
        <v/>
      </c>
      <c r="AB420" s="444"/>
      <c r="AC420" s="452" t="e">
        <f aca="false">IF(ABS(t-ROUND(t,0))&lt;0.001,t,NA())</f>
        <v>#N/A</v>
      </c>
      <c r="AD420" s="457" t="e">
        <f aca="false">IF(ABS(t-ROUND(t,0))&lt;0.001,pos_x,NA())</f>
        <v>#N/A</v>
      </c>
      <c r="AE420" s="458" t="n">
        <f aca="false">IF(t&lt;T_para, pos_z, NA())</f>
        <v>692.514348419381</v>
      </c>
      <c r="AF420" s="444"/>
      <c r="AG420" s="450" t="n">
        <f aca="false">IF(AND(L419&lt;L_rampe,Poussee&lt;Poids*SIN(M419)),0,(-W419+Poussee)/m-Poids*SIN(M419)/m)</f>
        <v>-15.3304018951252</v>
      </c>
      <c r="AH420" s="449" t="n">
        <f aca="false">IF(AND(L419&lt;L_rampe,Poussee&lt;Poids*SIN(M419)), g*SIN(M419), (-W419+Poussee)/m)</f>
        <v>-5.88382244186848</v>
      </c>
    </row>
    <row r="421" customFormat="false" ht="12" hidden="false" customHeight="false" outlineLevel="0" collapsed="false">
      <c r="A421" s="448" t="n">
        <f aca="false">IF(B420+0.01&lt;=T_ini+ROUNDUP(Temps_fin_propu,0), 0.01, IF(K420&gt;0, 0.1, 0.0001))</f>
        <v>0.1</v>
      </c>
      <c r="B421" s="449" t="n">
        <f aca="false">B420+pas</f>
        <v>5.69999999999995</v>
      </c>
      <c r="C421" s="432"/>
      <c r="D421" s="450" t="n">
        <f aca="false">IF(AND(L420&lt;L_rampe,Poussee&lt;Poids*SIN(M420)),0,(-W420+Poussee)/m*COS(M420)-U420/m*SIN(M420))</f>
        <v>-1.56082125843016</v>
      </c>
      <c r="E421" s="451" t="n">
        <f aca="false">IF(AND(L420&lt;L_rampe,Poussee&lt;Poids*SIN(M420)),0,(-W420+Poussee)/m*SIN(M420)+U420/m*COS(M420)-Poids/m)</f>
        <v>-15.3432557418602</v>
      </c>
      <c r="F421" s="449" t="n">
        <f aca="false">SQRT(acc_x^2+acc_z^2)</f>
        <v>15.4224401364016</v>
      </c>
      <c r="G421" s="450" t="n">
        <f aca="false">G420+acc_x*pas</f>
        <v>37.8248873110746</v>
      </c>
      <c r="H421" s="451" t="n">
        <f aca="false">H420+acc_z*pas</f>
        <v>133.111724435162</v>
      </c>
      <c r="I421" s="449" t="n">
        <f aca="false">SQRT(vit_x^2+vit_z^2)</f>
        <v>138.381549645167</v>
      </c>
      <c r="J421" s="450" t="n">
        <f aca="false">J420+0.5*(vit_x+G420)*pas*(K420&gt;=0)</f>
        <v>171.878911092104</v>
      </c>
      <c r="K421" s="451" t="n">
        <f aca="false">K420+0.5*(vit_z+H420)*pas</f>
        <v>705.902237141607</v>
      </c>
      <c r="L421" s="449" t="n">
        <f aca="false">SQRT(pos_x^2+pos_z^2)</f>
        <v>726.526206326883</v>
      </c>
      <c r="M421" s="450" t="n">
        <f aca="false">IF(AND(L420&gt;L_rampe,G421&gt;0),ATAN2(G421,H421),$M$4)</f>
        <v>1.29393521343368</v>
      </c>
      <c r="N421" s="449" t="n">
        <f aca="false">DEGREES(Beta)</f>
        <v>74.1370266931095</v>
      </c>
      <c r="O421" s="438"/>
      <c r="P421" s="452" t="n">
        <f aca="false">MATCH(t-pas/2-T_ini,CdP_t)</f>
        <v>23</v>
      </c>
      <c r="Q421" s="449" t="n">
        <f aca="false">(INDEX(CdP,2,i_P+1)-INDEX(CdP,2,i_P+0))/(INDEX(CdP,1,i_P+1)-INDEX(CdP,1,i_P+0))*(t-pas/2-T_ini-INDEX(CdP,1,i_P+0))+INDEX(CdP,2,i_P+0)</f>
        <v>0</v>
      </c>
      <c r="R421" s="450" t="n">
        <f aca="false">Poussee/(g*ISP)</f>
        <v>0</v>
      </c>
      <c r="S421" s="451" t="n">
        <f aca="false">S420-Débit*pas</f>
        <v>8.652</v>
      </c>
      <c r="T421" s="449" t="n">
        <f aca="false">m*g</f>
        <v>84.87612</v>
      </c>
      <c r="U421" s="453" t="n">
        <f aca="false">IF(pos_xz&lt;L_rampe,Poids*COS(Beta),0)</f>
        <v>0</v>
      </c>
      <c r="V421" s="450" t="n">
        <f aca="false">Rho_moyen*(20000-Alt_rampe-pos_z)/(20000+Alt_rampe+pos_z)</f>
        <v>1.14147500016229</v>
      </c>
      <c r="W421" s="449" t="n">
        <f aca="false">1/2*Rho*Sref*Cx*vit_xz^2</f>
        <v>48.6025460719144</v>
      </c>
      <c r="X421" s="438"/>
      <c r="Y421" s="454" t="str">
        <f aca="false">IF(AND(pos_z&lt;=0,K420&gt;0),"Impact balistique","") &amp; IF(AND(H422&lt;0,vit_z&gt;=0),"Apogée","") &amp; IF(AND(Poussee=0,Q420&gt;0),"Fin de propulsion","") &amp; IF(AND(L422&gt;L_rampe,pos_xz&lt;=L_rampe),"Sortie de rampe","")</f>
        <v/>
      </c>
      <c r="Z421" s="455" t="str">
        <f aca="false">IF(ABS(t-T_para)&lt;pas/2,"Para","")</f>
        <v/>
      </c>
      <c r="AA421" s="456" t="str">
        <f aca="false">IF(ABS(t-T_satellite)&lt;pas/2,"Satellite","")</f>
        <v/>
      </c>
      <c r="AB421" s="444"/>
      <c r="AC421" s="452" t="e">
        <f aca="false">IF(ABS(t-ROUND(t,0))&lt;0.001,t,NA())</f>
        <v>#N/A</v>
      </c>
      <c r="AD421" s="457" t="e">
        <f aca="false">IF(ABS(t-ROUND(t,0))&lt;0.001,pos_x,NA())</f>
        <v>#N/A</v>
      </c>
      <c r="AE421" s="458" t="n">
        <f aca="false">IF(t&lt;T_para, pos_z, NA())</f>
        <v>705.902237141607</v>
      </c>
      <c r="AF421" s="444"/>
      <c r="AG421" s="450" t="n">
        <f aca="false">IF(AND(L420&lt;L_rampe,Poussee&lt;Poids*SIN(M420)),0,(-W420+Poussee)/m-Poids*SIN(M420)/m)</f>
        <v>-15.1907412585088</v>
      </c>
      <c r="AH421" s="449" t="n">
        <f aca="false">IF(AND(L420&lt;L_rampe,Poussee&lt;Poids*SIN(M420)), g*SIN(M420), (-W420+Poussee)/m)</f>
        <v>-5.74918099433267</v>
      </c>
    </row>
    <row r="422" customFormat="false" ht="12" hidden="false" customHeight="false" outlineLevel="0" collapsed="false">
      <c r="A422" s="448" t="n">
        <f aca="false">IF(B421+0.01&lt;=T_ini+ROUNDUP(Temps_fin_propu,0), 0.01, IF(K421&gt;0, 0.1, 0.0001))</f>
        <v>0.1</v>
      </c>
      <c r="B422" s="449" t="n">
        <f aca="false">B421+pas</f>
        <v>5.79999999999995</v>
      </c>
      <c r="C422" s="432"/>
      <c r="D422" s="450" t="n">
        <f aca="false">IF(AND(L421&lt;L_rampe,Poussee&lt;Poids*SIN(M421)),0,(-W421+Poussee)/m*COS(M421)-U421/m*SIN(M421))</f>
        <v>-1.53547221817828</v>
      </c>
      <c r="E422" s="451" t="n">
        <f aca="false">IF(AND(L421&lt;L_rampe,Poussee&lt;Poids*SIN(M421)),0,(-W421+Poussee)/m*SIN(M421)+U421/m*COS(M421)-Poids/m)</f>
        <v>-15.2135681085599</v>
      </c>
      <c r="F422" s="449" t="n">
        <f aca="false">SQRT(acc_x^2+acc_z^2)</f>
        <v>15.2908577106252</v>
      </c>
      <c r="G422" s="450" t="n">
        <f aca="false">G421+acc_x*pas</f>
        <v>37.6713400892568</v>
      </c>
      <c r="H422" s="451" t="n">
        <f aca="false">H421+acc_z*pas</f>
        <v>131.590367624306</v>
      </c>
      <c r="I422" s="449" t="n">
        <f aca="false">SQRT(vit_x^2+vit_z^2)</f>
        <v>136.87642132822</v>
      </c>
      <c r="J422" s="450" t="n">
        <f aca="false">J421+0.5*(vit_x+G421)*pas*(K421&gt;=0)</f>
        <v>175.653722462121</v>
      </c>
      <c r="K422" s="451" t="n">
        <f aca="false">K421+0.5*(vit_z+H421)*pas</f>
        <v>719.13734174458</v>
      </c>
      <c r="L422" s="449" t="n">
        <f aca="false">SQRT(pos_x^2+pos_z^2)</f>
        <v>740.278830243214</v>
      </c>
      <c r="M422" s="450" t="n">
        <f aca="false">IF(AND(L421&gt;L_rampe,G422&gt;0),ATAN2(G422,H422),$M$4)</f>
        <v>1.29197618790079</v>
      </c>
      <c r="N422" s="449" t="n">
        <f aca="false">DEGREES(Beta)</f>
        <v>74.0247827981164</v>
      </c>
      <c r="O422" s="438"/>
      <c r="P422" s="452" t="n">
        <f aca="false">MATCH(t-pas/2-T_ini,CdP_t)</f>
        <v>23</v>
      </c>
      <c r="Q422" s="449" t="n">
        <f aca="false">(INDEX(CdP,2,i_P+1)-INDEX(CdP,2,i_P+0))/(INDEX(CdP,1,i_P+1)-INDEX(CdP,1,i_P+0))*(t-pas/2-T_ini-INDEX(CdP,1,i_P+0))+INDEX(CdP,2,i_P+0)</f>
        <v>0</v>
      </c>
      <c r="R422" s="450" t="n">
        <f aca="false">Poussee/(g*ISP)</f>
        <v>0</v>
      </c>
      <c r="S422" s="451" t="n">
        <f aca="false">S421-Débit*pas</f>
        <v>8.652</v>
      </c>
      <c r="T422" s="449" t="n">
        <f aca="false">m*g</f>
        <v>84.87612</v>
      </c>
      <c r="U422" s="453" t="n">
        <f aca="false">IF(pos_xz&lt;L_rampe,Poids*COS(Beta),0)</f>
        <v>0</v>
      </c>
      <c r="V422" s="450" t="n">
        <f aca="false">Rho_moyen*(20000-Alt_rampe-pos_z)/(20000+Alt_rampe+pos_z)</f>
        <v>1.13996332795071</v>
      </c>
      <c r="W422" s="449" t="n">
        <f aca="false">1/2*Rho*Sref*Cx*vit_xz^2</f>
        <v>47.4880570888519</v>
      </c>
      <c r="X422" s="438"/>
      <c r="Y422" s="454" t="str">
        <f aca="false">IF(AND(pos_z&lt;=0,K421&gt;0),"Impact balistique","") &amp; IF(AND(H423&lt;0,vit_z&gt;=0),"Apogée","") &amp; IF(AND(Poussee=0,Q421&gt;0),"Fin de propulsion","") &amp; IF(AND(L423&gt;L_rampe,pos_xz&lt;=L_rampe),"Sortie de rampe","")</f>
        <v/>
      </c>
      <c r="Z422" s="455" t="str">
        <f aca="false">IF(ABS(t-T_para)&lt;pas/2,"Para","")</f>
        <v/>
      </c>
      <c r="AA422" s="456" t="str">
        <f aca="false">IF(ABS(t-T_satellite)&lt;pas/2,"Satellite","")</f>
        <v/>
      </c>
      <c r="AB422" s="444"/>
      <c r="AC422" s="452" t="e">
        <f aca="false">IF(ABS(t-ROUND(t,0))&lt;0.001,t,NA())</f>
        <v>#N/A</v>
      </c>
      <c r="AD422" s="457" t="e">
        <f aca="false">IF(ABS(t-ROUND(t,0))&lt;0.001,pos_x,NA())</f>
        <v>#N/A</v>
      </c>
      <c r="AE422" s="458" t="n">
        <f aca="false">IF(t&lt;T_para, pos_z, NA())</f>
        <v>719.13734174458</v>
      </c>
      <c r="AF422" s="444"/>
      <c r="AG422" s="450" t="n">
        <f aca="false">IF(AND(L421&lt;L_rampe,Poussee&lt;Poids*SIN(M421)),0,(-W421+Poussee)/m-Poids*SIN(M421)/m)</f>
        <v>-15.0539096773066</v>
      </c>
      <c r="AH422" s="449" t="n">
        <f aca="false">IF(AND(L421&lt;L_rampe,Poussee&lt;Poids*SIN(M421)), g*SIN(M421), (-W421+Poussee)/m)</f>
        <v>-5.61749261117827</v>
      </c>
    </row>
    <row r="423" customFormat="false" ht="12" hidden="false" customHeight="false" outlineLevel="0" collapsed="false">
      <c r="A423" s="448" t="n">
        <f aca="false">IF(B422+0.01&lt;=T_ini+ROUNDUP(Temps_fin_propu,0), 0.01, IF(K422&gt;0, 0.1, 0.0001))</f>
        <v>0.1</v>
      </c>
      <c r="B423" s="449" t="n">
        <f aca="false">B422+pas</f>
        <v>5.89999999999995</v>
      </c>
      <c r="C423" s="432"/>
      <c r="D423" s="450" t="n">
        <f aca="false">IF(AND(L422&lt;L_rampe,Poussee&lt;Poids*SIN(M422)),0,(-W422+Poussee)/m*COS(M422)-U422/m*SIN(M422))</f>
        <v>-1.51060291484808</v>
      </c>
      <c r="E423" s="451" t="n">
        <f aca="false">IF(AND(L422&lt;L_rampe,Poussee&lt;Poids*SIN(M422)),0,(-W422+Poussee)/m*SIN(M422)+U422/m*COS(M422)-Poids/m)</f>
        <v>-15.0867114848642</v>
      </c>
      <c r="F423" s="449" t="n">
        <f aca="false">SQRT(acc_x^2+acc_z^2)</f>
        <v>15.1621497352414</v>
      </c>
      <c r="G423" s="450" t="n">
        <f aca="false">G422+acc_x*pas</f>
        <v>37.520279797772</v>
      </c>
      <c r="H423" s="451" t="n">
        <f aca="false">H422+acc_z*pas</f>
        <v>130.081696475819</v>
      </c>
      <c r="I423" s="449" t="n">
        <f aca="false">SQRT(vit_x^2+vit_z^2)</f>
        <v>135.384707977416</v>
      </c>
      <c r="J423" s="450" t="n">
        <f aca="false">J422+0.5*(vit_x+G422)*pas*(K422&gt;=0)</f>
        <v>179.413303456472</v>
      </c>
      <c r="K423" s="451" t="n">
        <f aca="false">K422+0.5*(vit_z+H422)*pas</f>
        <v>732.220944949586</v>
      </c>
      <c r="L423" s="449" t="n">
        <f aca="false">SQRT(pos_x^2+pos_z^2)</f>
        <v>753.881055392712</v>
      </c>
      <c r="M423" s="450" t="n">
        <f aca="false">IF(AND(L422&gt;L_rampe,G423&gt;0),ATAN2(G423,H423),$M$4)</f>
        <v>1.28998192637604</v>
      </c>
      <c r="N423" s="449" t="n">
        <f aca="false">DEGREES(Beta)</f>
        <v>73.9105200295029</v>
      </c>
      <c r="O423" s="438"/>
      <c r="P423" s="452" t="n">
        <f aca="false">MATCH(t-pas/2-T_ini,CdP_t)</f>
        <v>23</v>
      </c>
      <c r="Q423" s="449" t="n">
        <f aca="false">(INDEX(CdP,2,i_P+1)-INDEX(CdP,2,i_P+0))/(INDEX(CdP,1,i_P+1)-INDEX(CdP,1,i_P+0))*(t-pas/2-T_ini-INDEX(CdP,1,i_P+0))+INDEX(CdP,2,i_P+0)</f>
        <v>0</v>
      </c>
      <c r="R423" s="450" t="n">
        <f aca="false">Poussee/(g*ISP)</f>
        <v>0</v>
      </c>
      <c r="S423" s="451" t="n">
        <f aca="false">S422-Débit*pas</f>
        <v>8.652</v>
      </c>
      <c r="T423" s="449" t="n">
        <f aca="false">m*g</f>
        <v>84.87612</v>
      </c>
      <c r="U423" s="453" t="n">
        <f aca="false">IF(pos_xz&lt;L_rampe,Poids*COS(Beta),0)</f>
        <v>0</v>
      </c>
      <c r="V423" s="450" t="n">
        <f aca="false">Rho_moyen*(20000-Alt_rampe-pos_z)/(20000+Alt_rampe+pos_z)</f>
        <v>1.13847085679388</v>
      </c>
      <c r="W423" s="449" t="n">
        <f aca="false">1/2*Rho*Sref*Cx*vit_xz^2</f>
        <v>46.3977990703988</v>
      </c>
      <c r="X423" s="438"/>
      <c r="Y423" s="454" t="str">
        <f aca="false">IF(AND(pos_z&lt;=0,K422&gt;0),"Impact balistique","") &amp; IF(AND(H424&lt;0,vit_z&gt;=0),"Apogée","") &amp; IF(AND(Poussee=0,Q422&gt;0),"Fin de propulsion","") &amp; IF(AND(L424&gt;L_rampe,pos_xz&lt;=L_rampe),"Sortie de rampe","")</f>
        <v/>
      </c>
      <c r="Z423" s="455" t="str">
        <f aca="false">IF(ABS(t-T_para)&lt;pas/2,"Para","")</f>
        <v/>
      </c>
      <c r="AA423" s="456" t="str">
        <f aca="false">IF(ABS(t-T_satellite)&lt;pas/2,"Satellite","")</f>
        <v/>
      </c>
      <c r="AB423" s="444"/>
      <c r="AC423" s="452" t="e">
        <f aca="false">IF(ABS(t-ROUND(t,0))&lt;0.001,t,NA())</f>
        <v>#N/A</v>
      </c>
      <c r="AD423" s="457" t="e">
        <f aca="false">IF(ABS(t-ROUND(t,0))&lt;0.001,pos_x,NA())</f>
        <v>#N/A</v>
      </c>
      <c r="AE423" s="458" t="n">
        <f aca="false">IF(t&lt;T_para, pos_z, NA())</f>
        <v>732.220944949586</v>
      </c>
      <c r="AF423" s="444"/>
      <c r="AG423" s="450" t="n">
        <f aca="false">IF(AND(L422&lt;L_rampe,Poussee&lt;Poids*SIN(M422)),0,(-W422+Poussee)/m-Poids*SIN(M422)/m)</f>
        <v>-14.9198256855591</v>
      </c>
      <c r="AH423" s="449" t="n">
        <f aca="false">IF(AND(L422&lt;L_rampe,Poussee&lt;Poids*SIN(M422)), g*SIN(M422), (-W422+Poussee)/m)</f>
        <v>-5.48867973750022</v>
      </c>
    </row>
    <row r="424" customFormat="false" ht="12" hidden="false" customHeight="false" outlineLevel="0" collapsed="false">
      <c r="A424" s="448" t="n">
        <f aca="false">IF(B423+0.01&lt;=T_ini+ROUNDUP(Temps_fin_propu,0), 0.01, IF(K423&gt;0, 0.1, 0.0001))</f>
        <v>0.1</v>
      </c>
      <c r="B424" s="449" t="n">
        <f aca="false">B423+pas</f>
        <v>5.99999999999995</v>
      </c>
      <c r="C424" s="432"/>
      <c r="D424" s="450" t="n">
        <f aca="false">IF(AND(L423&lt;L_rampe,Poussee&lt;Poids*SIN(M423)),0,(-W423+Poussee)/m*COS(M423)-U423/m*SIN(M423))</f>
        <v>-1.48620023238213</v>
      </c>
      <c r="E424" s="451" t="n">
        <f aca="false">IF(AND(L423&lt;L_rampe,Poussee&lt;Poids*SIN(M423)),0,(-W423+Poussee)/m*SIN(M423)+U423/m*COS(M423)-Poids/m)</f>
        <v>-14.9626120959926</v>
      </c>
      <c r="F424" s="449" t="n">
        <f aca="false">SQRT(acc_x^2+acc_z^2)</f>
        <v>15.0362412811805</v>
      </c>
      <c r="G424" s="450" t="n">
        <f aca="false">G423+acc_x*pas</f>
        <v>37.3716597745338</v>
      </c>
      <c r="H424" s="451" t="n">
        <f aca="false">H423+acc_z*pas</f>
        <v>128.58543526622</v>
      </c>
      <c r="I424" s="449" t="n">
        <f aca="false">SQRT(vit_x^2+vit_z^2)</f>
        <v>133.906142939399</v>
      </c>
      <c r="J424" s="450" t="n">
        <f aca="false">J423+0.5*(vit_x+G423)*pas*(K423&gt;=0)</f>
        <v>183.157900435088</v>
      </c>
      <c r="K424" s="451" t="n">
        <f aca="false">K423+0.5*(vit_z+H423)*pas</f>
        <v>745.154301536688</v>
      </c>
      <c r="L424" s="449" t="n">
        <f aca="false">SQRT(pos_x^2+pos_z^2)</f>
        <v>767.334183775504</v>
      </c>
      <c r="M424" s="450" t="n">
        <f aca="false">IF(AND(L423&gt;L_rampe,G424&gt;0),ATAN2(G424,H424),$M$4)</f>
        <v>1.28795160278501</v>
      </c>
      <c r="N424" s="449" t="n">
        <f aca="false">DEGREES(Beta)</f>
        <v>73.7941910566908</v>
      </c>
      <c r="O424" s="438"/>
      <c r="P424" s="452" t="n">
        <f aca="false">MATCH(t-pas/2-T_ini,CdP_t)</f>
        <v>23</v>
      </c>
      <c r="Q424" s="449" t="n">
        <f aca="false">(INDEX(CdP,2,i_P+1)-INDEX(CdP,2,i_P+0))/(INDEX(CdP,1,i_P+1)-INDEX(CdP,1,i_P+0))*(t-pas/2-T_ini-INDEX(CdP,1,i_P+0))+INDEX(CdP,2,i_P+0)</f>
        <v>0</v>
      </c>
      <c r="R424" s="450" t="n">
        <f aca="false">Poussee/(g*ISP)</f>
        <v>0</v>
      </c>
      <c r="S424" s="451" t="n">
        <f aca="false">S423-Débit*pas</f>
        <v>8.652</v>
      </c>
      <c r="T424" s="449" t="n">
        <f aca="false">m*g</f>
        <v>84.87612</v>
      </c>
      <c r="U424" s="453" t="n">
        <f aca="false">IF(pos_xz&lt;L_rampe,Poids*COS(Beta),0)</f>
        <v>0</v>
      </c>
      <c r="V424" s="450" t="n">
        <f aca="false">Rho_moyen*(20000-Alt_rampe-pos_z)/(20000+Alt_rampe+pos_z)</f>
        <v>1.13699737479756</v>
      </c>
      <c r="W424" s="449" t="n">
        <f aca="false">1/2*Rho*Sref*Cx*vit_xz^2</f>
        <v>45.3311461992782</v>
      </c>
      <c r="X424" s="438"/>
      <c r="Y424" s="454" t="str">
        <f aca="false">IF(AND(pos_z&lt;=0,K423&gt;0),"Impact balistique","") &amp; IF(AND(H425&lt;0,vit_z&gt;=0),"Apogée","") &amp; IF(AND(Poussee=0,Q423&gt;0),"Fin de propulsion","") &amp; IF(AND(L425&gt;L_rampe,pos_xz&lt;=L_rampe),"Sortie de rampe","")</f>
        <v/>
      </c>
      <c r="Z424" s="455" t="str">
        <f aca="false">IF(ABS(t-T_para)&lt;pas/2,"Para","")</f>
        <v/>
      </c>
      <c r="AA424" s="456" t="str">
        <f aca="false">IF(ABS(t-T_satellite)&lt;pas/2,"Satellite","")</f>
        <v/>
      </c>
      <c r="AB424" s="444"/>
      <c r="AC424" s="452" t="n">
        <f aca="false">IF(ABS(t-ROUND(t,0))&lt;0.001,t,NA())</f>
        <v>5.99999999999995</v>
      </c>
      <c r="AD424" s="457" t="n">
        <f aca="false">IF(ABS(t-ROUND(t,0))&lt;0.001,pos_x,NA())</f>
        <v>183.157900435088</v>
      </c>
      <c r="AE424" s="458" t="n">
        <f aca="false">IF(t&lt;T_para, pos_z, NA())</f>
        <v>745.154301536688</v>
      </c>
      <c r="AF424" s="444"/>
      <c r="AG424" s="450" t="n">
        <f aca="false">IF(AND(L423&lt;L_rampe,Poussee&lt;Poids*SIN(M423)),0,(-W423+Poussee)/m-Poids*SIN(M423)/m)</f>
        <v>-14.788410328032</v>
      </c>
      <c r="AH424" s="449" t="n">
        <f aca="false">IF(AND(L423&lt;L_rampe,Poussee&lt;Poids*SIN(M423)), g*SIN(M423), (-W423+Poussee)/m)</f>
        <v>-5.36266748386487</v>
      </c>
    </row>
    <row r="425" customFormat="false" ht="12" hidden="false" customHeight="false" outlineLevel="0" collapsed="false">
      <c r="A425" s="448" t="n">
        <f aca="false">IF(B424+0.01&lt;=T_ini+ROUNDUP(Temps_fin_propu,0), 0.01, IF(K424&gt;0, 0.1, 0.0001))</f>
        <v>0.1</v>
      </c>
      <c r="B425" s="449" t="n">
        <f aca="false">B424+pas</f>
        <v>6.09999999999995</v>
      </c>
      <c r="C425" s="432"/>
      <c r="D425" s="450" t="n">
        <f aca="false">IF(AND(L424&lt;L_rampe,Poussee&lt;Poids*SIN(M424)),0,(-W424+Poussee)/m*COS(M424)-U424/m*SIN(M424))</f>
        <v>-1.46225149923309</v>
      </c>
      <c r="E425" s="451" t="n">
        <f aca="false">IF(AND(L424&lt;L_rampe,Poussee&lt;Poids*SIN(M424)),0,(-W424+Poussee)/m*SIN(M424)+U424/m*COS(M424)-Poids/m)</f>
        <v>-14.841198684563</v>
      </c>
      <c r="F425" s="449" t="n">
        <f aca="false">SQRT(acc_x^2+acc_z^2)</f>
        <v>14.9130599757958</v>
      </c>
      <c r="G425" s="450" t="n">
        <f aca="false">G424+acc_x*pas</f>
        <v>37.2254346246104</v>
      </c>
      <c r="H425" s="451" t="n">
        <f aca="false">H424+acc_z*pas</f>
        <v>127.101315397764</v>
      </c>
      <c r="I425" s="449" t="n">
        <f aca="false">SQRT(vit_x^2+vit_z^2)</f>
        <v>132.440467225214</v>
      </c>
      <c r="J425" s="450" t="n">
        <f aca="false">J424+0.5*(vit_x+G424)*pas*(K424&gt;=0)</f>
        <v>186.887755155045</v>
      </c>
      <c r="K425" s="451" t="n">
        <f aca="false">K424+0.5*(vit_z+H424)*pas</f>
        <v>757.938639069888</v>
      </c>
      <c r="L425" s="449" t="n">
        <f aca="false">SQRT(pos_x^2+pos_z^2)</f>
        <v>780.639490175846</v>
      </c>
      <c r="M425" s="450" t="n">
        <f aca="false">IF(AND(L424&gt;L_rampe,G425&gt;0),ATAN2(G425,H425),$M$4)</f>
        <v>1.28588436469623</v>
      </c>
      <c r="N425" s="449" t="n">
        <f aca="false">DEGREES(Beta)</f>
        <v>73.6757470389551</v>
      </c>
      <c r="O425" s="438"/>
      <c r="P425" s="452" t="n">
        <f aca="false">MATCH(t-pas/2-T_ini,CdP_t)</f>
        <v>23</v>
      </c>
      <c r="Q425" s="449" t="n">
        <f aca="false">(INDEX(CdP,2,i_P+1)-INDEX(CdP,2,i_P+0))/(INDEX(CdP,1,i_P+1)-INDEX(CdP,1,i_P+0))*(t-pas/2-T_ini-INDEX(CdP,1,i_P+0))+INDEX(CdP,2,i_P+0)</f>
        <v>0</v>
      </c>
      <c r="R425" s="450" t="n">
        <f aca="false">Poussee/(g*ISP)</f>
        <v>0</v>
      </c>
      <c r="S425" s="451" t="n">
        <f aca="false">S424-Débit*pas</f>
        <v>8.652</v>
      </c>
      <c r="T425" s="449" t="n">
        <f aca="false">m*g</f>
        <v>84.87612</v>
      </c>
      <c r="U425" s="453" t="n">
        <f aca="false">IF(pos_xz&lt;L_rampe,Poids*COS(Beta),0)</f>
        <v>0</v>
      </c>
      <c r="V425" s="450" t="n">
        <f aca="false">Rho_moyen*(20000-Alt_rampe-pos_z)/(20000+Alt_rampe+pos_z)</f>
        <v>1.13554267487687</v>
      </c>
      <c r="W425" s="449" t="n">
        <f aca="false">1/2*Rho*Sref*Cx*vit_xz^2</f>
        <v>44.2874938932216</v>
      </c>
      <c r="X425" s="438"/>
      <c r="Y425" s="454" t="str">
        <f aca="false">IF(AND(pos_z&lt;=0,K424&gt;0),"Impact balistique","") &amp; IF(AND(H426&lt;0,vit_z&gt;=0),"Apogée","") &amp; IF(AND(Poussee=0,Q424&gt;0),"Fin de propulsion","") &amp; IF(AND(L426&gt;L_rampe,pos_xz&lt;=L_rampe),"Sortie de rampe","")</f>
        <v/>
      </c>
      <c r="Z425" s="455" t="str">
        <f aca="false">IF(ABS(t-T_para)&lt;pas/2,"Para","")</f>
        <v/>
      </c>
      <c r="AA425" s="456" t="str">
        <f aca="false">IF(ABS(t-T_satellite)&lt;pas/2,"Satellite","")</f>
        <v/>
      </c>
      <c r="AB425" s="444"/>
      <c r="AC425" s="452" t="e">
        <f aca="false">IF(ABS(t-ROUND(t,0))&lt;0.001,t,NA())</f>
        <v>#N/A</v>
      </c>
      <c r="AD425" s="457" t="e">
        <f aca="false">IF(ABS(t-ROUND(t,0))&lt;0.001,pos_x,NA())</f>
        <v>#N/A</v>
      </c>
      <c r="AE425" s="458" t="n">
        <f aca="false">IF(t&lt;T_para, pos_z, NA())</f>
        <v>757.938639069888</v>
      </c>
      <c r="AF425" s="444"/>
      <c r="AG425" s="450" t="n">
        <f aca="false">IF(AND(L424&lt;L_rampe,Poussee&lt;Poids*SIN(M424)),0,(-W424+Poussee)/m-Poids*SIN(M424)/m)</f>
        <v>-14.6595870448566</v>
      </c>
      <c r="AH425" s="449" t="n">
        <f aca="false">IF(AND(L424&lt;L_rampe,Poussee&lt;Poids*SIN(M424)), g*SIN(M424), (-W424+Poussee)/m)</f>
        <v>-5.23938351817824</v>
      </c>
    </row>
    <row r="426" customFormat="false" ht="12" hidden="false" customHeight="false" outlineLevel="0" collapsed="false">
      <c r="A426" s="448" t="n">
        <f aca="false">IF(B425+0.01&lt;=T_ini+ROUNDUP(Temps_fin_propu,0), 0.01, IF(K425&gt;0, 0.1, 0.0001))</f>
        <v>0.1</v>
      </c>
      <c r="B426" s="449" t="n">
        <f aca="false">B425+pas</f>
        <v>6.19999999999995</v>
      </c>
      <c r="C426" s="432"/>
      <c r="D426" s="450" t="n">
        <f aca="false">IF(AND(L425&lt;L_rampe,Poussee&lt;Poids*SIN(M425)),0,(-W425+Poussee)/m*COS(M425)-U425/m*SIN(M425))</f>
        <v>-1.43874447056589</v>
      </c>
      <c r="E426" s="451" t="n">
        <f aca="false">IF(AND(L425&lt;L_rampe,Poussee&lt;Poids*SIN(M425)),0,(-W425+Poussee)/m*SIN(M425)+U425/m*COS(M425)-Poids/m)</f>
        <v>-14.7224024091122</v>
      </c>
      <c r="F426" s="449" t="n">
        <f aca="false">SQRT(acc_x^2+acc_z^2)</f>
        <v>14.7925358998184</v>
      </c>
      <c r="G426" s="450" t="n">
        <f aca="false">G425+acc_x*pas</f>
        <v>37.0815601775539</v>
      </c>
      <c r="H426" s="451" t="n">
        <f aca="false">H425+acc_z*pas</f>
        <v>125.629075156853</v>
      </c>
      <c r="I426" s="449" t="n">
        <f aca="false">SQRT(vit_x^2+vit_z^2)</f>
        <v>130.987429282232</v>
      </c>
      <c r="J426" s="450" t="n">
        <f aca="false">J425+0.5*(vit_x+G425)*pas*(K425&gt;=0)</f>
        <v>190.603104895153</v>
      </c>
      <c r="K426" s="451" t="n">
        <f aca="false">K425+0.5*(vit_z+H425)*pas</f>
        <v>770.575158597618</v>
      </c>
      <c r="L426" s="449" t="n">
        <f aca="false">SQRT(pos_x^2+pos_z^2)</f>
        <v>793.798222877462</v>
      </c>
      <c r="M426" s="450" t="n">
        <f aca="false">IF(AND(L425&gt;L_rampe,G426&gt;0),ATAN2(G426,H426),$M$4)</f>
        <v>1.28377933230918</v>
      </c>
      <c r="N426" s="449" t="n">
        <f aca="false">DEGREES(Beta)</f>
        <v>73.5551375674388</v>
      </c>
      <c r="O426" s="438"/>
      <c r="P426" s="452" t="n">
        <f aca="false">MATCH(t-pas/2-T_ini,CdP_t)</f>
        <v>23</v>
      </c>
      <c r="Q426" s="449" t="n">
        <f aca="false">(INDEX(CdP,2,i_P+1)-INDEX(CdP,2,i_P+0))/(INDEX(CdP,1,i_P+1)-INDEX(CdP,1,i_P+0))*(t-pas/2-T_ini-INDEX(CdP,1,i_P+0))+INDEX(CdP,2,i_P+0)</f>
        <v>0</v>
      </c>
      <c r="R426" s="450" t="n">
        <f aca="false">Poussee/(g*ISP)</f>
        <v>0</v>
      </c>
      <c r="S426" s="451" t="n">
        <f aca="false">S425-Débit*pas</f>
        <v>8.652</v>
      </c>
      <c r="T426" s="449" t="n">
        <f aca="false">m*g</f>
        <v>84.87612</v>
      </c>
      <c r="U426" s="453" t="n">
        <f aca="false">IF(pos_xz&lt;L_rampe,Poids*COS(Beta),0)</f>
        <v>0</v>
      </c>
      <c r="V426" s="450" t="n">
        <f aca="false">Rho_moyen*(20000-Alt_rampe-pos_z)/(20000+Alt_rampe+pos_z)</f>
        <v>1.13410655462602</v>
      </c>
      <c r="W426" s="449" t="n">
        <f aca="false">1/2*Rho*Sref*Cx*vit_xz^2</f>
        <v>43.2662579559342</v>
      </c>
      <c r="X426" s="438"/>
      <c r="Y426" s="454" t="str">
        <f aca="false">IF(AND(pos_z&lt;=0,K425&gt;0),"Impact balistique","") &amp; IF(AND(H427&lt;0,vit_z&gt;=0),"Apogée","") &amp; IF(AND(Poussee=0,Q425&gt;0),"Fin de propulsion","") &amp; IF(AND(L427&gt;L_rampe,pos_xz&lt;=L_rampe),"Sortie de rampe","")</f>
        <v/>
      </c>
      <c r="Z426" s="455" t="str">
        <f aca="false">IF(ABS(t-T_para)&lt;pas/2,"Para","")</f>
        <v/>
      </c>
      <c r="AA426" s="456" t="str">
        <f aca="false">IF(ABS(t-T_satellite)&lt;pas/2,"Satellite","")</f>
        <v/>
      </c>
      <c r="AB426" s="444"/>
      <c r="AC426" s="452" t="e">
        <f aca="false">IF(ABS(t-ROUND(t,0))&lt;0.001,t,NA())</f>
        <v>#N/A</v>
      </c>
      <c r="AD426" s="457" t="e">
        <f aca="false">IF(ABS(t-ROUND(t,0))&lt;0.001,pos_x,NA())</f>
        <v>#N/A</v>
      </c>
      <c r="AE426" s="458" t="n">
        <f aca="false">IF(t&lt;T_para, pos_z, NA())</f>
        <v>770.575158597618</v>
      </c>
      <c r="AF426" s="444"/>
      <c r="AG426" s="450" t="n">
        <f aca="false">IF(AND(L425&lt;L_rampe,Poussee&lt;Poids*SIN(M425)),0,(-W425+Poussee)/m-Poids*SIN(M425)/m)</f>
        <v>-14.5332815609208</v>
      </c>
      <c r="AH426" s="449" t="n">
        <f aca="false">IF(AND(L425&lt;L_rampe,Poussee&lt;Poids*SIN(M425)), g*SIN(M425), (-W425+Poussee)/m)</f>
        <v>-5.11875796269321</v>
      </c>
    </row>
    <row r="427" customFormat="false" ht="12" hidden="false" customHeight="false" outlineLevel="0" collapsed="false">
      <c r="A427" s="448" t="n">
        <f aca="false">IF(B426+0.01&lt;=T_ini+ROUNDUP(Temps_fin_propu,0), 0.01, IF(K426&gt;0, 0.1, 0.0001))</f>
        <v>0.1</v>
      </c>
      <c r="B427" s="449" t="n">
        <f aca="false">B426+pas</f>
        <v>6.29999999999995</v>
      </c>
      <c r="C427" s="432"/>
      <c r="D427" s="450" t="n">
        <f aca="false">IF(AND(L426&lt;L_rampe,Poussee&lt;Poids*SIN(M426)),0,(-W426+Poussee)/m*COS(M426)-U426/m*SIN(M426))</f>
        <v>-1.41566731131</v>
      </c>
      <c r="E427" s="451" t="n">
        <f aca="false">IF(AND(L426&lt;L_rampe,Poussee&lt;Poids*SIN(M426)),0,(-W426+Poussee)/m*SIN(M426)+U426/m*COS(M426)-Poids/m)</f>
        <v>-14.6061567473992</v>
      </c>
      <c r="F427" s="449" t="n">
        <f aca="false">SQRT(acc_x^2+acc_z^2)</f>
        <v>14.6746014891685</v>
      </c>
      <c r="G427" s="450" t="n">
        <f aca="false">G426+acc_x*pas</f>
        <v>36.9399934464229</v>
      </c>
      <c r="H427" s="451" t="n">
        <f aca="false">H426+acc_z*pas</f>
        <v>124.168459482113</v>
      </c>
      <c r="I427" s="449" t="n">
        <f aca="false">SQRT(vit_x^2+vit_z^2)</f>
        <v>129.546784776708</v>
      </c>
      <c r="J427" s="450" t="n">
        <f aca="false">J426+0.5*(vit_x+G426)*pas*(K426&gt;=0)</f>
        <v>194.304182576352</v>
      </c>
      <c r="K427" s="451" t="n">
        <f aca="false">K426+0.5*(vit_z+H426)*pas</f>
        <v>783.065035329567</v>
      </c>
      <c r="L427" s="449" t="n">
        <f aca="false">SQRT(pos_x^2+pos_z^2)</f>
        <v>806.811604355292</v>
      </c>
      <c r="M427" s="450" t="n">
        <f aca="false">IF(AND(L426&gt;L_rampe,G427&gt;0),ATAN2(G427,H427),$M$4)</f>
        <v>1.28163559739653</v>
      </c>
      <c r="N427" s="449" t="n">
        <f aca="false">DEGREES(Beta)</f>
        <v>73.4323106045493</v>
      </c>
      <c r="O427" s="438"/>
      <c r="P427" s="452" t="n">
        <f aca="false">MATCH(t-pas/2-T_ini,CdP_t)</f>
        <v>23</v>
      </c>
      <c r="Q427" s="449" t="n">
        <f aca="false">(INDEX(CdP,2,i_P+1)-INDEX(CdP,2,i_P+0))/(INDEX(CdP,1,i_P+1)-INDEX(CdP,1,i_P+0))*(t-pas/2-T_ini-INDEX(CdP,1,i_P+0))+INDEX(CdP,2,i_P+0)</f>
        <v>0</v>
      </c>
      <c r="R427" s="450" t="n">
        <f aca="false">Poussee/(g*ISP)</f>
        <v>0</v>
      </c>
      <c r="S427" s="451" t="n">
        <f aca="false">S426-Débit*pas</f>
        <v>8.652</v>
      </c>
      <c r="T427" s="449" t="n">
        <f aca="false">m*g</f>
        <v>84.87612</v>
      </c>
      <c r="U427" s="453" t="n">
        <f aca="false">IF(pos_xz&lt;L_rampe,Poids*COS(Beta),0)</f>
        <v>0</v>
      </c>
      <c r="V427" s="450" t="n">
        <f aca="false">Rho_moyen*(20000-Alt_rampe-pos_z)/(20000+Alt_rampe+pos_z)</f>
        <v>1.1326888161926</v>
      </c>
      <c r="W427" s="449" t="n">
        <f aca="false">1/2*Rho*Sref*Cx*vit_xz^2</f>
        <v>42.2668737678625</v>
      </c>
      <c r="X427" s="438"/>
      <c r="Y427" s="454" t="str">
        <f aca="false">IF(AND(pos_z&lt;=0,K426&gt;0),"Impact balistique","") &amp; IF(AND(H428&lt;0,vit_z&gt;=0),"Apogée","") &amp; IF(AND(Poussee=0,Q426&gt;0),"Fin de propulsion","") &amp; IF(AND(L428&gt;L_rampe,pos_xz&lt;=L_rampe),"Sortie de rampe","")</f>
        <v/>
      </c>
      <c r="Z427" s="455" t="str">
        <f aca="false">IF(ABS(t-T_para)&lt;pas/2,"Para","")</f>
        <v/>
      </c>
      <c r="AA427" s="456" t="str">
        <f aca="false">IF(ABS(t-T_satellite)&lt;pas/2,"Satellite","")</f>
        <v/>
      </c>
      <c r="AB427" s="444"/>
      <c r="AC427" s="452" t="e">
        <f aca="false">IF(ABS(t-ROUND(t,0))&lt;0.001,t,NA())</f>
        <v>#N/A</v>
      </c>
      <c r="AD427" s="457" t="e">
        <f aca="false">IF(ABS(t-ROUND(t,0))&lt;0.001,pos_x,NA())</f>
        <v>#N/A</v>
      </c>
      <c r="AE427" s="458" t="n">
        <f aca="false">IF(t&lt;T_para, pos_z, NA())</f>
        <v>783.065035329567</v>
      </c>
      <c r="AF427" s="444"/>
      <c r="AG427" s="450" t="n">
        <f aca="false">IF(AND(L426&lt;L_rampe,Poussee&lt;Poids*SIN(M426)),0,(-W426+Poussee)/m-Poids*SIN(M426)/m)</f>
        <v>-14.4094217797093</v>
      </c>
      <c r="AH427" s="449" t="n">
        <f aca="false">IF(AND(L426&lt;L_rampe,Poussee&lt;Poids*SIN(M426)), g*SIN(M426), (-W426+Poussee)/m)</f>
        <v>-5.00072329587774</v>
      </c>
    </row>
    <row r="428" customFormat="false" ht="12" hidden="false" customHeight="false" outlineLevel="0" collapsed="false">
      <c r="A428" s="448" t="n">
        <f aca="false">IF(B427+0.01&lt;=T_ini+ROUNDUP(Temps_fin_propu,0), 0.01, IF(K427&gt;0, 0.1, 0.0001))</f>
        <v>0.1</v>
      </c>
      <c r="B428" s="449" t="n">
        <f aca="false">B427+pas</f>
        <v>6.39999999999995</v>
      </c>
      <c r="C428" s="432"/>
      <c r="D428" s="450" t="n">
        <f aca="false">IF(AND(L427&lt;L_rampe,Poussee&lt;Poids*SIN(M427)),0,(-W427+Poussee)/m*COS(M427)-U427/m*SIN(M427))</f>
        <v>-1.39300858001675</v>
      </c>
      <c r="E428" s="451" t="n">
        <f aca="false">IF(AND(L427&lt;L_rampe,Poussee&lt;Poids*SIN(M427)),0,(-W427+Poussee)/m*SIN(M427)+U427/m*COS(M427)-Poids/m)</f>
        <v>-14.4923974042365</v>
      </c>
      <c r="F428" s="449" t="n">
        <f aca="false">SQRT(acc_x^2+acc_z^2)</f>
        <v>14.5591914413652</v>
      </c>
      <c r="G428" s="450" t="n">
        <f aca="false">G427+acc_x*pas</f>
        <v>36.8006925884212</v>
      </c>
      <c r="H428" s="451" t="n">
        <f aca="false">H427+acc_z*pas</f>
        <v>122.719219741689</v>
      </c>
      <c r="I428" s="449" t="n">
        <f aca="false">SQRT(vit_x^2+vit_z^2)</f>
        <v>128.118296386568</v>
      </c>
      <c r="J428" s="450" t="n">
        <f aca="false">J427+0.5*(vit_x+G427)*pas*(K427&gt;=0)</f>
        <v>197.991216878094</v>
      </c>
      <c r="K428" s="451" t="n">
        <f aca="false">K427+0.5*(vit_z+H427)*pas</f>
        <v>795.409419290757</v>
      </c>
      <c r="L428" s="449" t="n">
        <f aca="false">SQRT(pos_x^2+pos_z^2)</f>
        <v>819.680831944561</v>
      </c>
      <c r="M428" s="450" t="n">
        <f aca="false">IF(AND(L427&gt;L_rampe,G428&gt;0),ATAN2(G428,H428),$M$4)</f>
        <v>1.27945222219842</v>
      </c>
      <c r="N428" s="449" t="n">
        <f aca="false">DEGREES(Beta)</f>
        <v>73.3072124206038</v>
      </c>
      <c r="O428" s="438"/>
      <c r="P428" s="452" t="n">
        <f aca="false">MATCH(t-pas/2-T_ini,CdP_t)</f>
        <v>23</v>
      </c>
      <c r="Q428" s="449" t="n">
        <f aca="false">(INDEX(CdP,2,i_P+1)-INDEX(CdP,2,i_P+0))/(INDEX(CdP,1,i_P+1)-INDEX(CdP,1,i_P+0))*(t-pas/2-T_ini-INDEX(CdP,1,i_P+0))+INDEX(CdP,2,i_P+0)</f>
        <v>0</v>
      </c>
      <c r="R428" s="450" t="n">
        <f aca="false">Poussee/(g*ISP)</f>
        <v>0</v>
      </c>
      <c r="S428" s="451" t="n">
        <f aca="false">S427-Débit*pas</f>
        <v>8.652</v>
      </c>
      <c r="T428" s="449" t="n">
        <f aca="false">m*g</f>
        <v>84.87612</v>
      </c>
      <c r="U428" s="453" t="n">
        <f aca="false">IF(pos_xz&lt;L_rampe,Poids*COS(Beta),0)</f>
        <v>0</v>
      </c>
      <c r="V428" s="450" t="n">
        <f aca="false">Rho_moyen*(20000-Alt_rampe-pos_z)/(20000+Alt_rampe+pos_z)</f>
        <v>1.13128926615628</v>
      </c>
      <c r="W428" s="449" t="n">
        <f aca="false">1/2*Rho*Sref*Cx*vit_xz^2</f>
        <v>41.2887955146471</v>
      </c>
      <c r="X428" s="438"/>
      <c r="Y428" s="454" t="str">
        <f aca="false">IF(AND(pos_z&lt;=0,K427&gt;0),"Impact balistique","") &amp; IF(AND(H429&lt;0,vit_z&gt;=0),"Apogée","") &amp; IF(AND(Poussee=0,Q427&gt;0),"Fin de propulsion","") &amp; IF(AND(L429&gt;L_rampe,pos_xz&lt;=L_rampe),"Sortie de rampe","")</f>
        <v/>
      </c>
      <c r="Z428" s="455" t="str">
        <f aca="false">IF(ABS(t-T_para)&lt;pas/2,"Para","")</f>
        <v/>
      </c>
      <c r="AA428" s="456" t="str">
        <f aca="false">IF(ABS(t-T_satellite)&lt;pas/2,"Satellite","")</f>
        <v/>
      </c>
      <c r="AB428" s="444"/>
      <c r="AC428" s="452" t="e">
        <f aca="false">IF(ABS(t-ROUND(t,0))&lt;0.001,t,NA())</f>
        <v>#N/A</v>
      </c>
      <c r="AD428" s="457" t="e">
        <f aca="false">IF(ABS(t-ROUND(t,0))&lt;0.001,pos_x,NA())</f>
        <v>#N/A</v>
      </c>
      <c r="AE428" s="458" t="n">
        <f aca="false">IF(t&lt;T_para, pos_z, NA())</f>
        <v>795.409419290757</v>
      </c>
      <c r="AF428" s="444"/>
      <c r="AG428" s="450" t="n">
        <f aca="false">IF(AND(L427&lt;L_rampe,Poussee&lt;Poids*SIN(M427)),0,(-W427+Poussee)/m-Poids*SIN(M427)/m)</f>
        <v>-14.2879376813066</v>
      </c>
      <c r="AH428" s="449" t="n">
        <f aca="false">IF(AND(L427&lt;L_rampe,Poussee&lt;Poids*SIN(M427)), g*SIN(M427), (-W427+Poussee)/m)</f>
        <v>-4.88521425888379</v>
      </c>
    </row>
    <row r="429" customFormat="false" ht="12" hidden="false" customHeight="false" outlineLevel="0" collapsed="false">
      <c r="A429" s="448" t="n">
        <f aca="false">IF(B428+0.01&lt;=T_ini+ROUNDUP(Temps_fin_propu,0), 0.01, IF(K428&gt;0, 0.1, 0.0001))</f>
        <v>0.1</v>
      </c>
      <c r="B429" s="449" t="n">
        <f aca="false">B428+pas</f>
        <v>6.49999999999995</v>
      </c>
      <c r="C429" s="432"/>
      <c r="D429" s="450" t="n">
        <f aca="false">IF(AND(L428&lt;L_rampe,Poussee&lt;Poids*SIN(M428)),0,(-W428+Poussee)/m*COS(M428)-U428/m*SIN(M428))</f>
        <v>-1.37075721347967</v>
      </c>
      <c r="E429" s="451" t="n">
        <f aca="false">IF(AND(L428&lt;L_rampe,Poussee&lt;Poids*SIN(M428)),0,(-W428+Poussee)/m*SIN(M428)+U428/m*COS(M428)-Poids/m)</f>
        <v>-14.3810622236073</v>
      </c>
      <c r="F429" s="449" t="n">
        <f aca="false">SQRT(acc_x^2+acc_z^2)</f>
        <v>14.4462426262877</v>
      </c>
      <c r="G429" s="450" t="n">
        <f aca="false">G428+acc_x*pas</f>
        <v>36.6636168670732</v>
      </c>
      <c r="H429" s="451" t="n">
        <f aca="false">H428+acc_z*pas</f>
        <v>121.281113519328</v>
      </c>
      <c r="I429" s="449" t="n">
        <f aca="false">SQRT(vit_x^2+vit_z^2)</f>
        <v>126.701733604019</v>
      </c>
      <c r="J429" s="450" t="n">
        <f aca="false">J428+0.5*(vit_x+G428)*pas*(K428&gt;=0)</f>
        <v>201.664432350869</v>
      </c>
      <c r="K429" s="451" t="n">
        <f aca="false">K428+0.5*(vit_z+H428)*pas</f>
        <v>807.609435953807</v>
      </c>
      <c r="L429" s="449" t="n">
        <f aca="false">SQRT(pos_x^2+pos_z^2)</f>
        <v>832.407078488059</v>
      </c>
      <c r="M429" s="450" t="n">
        <f aca="false">IF(AND(L428&gt;L_rampe,G429&gt;0),ATAN2(G429,H429),$M$4)</f>
        <v>1.27722823826622</v>
      </c>
      <c r="N429" s="449" t="n">
        <f aca="false">DEGREES(Beta)</f>
        <v>73.1797875275838</v>
      </c>
      <c r="O429" s="438"/>
      <c r="P429" s="452" t="n">
        <f aca="false">MATCH(t-pas/2-T_ini,CdP_t)</f>
        <v>23</v>
      </c>
      <c r="Q429" s="449" t="n">
        <f aca="false">(INDEX(CdP,2,i_P+1)-INDEX(CdP,2,i_P+0))/(INDEX(CdP,1,i_P+1)-INDEX(CdP,1,i_P+0))*(t-pas/2-T_ini-INDEX(CdP,1,i_P+0))+INDEX(CdP,2,i_P+0)</f>
        <v>0</v>
      </c>
      <c r="R429" s="450" t="n">
        <f aca="false">Poussee/(g*ISP)</f>
        <v>0</v>
      </c>
      <c r="S429" s="451" t="n">
        <f aca="false">S428-Débit*pas</f>
        <v>8.652</v>
      </c>
      <c r="T429" s="449" t="n">
        <f aca="false">m*g</f>
        <v>84.87612</v>
      </c>
      <c r="U429" s="453" t="n">
        <f aca="false">IF(pos_xz&lt;L_rampe,Poids*COS(Beta),0)</f>
        <v>0</v>
      </c>
      <c r="V429" s="450" t="n">
        <f aca="false">Rho_moyen*(20000-Alt_rampe-pos_z)/(20000+Alt_rampe+pos_z)</f>
        <v>1.12990771541166</v>
      </c>
      <c r="W429" s="449" t="n">
        <f aca="false">1/2*Rho*Sref*Cx*vit_xz^2</f>
        <v>40.3314954512633</v>
      </c>
      <c r="X429" s="438"/>
      <c r="Y429" s="454" t="str">
        <f aca="false">IF(AND(pos_z&lt;=0,K428&gt;0),"Impact balistique","") &amp; IF(AND(H430&lt;0,vit_z&gt;=0),"Apogée","") &amp; IF(AND(Poussee=0,Q428&gt;0),"Fin de propulsion","") &amp; IF(AND(L430&gt;L_rampe,pos_xz&lt;=L_rampe),"Sortie de rampe","")</f>
        <v/>
      </c>
      <c r="Z429" s="455" t="str">
        <f aca="false">IF(ABS(t-T_para)&lt;pas/2,"Para","")</f>
        <v/>
      </c>
      <c r="AA429" s="456" t="str">
        <f aca="false">IF(ABS(t-T_satellite)&lt;pas/2,"Satellite","")</f>
        <v/>
      </c>
      <c r="AB429" s="444"/>
      <c r="AC429" s="452" t="e">
        <f aca="false">IF(ABS(t-ROUND(t,0))&lt;0.001,t,NA())</f>
        <v>#N/A</v>
      </c>
      <c r="AD429" s="457" t="e">
        <f aca="false">IF(ABS(t-ROUND(t,0))&lt;0.001,pos_x,NA())</f>
        <v>#N/A</v>
      </c>
      <c r="AE429" s="458" t="n">
        <f aca="false">IF(t&lt;T_para, pos_z, NA())</f>
        <v>807.609435953807</v>
      </c>
      <c r="AF429" s="444"/>
      <c r="AG429" s="450" t="n">
        <f aca="false">IF(AND(L428&lt;L_rampe,Poussee&lt;Poids*SIN(M428)),0,(-W428+Poussee)/m-Poids*SIN(M428)/m)</f>
        <v>-14.1687612242923</v>
      </c>
      <c r="AH429" s="449" t="n">
        <f aca="false">IF(AND(L428&lt;L_rampe,Poussee&lt;Poids*SIN(M428)), g*SIN(M428), (-W428+Poussee)/m)</f>
        <v>-4.77216776637161</v>
      </c>
    </row>
    <row r="430" customFormat="false" ht="12" hidden="false" customHeight="false" outlineLevel="0" collapsed="false">
      <c r="A430" s="448" t="n">
        <f aca="false">IF(B429+0.01&lt;=T_ini+ROUNDUP(Temps_fin_propu,0), 0.01, IF(K429&gt;0, 0.1, 0.0001))</f>
        <v>0.1</v>
      </c>
      <c r="B430" s="449" t="n">
        <f aca="false">B429+pas</f>
        <v>6.59999999999995</v>
      </c>
      <c r="C430" s="432"/>
      <c r="D430" s="450" t="n">
        <f aca="false">IF(AND(L429&lt;L_rampe,Poussee&lt;Poids*SIN(M429)),0,(-W429+Poussee)/m*COS(M429)-U429/m*SIN(M429))</f>
        <v>-1.34890251207794</v>
      </c>
      <c r="E430" s="451" t="n">
        <f aca="false">IF(AND(L429&lt;L_rampe,Poussee&lt;Poids*SIN(M429)),0,(-W429+Poussee)/m*SIN(M429)+U429/m*COS(M429)-Poids/m)</f>
        <v>-14.2720911048401</v>
      </c>
      <c r="F430" s="449" t="n">
        <f aca="false">SQRT(acc_x^2+acc_z^2)</f>
        <v>14.3356940010571</v>
      </c>
      <c r="G430" s="450" t="n">
        <f aca="false">G429+acc_x*pas</f>
        <v>36.5287266158654</v>
      </c>
      <c r="H430" s="451" t="n">
        <f aca="false">H429+acc_z*pas</f>
        <v>119.853904408844</v>
      </c>
      <c r="I430" s="449" t="n">
        <f aca="false">SQRT(vit_x^2+vit_z^2)</f>
        <v>125.296872547646</v>
      </c>
      <c r="J430" s="450" t="n">
        <f aca="false">J429+0.5*(vit_x+G429)*pas*(K429&gt;=0)</f>
        <v>205.324049525016</v>
      </c>
      <c r="K430" s="451" t="n">
        <f aca="false">K429+0.5*(vit_z+H429)*pas</f>
        <v>819.666186850216</v>
      </c>
      <c r="L430" s="449" t="n">
        <f aca="false">SQRT(pos_x^2+pos_z^2)</f>
        <v>844.991492962458</v>
      </c>
      <c r="M430" s="450" t="n">
        <f aca="false">IF(AND(L429&gt;L_rampe,G430&gt;0),ATAN2(G430,H430),$M$4)</f>
        <v>1.27496264525334</v>
      </c>
      <c r="N430" s="449" t="n">
        <f aca="false">DEGREES(Beta)</f>
        <v>73.0499786098514</v>
      </c>
      <c r="O430" s="438"/>
      <c r="P430" s="452" t="n">
        <f aca="false">MATCH(t-pas/2-T_ini,CdP_t)</f>
        <v>23</v>
      </c>
      <c r="Q430" s="449" t="n">
        <f aca="false">(INDEX(CdP,2,i_P+1)-INDEX(CdP,2,i_P+0))/(INDEX(CdP,1,i_P+1)-INDEX(CdP,1,i_P+0))*(t-pas/2-T_ini-INDEX(CdP,1,i_P+0))+INDEX(CdP,2,i_P+0)</f>
        <v>0</v>
      </c>
      <c r="R430" s="450" t="n">
        <f aca="false">Poussee/(g*ISP)</f>
        <v>0</v>
      </c>
      <c r="S430" s="451" t="n">
        <f aca="false">S429-Débit*pas</f>
        <v>8.652</v>
      </c>
      <c r="T430" s="449" t="n">
        <f aca="false">m*g</f>
        <v>84.87612</v>
      </c>
      <c r="U430" s="453" t="n">
        <f aca="false">IF(pos_xz&lt;L_rampe,Poids*COS(Beta),0)</f>
        <v>0</v>
      </c>
      <c r="V430" s="450" t="n">
        <f aca="false">Rho_moyen*(20000-Alt_rampe-pos_z)/(20000+Alt_rampe+pos_z)</f>
        <v>1.12854397905518</v>
      </c>
      <c r="W430" s="449" t="n">
        <f aca="false">1/2*Rho*Sref*Cx*vit_xz^2</f>
        <v>39.3944631999773</v>
      </c>
      <c r="X430" s="438"/>
      <c r="Y430" s="454" t="str">
        <f aca="false">IF(AND(pos_z&lt;=0,K429&gt;0),"Impact balistique","") &amp; IF(AND(H431&lt;0,vit_z&gt;=0),"Apogée","") &amp; IF(AND(Poussee=0,Q429&gt;0),"Fin de propulsion","") &amp; IF(AND(L431&gt;L_rampe,pos_xz&lt;=L_rampe),"Sortie de rampe","")</f>
        <v/>
      </c>
      <c r="Z430" s="455" t="str">
        <f aca="false">IF(ABS(t-T_para)&lt;pas/2,"Para","")</f>
        <v/>
      </c>
      <c r="AA430" s="456" t="str">
        <f aca="false">IF(ABS(t-T_satellite)&lt;pas/2,"Satellite","")</f>
        <v/>
      </c>
      <c r="AB430" s="444"/>
      <c r="AC430" s="452" t="e">
        <f aca="false">IF(ABS(t-ROUND(t,0))&lt;0.001,t,NA())</f>
        <v>#N/A</v>
      </c>
      <c r="AD430" s="457" t="e">
        <f aca="false">IF(ABS(t-ROUND(t,0))&lt;0.001,pos_x,NA())</f>
        <v>#N/A</v>
      </c>
      <c r="AE430" s="458" t="n">
        <f aca="false">IF(t&lt;T_para, pos_z, NA())</f>
        <v>819.666186850216</v>
      </c>
      <c r="AF430" s="444"/>
      <c r="AG430" s="450" t="n">
        <f aca="false">IF(AND(L429&lt;L_rampe,Poussee&lt;Poids*SIN(M429)),0,(-W429+Poussee)/m-Poids*SIN(M429)/m)</f>
        <v>-14.0518262512684</v>
      </c>
      <c r="AH430" s="449" t="n">
        <f aca="false">IF(AND(L429&lt;L_rampe,Poussee&lt;Poids*SIN(M429)), g*SIN(M429), (-W429+Poussee)/m)</f>
        <v>-4.66152282145901</v>
      </c>
    </row>
    <row r="431" customFormat="false" ht="12" hidden="false" customHeight="false" outlineLevel="0" collapsed="false">
      <c r="A431" s="448" t="n">
        <f aca="false">IF(B430+0.01&lt;=T_ini+ROUNDUP(Temps_fin_propu,0), 0.01, IF(K430&gt;0, 0.1, 0.0001))</f>
        <v>0.1</v>
      </c>
      <c r="B431" s="449" t="n">
        <f aca="false">B430+pas</f>
        <v>6.69999999999995</v>
      </c>
      <c r="C431" s="432"/>
      <c r="D431" s="450" t="n">
        <f aca="false">IF(AND(L430&lt;L_rampe,Poussee&lt;Poids*SIN(M430)),0,(-W430+Poussee)/m*COS(M430)-U430/m*SIN(M430))</f>
        <v>-1.32743412580598</v>
      </c>
      <c r="E431" s="451" t="n">
        <f aca="false">IF(AND(L430&lt;L_rampe,Poussee&lt;Poids*SIN(M430)),0,(-W430+Poussee)/m*SIN(M430)+U430/m*COS(M430)-Poids/m)</f>
        <v>-14.1654259226295</v>
      </c>
      <c r="F431" s="449" t="n">
        <f aca="false">SQRT(acc_x^2+acc_z^2)</f>
        <v>14.2274865288237</v>
      </c>
      <c r="G431" s="450" t="n">
        <f aca="false">G430+acc_x*pas</f>
        <v>36.3959832032848</v>
      </c>
      <c r="H431" s="451" t="n">
        <f aca="false">H430+acc_z*pas</f>
        <v>118.437361816581</v>
      </c>
      <c r="I431" s="449" t="n">
        <f aca="false">SQRT(vit_x^2+vit_z^2)</f>
        <v>123.903495783636</v>
      </c>
      <c r="J431" s="450" t="n">
        <f aca="false">J430+0.5*(vit_x+G430)*pas*(K430&gt;=0)</f>
        <v>208.970285015973</v>
      </c>
      <c r="K431" s="451" t="n">
        <f aca="false">K430+0.5*(vit_z+H430)*pas</f>
        <v>831.580750161487</v>
      </c>
      <c r="L431" s="449" t="n">
        <f aca="false">SQRT(pos_x^2+pos_z^2)</f>
        <v>857.43520108449</v>
      </c>
      <c r="M431" s="450" t="n">
        <f aca="false">IF(AND(L430&gt;L_rampe,G431&gt;0),ATAN2(G431,H431),$M$4)</f>
        <v>1.27265440965024</v>
      </c>
      <c r="N431" s="449" t="n">
        <f aca="false">DEGREES(Beta)</f>
        <v>72.9177264516719</v>
      </c>
      <c r="O431" s="438"/>
      <c r="P431" s="452" t="n">
        <f aca="false">MATCH(t-pas/2-T_ini,CdP_t)</f>
        <v>23</v>
      </c>
      <c r="Q431" s="449" t="n">
        <f aca="false">(INDEX(CdP,2,i_P+1)-INDEX(CdP,2,i_P+0))/(INDEX(CdP,1,i_P+1)-INDEX(CdP,1,i_P+0))*(t-pas/2-T_ini-INDEX(CdP,1,i_P+0))+INDEX(CdP,2,i_P+0)</f>
        <v>0</v>
      </c>
      <c r="R431" s="450" t="n">
        <f aca="false">Poussee/(g*ISP)</f>
        <v>0</v>
      </c>
      <c r="S431" s="451" t="n">
        <f aca="false">S430-Débit*pas</f>
        <v>8.652</v>
      </c>
      <c r="T431" s="449" t="n">
        <f aca="false">m*g</f>
        <v>84.87612</v>
      </c>
      <c r="U431" s="453" t="n">
        <f aca="false">IF(pos_xz&lt;L_rampe,Poids*COS(Beta),0)</f>
        <v>0</v>
      </c>
      <c r="V431" s="450" t="n">
        <f aca="false">Rho_moyen*(20000-Alt_rampe-pos_z)/(20000+Alt_rampe+pos_z)</f>
        <v>1.12719787627591</v>
      </c>
      <c r="W431" s="449" t="n">
        <f aca="false">1/2*Rho*Sref*Cx*vit_xz^2</f>
        <v>38.4772050803513</v>
      </c>
      <c r="X431" s="438"/>
      <c r="Y431" s="454" t="str">
        <f aca="false">IF(AND(pos_z&lt;=0,K430&gt;0),"Impact balistique","") &amp; IF(AND(H432&lt;0,vit_z&gt;=0),"Apogée","") &amp; IF(AND(Poussee=0,Q430&gt;0),"Fin de propulsion","") &amp; IF(AND(L432&gt;L_rampe,pos_xz&lt;=L_rampe),"Sortie de rampe","")</f>
        <v/>
      </c>
      <c r="Z431" s="455" t="str">
        <f aca="false">IF(ABS(t-T_para)&lt;pas/2,"Para","")</f>
        <v/>
      </c>
      <c r="AA431" s="456" t="str">
        <f aca="false">IF(ABS(t-T_satellite)&lt;pas/2,"Satellite","")</f>
        <v/>
      </c>
      <c r="AB431" s="444"/>
      <c r="AC431" s="452" t="e">
        <f aca="false">IF(ABS(t-ROUND(t,0))&lt;0.001,t,NA())</f>
        <v>#N/A</v>
      </c>
      <c r="AD431" s="457" t="e">
        <f aca="false">IF(ABS(t-ROUND(t,0))&lt;0.001,pos_x,NA())</f>
        <v>#N/A</v>
      </c>
      <c r="AE431" s="458" t="n">
        <f aca="false">IF(t&lt;T_para, pos_z, NA())</f>
        <v>831.580750161487</v>
      </c>
      <c r="AF431" s="444"/>
      <c r="AG431" s="450" t="n">
        <f aca="false">IF(AND(L430&lt;L_rampe,Poussee&lt;Poids*SIN(M430)),0,(-W430+Poussee)/m-Poids*SIN(M430)/m)</f>
        <v>-13.9370683977726</v>
      </c>
      <c r="AH431" s="449" t="n">
        <f aca="false">IF(AND(L430&lt;L_rampe,Poussee&lt;Poids*SIN(M430)), g*SIN(M430), (-W430+Poussee)/m)</f>
        <v>-4.55322043457897</v>
      </c>
    </row>
    <row r="432" customFormat="false" ht="12" hidden="false" customHeight="false" outlineLevel="0" collapsed="false">
      <c r="A432" s="448" t="n">
        <f aca="false">IF(B431+0.01&lt;=T_ini+ROUNDUP(Temps_fin_propu,0), 0.01, IF(K431&gt;0, 0.1, 0.0001))</f>
        <v>0.1</v>
      </c>
      <c r="B432" s="449" t="n">
        <f aca="false">B431+pas</f>
        <v>6.79999999999995</v>
      </c>
      <c r="C432" s="432"/>
      <c r="D432" s="450" t="n">
        <f aca="false">IF(AND(L431&lt;L_rampe,Poussee&lt;Poids*SIN(M431)),0,(-W431+Poussee)/m*COS(M431)-U431/m*SIN(M431))</f>
        <v>-1.30634204095388</v>
      </c>
      <c r="E432" s="451" t="n">
        <f aca="false">IF(AND(L431&lt;L_rampe,Poussee&lt;Poids*SIN(M431)),0,(-W431+Poussee)/m*SIN(M431)+U431/m*COS(M431)-Poids/m)</f>
        <v>-14.0610104507</v>
      </c>
      <c r="F432" s="449" t="n">
        <f aca="false">SQRT(acc_x^2+acc_z^2)</f>
        <v>14.1215631012526</v>
      </c>
      <c r="G432" s="450" t="n">
        <f aca="false">G431+acc_x*pas</f>
        <v>36.2653489991894</v>
      </c>
      <c r="H432" s="451" t="n">
        <f aca="false">H431+acc_z*pas</f>
        <v>117.031260771511</v>
      </c>
      <c r="I432" s="449" t="n">
        <f aca="false">SQRT(vit_x^2+vit_z^2)</f>
        <v>122.521392155829</v>
      </c>
      <c r="J432" s="450" t="n">
        <f aca="false">J431+0.5*(vit_x+G431)*pas*(K431&gt;=0)</f>
        <v>212.603351626097</v>
      </c>
      <c r="K432" s="451" t="n">
        <f aca="false">K431+0.5*(vit_z+H431)*pas</f>
        <v>843.354181290892</v>
      </c>
      <c r="L432" s="449" t="n">
        <f aca="false">SQRT(pos_x^2+pos_z^2)</f>
        <v>869.739305897739</v>
      </c>
      <c r="M432" s="450" t="n">
        <f aca="false">IF(AND(L431&gt;L_rampe,G432&gt;0),ATAN2(G432,H432),$M$4)</f>
        <v>1.27030246346082</v>
      </c>
      <c r="N432" s="449" t="n">
        <f aca="false">DEGREES(Beta)</f>
        <v>72.7829698613763</v>
      </c>
      <c r="O432" s="438"/>
      <c r="P432" s="452" t="n">
        <f aca="false">MATCH(t-pas/2-T_ini,CdP_t)</f>
        <v>23</v>
      </c>
      <c r="Q432" s="449" t="n">
        <f aca="false">(INDEX(CdP,2,i_P+1)-INDEX(CdP,2,i_P+0))/(INDEX(CdP,1,i_P+1)-INDEX(CdP,1,i_P+0))*(t-pas/2-T_ini-INDEX(CdP,1,i_P+0))+INDEX(CdP,2,i_P+0)</f>
        <v>0</v>
      </c>
      <c r="R432" s="450" t="n">
        <f aca="false">Poussee/(g*ISP)</f>
        <v>0</v>
      </c>
      <c r="S432" s="451" t="n">
        <f aca="false">S431-Débit*pas</f>
        <v>8.652</v>
      </c>
      <c r="T432" s="449" t="n">
        <f aca="false">m*g</f>
        <v>84.87612</v>
      </c>
      <c r="U432" s="453" t="n">
        <f aca="false">IF(pos_xz&lt;L_rampe,Poids*COS(Beta),0)</f>
        <v>0</v>
      </c>
      <c r="V432" s="450" t="n">
        <f aca="false">Rho_moyen*(20000-Alt_rampe-pos_z)/(20000+Alt_rampe+pos_z)</f>
        <v>1.12586923025003</v>
      </c>
      <c r="W432" s="449" t="n">
        <f aca="false">1/2*Rho*Sref*Cx*vit_xz^2</f>
        <v>37.5792434696376</v>
      </c>
      <c r="X432" s="438"/>
      <c r="Y432" s="454" t="str">
        <f aca="false">IF(AND(pos_z&lt;=0,K431&gt;0),"Impact balistique","") &amp; IF(AND(H433&lt;0,vit_z&gt;=0),"Apogée","") &amp; IF(AND(Poussee=0,Q431&gt;0),"Fin de propulsion","") &amp; IF(AND(L433&gt;L_rampe,pos_xz&lt;=L_rampe),"Sortie de rampe","")</f>
        <v/>
      </c>
      <c r="Z432" s="455" t="str">
        <f aca="false">IF(ABS(t-T_para)&lt;pas/2,"Para","")</f>
        <v/>
      </c>
      <c r="AA432" s="456" t="str">
        <f aca="false">IF(ABS(t-T_satellite)&lt;pas/2,"Satellite","")</f>
        <v/>
      </c>
      <c r="AB432" s="444"/>
      <c r="AC432" s="452" t="e">
        <f aca="false">IF(ABS(t-ROUND(t,0))&lt;0.001,t,NA())</f>
        <v>#N/A</v>
      </c>
      <c r="AD432" s="457" t="e">
        <f aca="false">IF(ABS(t-ROUND(t,0))&lt;0.001,pos_x,NA())</f>
        <v>#N/A</v>
      </c>
      <c r="AE432" s="458" t="n">
        <f aca="false">IF(t&lt;T_para, pos_z, NA())</f>
        <v>843.354181290892</v>
      </c>
      <c r="AF432" s="444"/>
      <c r="AG432" s="450" t="n">
        <f aca="false">IF(AND(L431&lt;L_rampe,Poussee&lt;Poids*SIN(M431)),0,(-W431+Poussee)/m-Poids*SIN(M431)/m)</f>
        <v>-13.8244250043412</v>
      </c>
      <c r="AH432" s="449" t="n">
        <f aca="false">IF(AND(L431&lt;L_rampe,Poussee&lt;Poids*SIN(M431)), g*SIN(M431), (-W431+Poussee)/m)</f>
        <v>-4.44720354604153</v>
      </c>
    </row>
    <row r="433" customFormat="false" ht="12" hidden="false" customHeight="false" outlineLevel="0" collapsed="false">
      <c r="A433" s="448" t="n">
        <f aca="false">IF(B432+0.01&lt;=T_ini+ROUNDUP(Temps_fin_propu,0), 0.01, IF(K432&gt;0, 0.1, 0.0001))</f>
        <v>0.1</v>
      </c>
      <c r="B433" s="449" t="n">
        <f aca="false">B432+pas</f>
        <v>6.89999999999995</v>
      </c>
      <c r="C433" s="432"/>
      <c r="D433" s="450" t="n">
        <f aca="false">IF(AND(L432&lt;L_rampe,Poussee&lt;Poids*SIN(M432)),0,(-W432+Poussee)/m*COS(M432)-U432/m*SIN(M432))</f>
        <v>-1.28561656740606</v>
      </c>
      <c r="E433" s="451" t="n">
        <f aca="false">IF(AND(L432&lt;L_rampe,Poussee&lt;Poids*SIN(M432)),0,(-W432+Poussee)/m*SIN(M432)+U432/m*COS(M432)-Poids/m)</f>
        <v>-13.9587902889239</v>
      </c>
      <c r="F433" s="449" t="n">
        <f aca="false">SQRT(acc_x^2+acc_z^2)</f>
        <v>14.0178684645186</v>
      </c>
      <c r="G433" s="450" t="n">
        <f aca="false">G432+acc_x*pas</f>
        <v>36.1367873424488</v>
      </c>
      <c r="H433" s="451" t="n">
        <f aca="false">H432+acc_z*pas</f>
        <v>115.635381742619</v>
      </c>
      <c r="I433" s="449" t="n">
        <f aca="false">SQRT(vit_x^2+vit_z^2)</f>
        <v>121.150356624298</v>
      </c>
      <c r="J433" s="450" t="n">
        <f aca="false">J432+0.5*(vit_x+G432)*pas*(K432&gt;=0)</f>
        <v>216.223458443179</v>
      </c>
      <c r="K433" s="451" t="n">
        <f aca="false">K432+0.5*(vit_z+H432)*pas</f>
        <v>854.987513416598</v>
      </c>
      <c r="L433" s="449" t="n">
        <f aca="false">SQRT(pos_x^2+pos_z^2)</f>
        <v>881.904888340816</v>
      </c>
      <c r="M433" s="450" t="n">
        <f aca="false">IF(AND(L432&gt;L_rampe,G433&gt;0),ATAN2(G433,H433),$M$4)</f>
        <v>1.26790570281718</v>
      </c>
      <c r="N433" s="449" t="n">
        <f aca="false">DEGREES(Beta)</f>
        <v>72.645645591993</v>
      </c>
      <c r="O433" s="438"/>
      <c r="P433" s="452" t="n">
        <f aca="false">MATCH(t-pas/2-T_ini,CdP_t)</f>
        <v>23</v>
      </c>
      <c r="Q433" s="449" t="n">
        <f aca="false">(INDEX(CdP,2,i_P+1)-INDEX(CdP,2,i_P+0))/(INDEX(CdP,1,i_P+1)-INDEX(CdP,1,i_P+0))*(t-pas/2-T_ini-INDEX(CdP,1,i_P+0))+INDEX(CdP,2,i_P+0)</f>
        <v>0</v>
      </c>
      <c r="R433" s="450" t="n">
        <f aca="false">Poussee/(g*ISP)</f>
        <v>0</v>
      </c>
      <c r="S433" s="451" t="n">
        <f aca="false">S432-Débit*pas</f>
        <v>8.652</v>
      </c>
      <c r="T433" s="449" t="n">
        <f aca="false">m*g</f>
        <v>84.87612</v>
      </c>
      <c r="U433" s="453" t="n">
        <f aca="false">IF(pos_xz&lt;L_rampe,Poids*COS(Beta),0)</f>
        <v>0</v>
      </c>
      <c r="V433" s="450" t="n">
        <f aca="false">Rho_moyen*(20000-Alt_rampe-pos_z)/(20000+Alt_rampe+pos_z)</f>
        <v>1.12455786803885</v>
      </c>
      <c r="W433" s="449" t="n">
        <f aca="false">1/2*Rho*Sref*Cx*vit_xz^2</f>
        <v>36.7001161919955</v>
      </c>
      <c r="X433" s="438"/>
      <c r="Y433" s="454" t="str">
        <f aca="false">IF(AND(pos_z&lt;=0,K432&gt;0),"Impact balistique","") &amp; IF(AND(H434&lt;0,vit_z&gt;=0),"Apogée","") &amp; IF(AND(Poussee=0,Q432&gt;0),"Fin de propulsion","") &amp; IF(AND(L434&gt;L_rampe,pos_xz&lt;=L_rampe),"Sortie de rampe","")</f>
        <v/>
      </c>
      <c r="Z433" s="455" t="str">
        <f aca="false">IF(ABS(t-T_para)&lt;pas/2,"Para","")</f>
        <v/>
      </c>
      <c r="AA433" s="456" t="str">
        <f aca="false">IF(ABS(t-T_satellite)&lt;pas/2,"Satellite","")</f>
        <v/>
      </c>
      <c r="AB433" s="444"/>
      <c r="AC433" s="452" t="e">
        <f aca="false">IF(ABS(t-ROUND(t,0))&lt;0.001,t,NA())</f>
        <v>#N/A</v>
      </c>
      <c r="AD433" s="457" t="e">
        <f aca="false">IF(ABS(t-ROUND(t,0))&lt;0.001,pos_x,NA())</f>
        <v>#N/A</v>
      </c>
      <c r="AE433" s="458" t="n">
        <f aca="false">IF(t&lt;T_para, pos_z, NA())</f>
        <v>854.987513416598</v>
      </c>
      <c r="AF433" s="444"/>
      <c r="AG433" s="450" t="n">
        <f aca="false">IF(AND(L432&lt;L_rampe,Poussee&lt;Poids*SIN(M432)),0,(-W432+Poussee)/m-Poids*SIN(M432)/m)</f>
        <v>-13.7138350314939</v>
      </c>
      <c r="AH433" s="449" t="n">
        <f aca="false">IF(AND(L432&lt;L_rampe,Poussee&lt;Poids*SIN(M432)), g*SIN(M432), (-W432+Poussee)/m)</f>
        <v>-4.34341695210791</v>
      </c>
    </row>
    <row r="434" customFormat="false" ht="12" hidden="false" customHeight="false" outlineLevel="0" collapsed="false">
      <c r="A434" s="448" t="n">
        <f aca="false">IF(B433+0.01&lt;=T_ini+ROUNDUP(Temps_fin_propu,0), 0.01, IF(K433&gt;0, 0.1, 0.0001))</f>
        <v>0.1</v>
      </c>
      <c r="B434" s="449" t="n">
        <f aca="false">B433+pas</f>
        <v>6.99999999999995</v>
      </c>
      <c r="C434" s="432"/>
      <c r="D434" s="450" t="n">
        <f aca="false">IF(AND(L433&lt;L_rampe,Poussee&lt;Poids*SIN(M433)),0,(-W433+Poussee)/m*COS(M433)-U433/m*SIN(M433))</f>
        <v>-1.26524832652694</v>
      </c>
      <c r="E434" s="451" t="n">
        <f aca="false">IF(AND(L433&lt;L_rampe,Poussee&lt;Poids*SIN(M433)),0,(-W433+Poussee)/m*SIN(M433)+U433/m*COS(M433)-Poids/m)</f>
        <v>-13.8587127937156</v>
      </c>
      <c r="F434" s="449" t="n">
        <f aca="false">SQRT(acc_x^2+acc_z^2)</f>
        <v>13.9163491486264</v>
      </c>
      <c r="G434" s="450" t="n">
        <f aca="false">G433+acc_x*pas</f>
        <v>36.0102625097961</v>
      </c>
      <c r="H434" s="451" t="n">
        <f aca="false">H433+acc_z*pas</f>
        <v>114.249510463247</v>
      </c>
      <c r="I434" s="449" t="n">
        <f aca="false">SQRT(vit_x^2+vit_z^2)</f>
        <v>119.790190112196</v>
      </c>
      <c r="J434" s="450" t="n">
        <f aca="false">J433+0.5*(vit_x+G433)*pas*(K433&gt;=0)</f>
        <v>219.830810935791</v>
      </c>
      <c r="K434" s="451" t="n">
        <f aca="false">K433+0.5*(vit_z+H433)*pas</f>
        <v>866.481758026892</v>
      </c>
      <c r="L434" s="449" t="n">
        <f aca="false">SQRT(pos_x^2+pos_z^2)</f>
        <v>893.933007797598</v>
      </c>
      <c r="M434" s="450" t="n">
        <f aca="false">IF(AND(L433&gt;L_rampe,G434&gt;0),ATAN2(G434,H434),$M$4)</f>
        <v>1.26546298652953</v>
      </c>
      <c r="N434" s="449" t="n">
        <f aca="false">DEGREES(Beta)</f>
        <v>72.5056882581627</v>
      </c>
      <c r="O434" s="438"/>
      <c r="P434" s="452" t="n">
        <f aca="false">MATCH(t-pas/2-T_ini,CdP_t)</f>
        <v>23</v>
      </c>
      <c r="Q434" s="449" t="n">
        <f aca="false">(INDEX(CdP,2,i_P+1)-INDEX(CdP,2,i_P+0))/(INDEX(CdP,1,i_P+1)-INDEX(CdP,1,i_P+0))*(t-pas/2-T_ini-INDEX(CdP,1,i_P+0))+INDEX(CdP,2,i_P+0)</f>
        <v>0</v>
      </c>
      <c r="R434" s="450" t="n">
        <f aca="false">Poussee/(g*ISP)</f>
        <v>0</v>
      </c>
      <c r="S434" s="451" t="n">
        <f aca="false">S433-Débit*pas</f>
        <v>8.652</v>
      </c>
      <c r="T434" s="449" t="n">
        <f aca="false">m*g</f>
        <v>84.87612</v>
      </c>
      <c r="U434" s="453" t="n">
        <f aca="false">IF(pos_xz&lt;L_rampe,Poids*COS(Beta),0)</f>
        <v>0</v>
      </c>
      <c r="V434" s="450" t="n">
        <f aca="false">Rho_moyen*(20000-Alt_rampe-pos_z)/(20000+Alt_rampe+pos_z)</f>
        <v>1.12326362049035</v>
      </c>
      <c r="W434" s="449" t="n">
        <f aca="false">1/2*Rho*Sref*Cx*vit_xz^2</f>
        <v>35.8393759350571</v>
      </c>
      <c r="X434" s="438"/>
      <c r="Y434" s="454" t="str">
        <f aca="false">IF(AND(pos_z&lt;=0,K433&gt;0),"Impact balistique","") &amp; IF(AND(H435&lt;0,vit_z&gt;=0),"Apogée","") &amp; IF(AND(Poussee=0,Q433&gt;0),"Fin de propulsion","") &amp; IF(AND(L435&gt;L_rampe,pos_xz&lt;=L_rampe),"Sortie de rampe","")</f>
        <v/>
      </c>
      <c r="Z434" s="455" t="str">
        <f aca="false">IF(ABS(t-T_para)&lt;pas/2,"Para","")</f>
        <v/>
      </c>
      <c r="AA434" s="456" t="str">
        <f aca="false">IF(ABS(t-T_satellite)&lt;pas/2,"Satellite","")</f>
        <v/>
      </c>
      <c r="AB434" s="444"/>
      <c r="AC434" s="452" t="n">
        <f aca="false">IF(ABS(t-ROUND(t,0))&lt;0.001,t,NA())</f>
        <v>6.99999999999995</v>
      </c>
      <c r="AD434" s="457" t="n">
        <f aca="false">IF(ABS(t-ROUND(t,0))&lt;0.001,pos_x,NA())</f>
        <v>219.830810935791</v>
      </c>
      <c r="AE434" s="458" t="n">
        <f aca="false">IF(t&lt;T_para, pos_z, NA())</f>
        <v>866.481758026892</v>
      </c>
      <c r="AF434" s="444"/>
      <c r="AG434" s="450" t="n">
        <f aca="false">IF(AND(L433&lt;L_rampe,Poussee&lt;Poids*SIN(M433)),0,(-W433+Poussee)/m-Poids*SIN(M433)/m)</f>
        <v>-13.605238977424</v>
      </c>
      <c r="AH434" s="449" t="n">
        <f aca="false">IF(AND(L433&lt;L_rampe,Poussee&lt;Poids*SIN(M433)), g*SIN(M433), (-W433+Poussee)/m)</f>
        <v>-4.24180723439615</v>
      </c>
    </row>
    <row r="435" customFormat="false" ht="12" hidden="false" customHeight="false" outlineLevel="0" collapsed="false">
      <c r="A435" s="448" t="n">
        <f aca="false">IF(B434+0.01&lt;=T_ini+ROUNDUP(Temps_fin_propu,0), 0.01, IF(K434&gt;0, 0.1, 0.0001))</f>
        <v>0.1</v>
      </c>
      <c r="B435" s="449" t="n">
        <f aca="false">B434+pas</f>
        <v>7.09999999999995</v>
      </c>
      <c r="C435" s="432"/>
      <c r="D435" s="450" t="n">
        <f aca="false">IF(AND(L434&lt;L_rampe,Poussee&lt;Poids*SIN(M434)),0,(-W434+Poussee)/m*COS(M434)-U434/m*SIN(M434))</f>
        <v>-1.24522823960473</v>
      </c>
      <c r="E435" s="451" t="n">
        <f aca="false">IF(AND(L434&lt;L_rampe,Poussee&lt;Poids*SIN(M434)),0,(-W434+Poussee)/m*SIN(M434)+U434/m*COS(M434)-Poids/m)</f>
        <v>-13.7607270115332</v>
      </c>
      <c r="F435" s="449" t="n">
        <f aca="false">SQRT(acc_x^2+acc_z^2)</f>
        <v>13.8169533998869</v>
      </c>
      <c r="G435" s="450" t="n">
        <f aca="false">G434+acc_x*pas</f>
        <v>35.8857396858357</v>
      </c>
      <c r="H435" s="451" t="n">
        <f aca="false">H434+acc_z*pas</f>
        <v>112.873437762094</v>
      </c>
      <c r="I435" s="449" t="n">
        <f aca="false">SQRT(vit_x^2+vit_z^2)</f>
        <v>118.44069936062</v>
      </c>
      <c r="J435" s="450" t="n">
        <f aca="false">J434+0.5*(vit_x+G434)*pas*(K434&gt;=0)</f>
        <v>223.425611045573</v>
      </c>
      <c r="K435" s="451" t="n">
        <f aca="false">K434+0.5*(vit_z+H434)*pas</f>
        <v>877.837905438159</v>
      </c>
      <c r="L435" s="449" t="n">
        <f aca="false">SQRT(pos_x^2+pos_z^2)</f>
        <v>905.824702630228</v>
      </c>
      <c r="M435" s="450" t="n">
        <f aca="false">IF(AND(L434&gt;L_rampe,G435&gt;0),ATAN2(G435,H435),$M$4)</f>
        <v>1.26297313456785</v>
      </c>
      <c r="N435" s="449" t="n">
        <f aca="false">DEGREES(Beta)</f>
        <v>72.3630302491459</v>
      </c>
      <c r="O435" s="438"/>
      <c r="P435" s="452" t="n">
        <f aca="false">MATCH(t-pas/2-T_ini,CdP_t)</f>
        <v>23</v>
      </c>
      <c r="Q435" s="449" t="n">
        <f aca="false">(INDEX(CdP,2,i_P+1)-INDEX(CdP,2,i_P+0))/(INDEX(CdP,1,i_P+1)-INDEX(CdP,1,i_P+0))*(t-pas/2-T_ini-INDEX(CdP,1,i_P+0))+INDEX(CdP,2,i_P+0)</f>
        <v>0</v>
      </c>
      <c r="R435" s="450" t="n">
        <f aca="false">Poussee/(g*ISP)</f>
        <v>0</v>
      </c>
      <c r="S435" s="451" t="n">
        <f aca="false">S434-Débit*pas</f>
        <v>8.652</v>
      </c>
      <c r="T435" s="449" t="n">
        <f aca="false">m*g</f>
        <v>84.87612</v>
      </c>
      <c r="U435" s="453" t="n">
        <f aca="false">IF(pos_xz&lt;L_rampe,Poids*COS(Beta),0)</f>
        <v>0</v>
      </c>
      <c r="V435" s="450" t="n">
        <f aca="false">Rho_moyen*(20000-Alt_rampe-pos_z)/(20000+Alt_rampe+pos_z)</f>
        <v>1.12198632214386</v>
      </c>
      <c r="W435" s="449" t="n">
        <f aca="false">1/2*Rho*Sref*Cx*vit_xz^2</f>
        <v>34.9965896924538</v>
      </c>
      <c r="X435" s="438"/>
      <c r="Y435" s="454" t="str">
        <f aca="false">IF(AND(pos_z&lt;=0,K434&gt;0),"Impact balistique","") &amp; IF(AND(H436&lt;0,vit_z&gt;=0),"Apogée","") &amp; IF(AND(Poussee=0,Q434&gt;0),"Fin de propulsion","") &amp; IF(AND(L436&gt;L_rampe,pos_xz&lt;=L_rampe),"Sortie de rampe","")</f>
        <v/>
      </c>
      <c r="Z435" s="455" t="str">
        <f aca="false">IF(ABS(t-T_para)&lt;pas/2,"Para","")</f>
        <v/>
      </c>
      <c r="AA435" s="456" t="str">
        <f aca="false">IF(ABS(t-T_satellite)&lt;pas/2,"Satellite","")</f>
        <v/>
      </c>
      <c r="AB435" s="444"/>
      <c r="AC435" s="452" t="e">
        <f aca="false">IF(ABS(t-ROUND(t,0))&lt;0.001,t,NA())</f>
        <v>#N/A</v>
      </c>
      <c r="AD435" s="457" t="e">
        <f aca="false">IF(ABS(t-ROUND(t,0))&lt;0.001,pos_x,NA())</f>
        <v>#N/A</v>
      </c>
      <c r="AE435" s="458" t="n">
        <f aca="false">IF(t&lt;T_para, pos_z, NA())</f>
        <v>877.837905438159</v>
      </c>
      <c r="AF435" s="444"/>
      <c r="AG435" s="450" t="n">
        <f aca="false">IF(AND(L434&lt;L_rampe,Poussee&lt;Poids*SIN(M434)),0,(-W434+Poussee)/m-Poids*SIN(M434)/m)</f>
        <v>-13.4985787981832</v>
      </c>
      <c r="AH435" s="449" t="n">
        <f aca="false">IF(AND(L434&lt;L_rampe,Poussee&lt;Poids*SIN(M434)), g*SIN(M434), (-W434+Poussee)/m)</f>
        <v>-4.14232269244766</v>
      </c>
    </row>
    <row r="436" customFormat="false" ht="12" hidden="false" customHeight="false" outlineLevel="0" collapsed="false">
      <c r="A436" s="448" t="n">
        <f aca="false">IF(B435+0.01&lt;=T_ini+ROUNDUP(Temps_fin_propu,0), 0.01, IF(K435&gt;0, 0.1, 0.0001))</f>
        <v>0.1</v>
      </c>
      <c r="B436" s="449" t="n">
        <f aca="false">B435+pas</f>
        <v>7.19999999999995</v>
      </c>
      <c r="C436" s="432"/>
      <c r="D436" s="450" t="n">
        <f aca="false">IF(AND(L435&lt;L_rampe,Poussee&lt;Poids*SIN(M435)),0,(-W435+Poussee)/m*COS(M435)-U435/m*SIN(M435))</f>
        <v>-1.22554751682592</v>
      </c>
      <c r="E436" s="451" t="n">
        <f aca="false">IF(AND(L435&lt;L_rampe,Poussee&lt;Poids*SIN(M435)),0,(-W435+Poussee)/m*SIN(M435)+U435/m*COS(M435)-Poids/m)</f>
        <v>-13.6647836153295</v>
      </c>
      <c r="F436" s="449" t="n">
        <f aca="false">SQRT(acc_x^2+acc_z^2)</f>
        <v>13.7196311163885</v>
      </c>
      <c r="G436" s="450" t="n">
        <f aca="false">G435+acc_x*pas</f>
        <v>35.7631849341531</v>
      </c>
      <c r="H436" s="451" t="n">
        <f aca="false">H435+acc_z*pas</f>
        <v>111.506959400561</v>
      </c>
      <c r="I436" s="449" t="n">
        <f aca="false">SQRT(vit_x^2+vit_z^2)</f>
        <v>117.101696791263</v>
      </c>
      <c r="J436" s="450" t="n">
        <f aca="false">J435+0.5*(vit_x+G435)*pas*(K435&gt;=0)</f>
        <v>227.008057276572</v>
      </c>
      <c r="K436" s="451" t="n">
        <f aca="false">K435+0.5*(vit_z+H435)*pas</f>
        <v>889.056925296292</v>
      </c>
      <c r="L436" s="449" t="n">
        <f aca="false">SQRT(pos_x^2+pos_z^2)</f>
        <v>917.580990695524</v>
      </c>
      <c r="M436" s="450" t="n">
        <f aca="false">IF(AND(L435&gt;L_rampe,G436&gt;0),ATAN2(G436,H436),$M$4)</f>
        <v>1.26043492647179</v>
      </c>
      <c r="N436" s="449" t="n">
        <f aca="false">DEGREES(Beta)</f>
        <v>72.2176016377158</v>
      </c>
      <c r="O436" s="438"/>
      <c r="P436" s="452" t="n">
        <f aca="false">MATCH(t-pas/2-T_ini,CdP_t)</f>
        <v>23</v>
      </c>
      <c r="Q436" s="449" t="n">
        <f aca="false">(INDEX(CdP,2,i_P+1)-INDEX(CdP,2,i_P+0))/(INDEX(CdP,1,i_P+1)-INDEX(CdP,1,i_P+0))*(t-pas/2-T_ini-INDEX(CdP,1,i_P+0))+INDEX(CdP,2,i_P+0)</f>
        <v>0</v>
      </c>
      <c r="R436" s="450" t="n">
        <f aca="false">Poussee/(g*ISP)</f>
        <v>0</v>
      </c>
      <c r="S436" s="451" t="n">
        <f aca="false">S435-Débit*pas</f>
        <v>8.652</v>
      </c>
      <c r="T436" s="449" t="n">
        <f aca="false">m*g</f>
        <v>84.87612</v>
      </c>
      <c r="U436" s="453" t="n">
        <f aca="false">IF(pos_xz&lt;L_rampe,Poids*COS(Beta),0)</f>
        <v>0</v>
      </c>
      <c r="V436" s="450" t="n">
        <f aca="false">Rho_moyen*(20000-Alt_rampe-pos_z)/(20000+Alt_rampe+pos_z)</f>
        <v>1.12072581113807</v>
      </c>
      <c r="W436" s="449" t="n">
        <f aca="false">1/2*Rho*Sref*Cx*vit_xz^2</f>
        <v>34.1713382309903</v>
      </c>
      <c r="X436" s="438"/>
      <c r="Y436" s="454" t="str">
        <f aca="false">IF(AND(pos_z&lt;=0,K435&gt;0),"Impact balistique","") &amp; IF(AND(H437&lt;0,vit_z&gt;=0),"Apogée","") &amp; IF(AND(Poussee=0,Q435&gt;0),"Fin de propulsion","") &amp; IF(AND(L437&gt;L_rampe,pos_xz&lt;=L_rampe),"Sortie de rampe","")</f>
        <v/>
      </c>
      <c r="Z436" s="455" t="str">
        <f aca="false">IF(ABS(t-T_para)&lt;pas/2,"Para","")</f>
        <v/>
      </c>
      <c r="AA436" s="456" t="str">
        <f aca="false">IF(ABS(t-T_satellite)&lt;pas/2,"Satellite","")</f>
        <v/>
      </c>
      <c r="AB436" s="444"/>
      <c r="AC436" s="452" t="e">
        <f aca="false">IF(ABS(t-ROUND(t,0))&lt;0.001,t,NA())</f>
        <v>#N/A</v>
      </c>
      <c r="AD436" s="457" t="e">
        <f aca="false">IF(ABS(t-ROUND(t,0))&lt;0.001,pos_x,NA())</f>
        <v>#N/A</v>
      </c>
      <c r="AE436" s="458" t="n">
        <f aca="false">IF(t&lt;T_para, pos_z, NA())</f>
        <v>889.056925296292</v>
      </c>
      <c r="AF436" s="444"/>
      <c r="AG436" s="450" t="n">
        <f aca="false">IF(AND(L435&lt;L_rampe,Poussee&lt;Poids*SIN(M435)),0,(-W435+Poussee)/m-Poids*SIN(M435)/m)</f>
        <v>-13.3937978301592</v>
      </c>
      <c r="AH436" s="449" t="n">
        <f aca="false">IF(AND(L435&lt;L_rampe,Poussee&lt;Poids*SIN(M435)), g*SIN(M435), (-W435+Poussee)/m)</f>
        <v>-4.04491327929425</v>
      </c>
    </row>
    <row r="437" customFormat="false" ht="12" hidden="false" customHeight="false" outlineLevel="0" collapsed="false">
      <c r="A437" s="448" t="n">
        <f aca="false">IF(B436+0.01&lt;=T_ini+ROUNDUP(Temps_fin_propu,0), 0.01, IF(K436&gt;0, 0.1, 0.0001))</f>
        <v>0.1</v>
      </c>
      <c r="B437" s="449" t="n">
        <f aca="false">B436+pas</f>
        <v>7.29999999999995</v>
      </c>
      <c r="C437" s="432"/>
      <c r="D437" s="450" t="n">
        <f aca="false">IF(AND(L436&lt;L_rampe,Poussee&lt;Poids*SIN(M436)),0,(-W436+Poussee)/m*COS(M436)-U436/m*SIN(M436))</f>
        <v>-1.20619764675468</v>
      </c>
      <c r="E437" s="451" t="n">
        <f aca="false">IF(AND(L436&lt;L_rampe,Poussee&lt;Poids*SIN(M436)),0,(-W436+Poussee)/m*SIN(M436)+U436/m*COS(M436)-Poids/m)</f>
        <v>-13.5708348438028</v>
      </c>
      <c r="F437" s="449" t="n">
        <f aca="false">SQRT(acc_x^2+acc_z^2)</f>
        <v>13.6243337863108</v>
      </c>
      <c r="G437" s="450" t="n">
        <f aca="false">G436+acc_x*pas</f>
        <v>35.6425651694776</v>
      </c>
      <c r="H437" s="451" t="n">
        <f aca="false">H436+acc_z*pas</f>
        <v>110.149875916181</v>
      </c>
      <c r="I437" s="449" t="n">
        <f aca="false">SQRT(vit_x^2+vit_z^2)</f>
        <v>115.773000376644</v>
      </c>
      <c r="J437" s="450" t="n">
        <f aca="false">J436+0.5*(vit_x+G436)*pas*(K436&gt;=0)</f>
        <v>230.578344781754</v>
      </c>
      <c r="K437" s="451" t="n">
        <f aca="false">K436+0.5*(vit_z+H436)*pas</f>
        <v>900.139767062129</v>
      </c>
      <c r="L437" s="449" t="n">
        <f aca="false">SQRT(pos_x^2+pos_z^2)</f>
        <v>929.202869845416</v>
      </c>
      <c r="M437" s="450" t="n">
        <f aca="false">IF(AND(L436&gt;L_rampe,G437&gt;0),ATAN2(G437,H437),$M$4)</f>
        <v>1.25784709968504</v>
      </c>
      <c r="N437" s="449" t="n">
        <f aca="false">DEGREES(Beta)</f>
        <v>72.0693300847242</v>
      </c>
      <c r="O437" s="438"/>
      <c r="P437" s="452" t="n">
        <f aca="false">MATCH(t-pas/2-T_ini,CdP_t)</f>
        <v>23</v>
      </c>
      <c r="Q437" s="449" t="n">
        <f aca="false">(INDEX(CdP,2,i_P+1)-INDEX(CdP,2,i_P+0))/(INDEX(CdP,1,i_P+1)-INDEX(CdP,1,i_P+0))*(t-pas/2-T_ini-INDEX(CdP,1,i_P+0))+INDEX(CdP,2,i_P+0)</f>
        <v>0</v>
      </c>
      <c r="R437" s="450" t="n">
        <f aca="false">Poussee/(g*ISP)</f>
        <v>0</v>
      </c>
      <c r="S437" s="451" t="n">
        <f aca="false">S436-Débit*pas</f>
        <v>8.652</v>
      </c>
      <c r="T437" s="449" t="n">
        <f aca="false">m*g</f>
        <v>84.87612</v>
      </c>
      <c r="U437" s="453" t="n">
        <f aca="false">IF(pos_xz&lt;L_rampe,Poids*COS(Beta),0)</f>
        <v>0</v>
      </c>
      <c r="V437" s="450" t="n">
        <f aca="false">Rho_moyen*(20000-Alt_rampe-pos_z)/(20000+Alt_rampe+pos_z)</f>
        <v>1.11948192912194</v>
      </c>
      <c r="W437" s="449" t="n">
        <f aca="false">1/2*Rho*Sref*Cx*vit_xz^2</f>
        <v>33.3632155812323</v>
      </c>
      <c r="X437" s="438"/>
      <c r="Y437" s="454" t="str">
        <f aca="false">IF(AND(pos_z&lt;=0,K436&gt;0),"Impact balistique","") &amp; IF(AND(H438&lt;0,vit_z&gt;=0),"Apogée","") &amp; IF(AND(Poussee=0,Q436&gt;0),"Fin de propulsion","") &amp; IF(AND(L438&gt;L_rampe,pos_xz&lt;=L_rampe),"Sortie de rampe","")</f>
        <v/>
      </c>
      <c r="Z437" s="455" t="str">
        <f aca="false">IF(ABS(t-T_para)&lt;pas/2,"Para","")</f>
        <v/>
      </c>
      <c r="AA437" s="456" t="str">
        <f aca="false">IF(ABS(t-T_satellite)&lt;pas/2,"Satellite","")</f>
        <v/>
      </c>
      <c r="AB437" s="444"/>
      <c r="AC437" s="452" t="e">
        <f aca="false">IF(ABS(t-ROUND(t,0))&lt;0.001,t,NA())</f>
        <v>#N/A</v>
      </c>
      <c r="AD437" s="457" t="e">
        <f aca="false">IF(ABS(t-ROUND(t,0))&lt;0.001,pos_x,NA())</f>
        <v>#N/A</v>
      </c>
      <c r="AE437" s="458" t="n">
        <f aca="false">IF(t&lt;T_para, pos_z, NA())</f>
        <v>900.139767062129</v>
      </c>
      <c r="AF437" s="444"/>
      <c r="AG437" s="450" t="n">
        <f aca="false">IF(AND(L436&lt;L_rampe,Poussee&lt;Poids*SIN(M436)),0,(-W436+Poussee)/m-Poids*SIN(M436)/m)</f>
        <v>-13.2908407146479</v>
      </c>
      <c r="AH437" s="449" t="n">
        <f aca="false">IF(AND(L436&lt;L_rampe,Poussee&lt;Poids*SIN(M436)), g*SIN(M436), (-W436+Poussee)/m)</f>
        <v>-3.94953053987405</v>
      </c>
    </row>
    <row r="438" customFormat="false" ht="12" hidden="false" customHeight="false" outlineLevel="0" collapsed="false">
      <c r="A438" s="448" t="n">
        <f aca="false">IF(B437+0.01&lt;=T_ini+ROUNDUP(Temps_fin_propu,0), 0.01, IF(K437&gt;0, 0.1, 0.0001))</f>
        <v>0.1</v>
      </c>
      <c r="B438" s="449" t="n">
        <f aca="false">B437+pas</f>
        <v>7.39999999999995</v>
      </c>
      <c r="C438" s="432"/>
      <c r="D438" s="450" t="n">
        <f aca="false">IF(AND(L437&lt;L_rampe,Poussee&lt;Poids*SIN(M437)),0,(-W437+Poussee)/m*COS(M437)-U437/m*SIN(M437))</f>
        <v>-1.18717038629308</v>
      </c>
      <c r="E438" s="451" t="n">
        <f aca="false">IF(AND(L437&lt;L_rampe,Poussee&lt;Poids*SIN(M437)),0,(-W437+Poussee)/m*SIN(M437)+U437/m*COS(M437)-Poids/m)</f>
        <v>-13.4788344433057</v>
      </c>
      <c r="F438" s="449" t="n">
        <f aca="false">SQRT(acc_x^2+acc_z^2)</f>
        <v>13.5310144289383</v>
      </c>
      <c r="G438" s="450" t="n">
        <f aca="false">G437+acc_x*pas</f>
        <v>35.5238481308483</v>
      </c>
      <c r="H438" s="451" t="n">
        <f aca="false">H437+acc_z*pas</f>
        <v>108.80199247185</v>
      </c>
      <c r="I438" s="449" t="n">
        <f aca="false">SQRT(vit_x^2+vit_z^2)</f>
        <v>114.454433517746</v>
      </c>
      <c r="J438" s="450" t="n">
        <f aca="false">J437+0.5*(vit_x+G437)*pas*(K437&gt;=0)</f>
        <v>234.13666544677</v>
      </c>
      <c r="K438" s="451" t="n">
        <f aca="false">K437+0.5*(vit_z+H437)*pas</f>
        <v>911.08736048153</v>
      </c>
      <c r="L438" s="449" t="n">
        <f aca="false">SQRT(pos_x^2+pos_z^2)</f>
        <v>940.691318412015</v>
      </c>
      <c r="M438" s="450" t="n">
        <f aca="false">IF(AND(L437&gt;L_rampe,G438&gt;0),ATAN2(G438,H438),$M$4)</f>
        <v>1.25520834781014</v>
      </c>
      <c r="N438" s="449" t="n">
        <f aca="false">DEGREES(Beta)</f>
        <v>71.9181407391104</v>
      </c>
      <c r="O438" s="438"/>
      <c r="P438" s="452" t="n">
        <f aca="false">MATCH(t-pas/2-T_ini,CdP_t)</f>
        <v>23</v>
      </c>
      <c r="Q438" s="449" t="n">
        <f aca="false">(INDEX(CdP,2,i_P+1)-INDEX(CdP,2,i_P+0))/(INDEX(CdP,1,i_P+1)-INDEX(CdP,1,i_P+0))*(t-pas/2-T_ini-INDEX(CdP,1,i_P+0))+INDEX(CdP,2,i_P+0)</f>
        <v>0</v>
      </c>
      <c r="R438" s="450" t="n">
        <f aca="false">Poussee/(g*ISP)</f>
        <v>0</v>
      </c>
      <c r="S438" s="451" t="n">
        <f aca="false">S437-Débit*pas</f>
        <v>8.652</v>
      </c>
      <c r="T438" s="449" t="n">
        <f aca="false">m*g</f>
        <v>84.87612</v>
      </c>
      <c r="U438" s="453" t="n">
        <f aca="false">IF(pos_xz&lt;L_rampe,Poids*COS(Beta),0)</f>
        <v>0</v>
      </c>
      <c r="V438" s="450" t="n">
        <f aca="false">Rho_moyen*(20000-Alt_rampe-pos_z)/(20000+Alt_rampe+pos_z)</f>
        <v>1.1182545211686</v>
      </c>
      <c r="W438" s="449" t="n">
        <f aca="false">1/2*Rho*Sref*Cx*vit_xz^2</f>
        <v>32.5718285503403</v>
      </c>
      <c r="X438" s="438"/>
      <c r="Y438" s="454" t="str">
        <f aca="false">IF(AND(pos_z&lt;=0,K437&gt;0),"Impact balistique","") &amp; IF(AND(H439&lt;0,vit_z&gt;=0),"Apogée","") &amp; IF(AND(Poussee=0,Q437&gt;0),"Fin de propulsion","") &amp; IF(AND(L439&gt;L_rampe,pos_xz&lt;=L_rampe),"Sortie de rampe","")</f>
        <v/>
      </c>
      <c r="Z438" s="455" t="str">
        <f aca="false">IF(ABS(t-T_para)&lt;pas/2,"Para","")</f>
        <v/>
      </c>
      <c r="AA438" s="456" t="str">
        <f aca="false">IF(ABS(t-T_satellite)&lt;pas/2,"Satellite","")</f>
        <v/>
      </c>
      <c r="AB438" s="444"/>
      <c r="AC438" s="452" t="e">
        <f aca="false">IF(ABS(t-ROUND(t,0))&lt;0.001,t,NA())</f>
        <v>#N/A</v>
      </c>
      <c r="AD438" s="457" t="e">
        <f aca="false">IF(ABS(t-ROUND(t,0))&lt;0.001,pos_x,NA())</f>
        <v>#N/A</v>
      </c>
      <c r="AE438" s="458" t="n">
        <f aca="false">IF(t&lt;T_para, pos_z, NA())</f>
        <v>911.08736048153</v>
      </c>
      <c r="AF438" s="444"/>
      <c r="AG438" s="450" t="n">
        <f aca="false">IF(AND(L437&lt;L_rampe,Poussee&lt;Poids*SIN(M437)),0,(-W437+Poussee)/m-Poids*SIN(M437)/m)</f>
        <v>-13.1896533243311</v>
      </c>
      <c r="AH438" s="449" t="n">
        <f aca="false">IF(AND(L437&lt;L_rampe,Poussee&lt;Poids*SIN(M437)), g*SIN(M437), (-W437+Poussee)/m)</f>
        <v>-3.85612755215352</v>
      </c>
    </row>
    <row r="439" customFormat="false" ht="12" hidden="false" customHeight="false" outlineLevel="0" collapsed="false">
      <c r="A439" s="448" t="n">
        <f aca="false">IF(B438+0.01&lt;=T_ini+ROUNDUP(Temps_fin_propu,0), 0.01, IF(K438&gt;0, 0.1, 0.0001))</f>
        <v>0.1</v>
      </c>
      <c r="B439" s="449" t="n">
        <f aca="false">B438+pas</f>
        <v>7.49999999999995</v>
      </c>
      <c r="C439" s="432"/>
      <c r="D439" s="450" t="n">
        <f aca="false">IF(AND(L438&lt;L_rampe,Poussee&lt;Poids*SIN(M438)),0,(-W438+Poussee)/m*COS(M438)-U438/m*SIN(M438))</f>
        <v>-1.16845775109925</v>
      </c>
      <c r="E439" s="451" t="n">
        <f aca="false">IF(AND(L438&lt;L_rampe,Poussee&lt;Poids*SIN(M438)),0,(-W438+Poussee)/m*SIN(M438)+U438/m*COS(M438)-Poids/m)</f>
        <v>-13.3887376122796</v>
      </c>
      <c r="F439" s="449" t="n">
        <f aca="false">SQRT(acc_x^2+acc_z^2)</f>
        <v>13.4396275382383</v>
      </c>
      <c r="G439" s="450" t="n">
        <f aca="false">G438+acc_x*pas</f>
        <v>35.4070023557384</v>
      </c>
      <c r="H439" s="451" t="n">
        <f aca="false">H438+acc_z*pas</f>
        <v>107.463118710622</v>
      </c>
      <c r="I439" s="449" t="n">
        <f aca="false">SQRT(vit_x^2+vit_z^2)</f>
        <v>113.145824928861</v>
      </c>
      <c r="J439" s="450" t="n">
        <f aca="false">J438+0.5*(vit_x+G438)*pas*(K438&gt;=0)</f>
        <v>237.683207971099</v>
      </c>
      <c r="K439" s="451" t="n">
        <f aca="false">K438+0.5*(vit_z+H438)*pas</f>
        <v>921.900616040654</v>
      </c>
      <c r="L439" s="449" t="n">
        <f aca="false">SQRT(pos_x^2+pos_z^2)</f>
        <v>952.047295677883</v>
      </c>
      <c r="M439" s="450" t="n">
        <f aca="false">IF(AND(L438&gt;L_rampe,G439&gt;0),ATAN2(G439,H439),$M$4)</f>
        <v>1.25251731877963</v>
      </c>
      <c r="N439" s="449" t="n">
        <f aca="false">DEGREES(Beta)</f>
        <v>71.7639561331149</v>
      </c>
      <c r="O439" s="438"/>
      <c r="P439" s="452" t="n">
        <f aca="false">MATCH(t-pas/2-T_ini,CdP_t)</f>
        <v>23</v>
      </c>
      <c r="Q439" s="449" t="n">
        <f aca="false">(INDEX(CdP,2,i_P+1)-INDEX(CdP,2,i_P+0))/(INDEX(CdP,1,i_P+1)-INDEX(CdP,1,i_P+0))*(t-pas/2-T_ini-INDEX(CdP,1,i_P+0))+INDEX(CdP,2,i_P+0)</f>
        <v>0</v>
      </c>
      <c r="R439" s="450" t="n">
        <f aca="false">Poussee/(g*ISP)</f>
        <v>0</v>
      </c>
      <c r="S439" s="451" t="n">
        <f aca="false">S438-Débit*pas</f>
        <v>8.652</v>
      </c>
      <c r="T439" s="449" t="n">
        <f aca="false">m*g</f>
        <v>84.87612</v>
      </c>
      <c r="U439" s="453" t="n">
        <f aca="false">IF(pos_xz&lt;L_rampe,Poids*COS(Beta),0)</f>
        <v>0</v>
      </c>
      <c r="V439" s="450" t="n">
        <f aca="false">Rho_moyen*(20000-Alt_rampe-pos_z)/(20000+Alt_rampe+pos_z)</f>
        <v>1.11704343569208</v>
      </c>
      <c r="W439" s="449" t="n">
        <f aca="false">1/2*Rho*Sref*Cx*vit_xz^2</f>
        <v>31.7967962560485</v>
      </c>
      <c r="X439" s="438"/>
      <c r="Y439" s="454" t="str">
        <f aca="false">IF(AND(pos_z&lt;=0,K438&gt;0),"Impact balistique","") &amp; IF(AND(H440&lt;0,vit_z&gt;=0),"Apogée","") &amp; IF(AND(Poussee=0,Q438&gt;0),"Fin de propulsion","") &amp; IF(AND(L440&gt;L_rampe,pos_xz&lt;=L_rampe),"Sortie de rampe","")</f>
        <v/>
      </c>
      <c r="Z439" s="455" t="str">
        <f aca="false">IF(ABS(t-T_para)&lt;pas/2,"Para","")</f>
        <v/>
      </c>
      <c r="AA439" s="456" t="str">
        <f aca="false">IF(ABS(t-T_satellite)&lt;pas/2,"Satellite","")</f>
        <v/>
      </c>
      <c r="AB439" s="444"/>
      <c r="AC439" s="452" t="e">
        <f aca="false">IF(ABS(t-ROUND(t,0))&lt;0.001,t,NA())</f>
        <v>#N/A</v>
      </c>
      <c r="AD439" s="457" t="e">
        <f aca="false">IF(ABS(t-ROUND(t,0))&lt;0.001,pos_x,NA())</f>
        <v>#N/A</v>
      </c>
      <c r="AE439" s="458" t="n">
        <f aca="false">IF(t&lt;T_para, pos_z, NA())</f>
        <v>921.900616040654</v>
      </c>
      <c r="AF439" s="444"/>
      <c r="AG439" s="450" t="n">
        <f aca="false">IF(AND(L438&lt;L_rampe,Poussee&lt;Poids*SIN(M438)),0,(-W438+Poussee)/m-Poids*SIN(M438)/m)</f>
        <v>-13.0901826914716</v>
      </c>
      <c r="AH439" s="449" t="n">
        <f aca="false">IF(AND(L438&lt;L_rampe,Poussee&lt;Poids*SIN(M438)), g*SIN(M438), (-W438+Poussee)/m)</f>
        <v>-3.76465887082065</v>
      </c>
    </row>
    <row r="440" customFormat="false" ht="12" hidden="false" customHeight="false" outlineLevel="0" collapsed="false">
      <c r="A440" s="448" t="n">
        <f aca="false">IF(B439+0.01&lt;=T_ini+ROUNDUP(Temps_fin_propu,0), 0.01, IF(K439&gt;0, 0.1, 0.0001))</f>
        <v>0.1</v>
      </c>
      <c r="B440" s="449" t="n">
        <f aca="false">B439+pas</f>
        <v>7.59999999999995</v>
      </c>
      <c r="C440" s="432"/>
      <c r="D440" s="450" t="n">
        <f aca="false">IF(AND(L439&lt;L_rampe,Poussee&lt;Poids*SIN(M439)),0,(-W439+Poussee)/m*COS(M439)-U439/m*SIN(M439))</f>
        <v>-1.15005200644212</v>
      </c>
      <c r="E440" s="451" t="n">
        <f aca="false">IF(AND(L439&lt;L_rampe,Poussee&lt;Poids*SIN(M439)),0,(-W439+Poussee)/m*SIN(M439)+U439/m*COS(M439)-Poids/m)</f>
        <v>-13.3005009480886</v>
      </c>
      <c r="F440" s="449" t="n">
        <f aca="false">SQRT(acc_x^2+acc_z^2)</f>
        <v>13.3501290288756</v>
      </c>
      <c r="G440" s="450" t="n">
        <f aca="false">G439+acc_x*pas</f>
        <v>35.2919971550942</v>
      </c>
      <c r="H440" s="451" t="n">
        <f aca="false">H439+acc_z*pas</f>
        <v>106.133068615813</v>
      </c>
      <c r="I440" s="449" t="n">
        <f aca="false">SQRT(vit_x^2+vit_z^2)</f>
        <v>111.847008529527</v>
      </c>
      <c r="J440" s="450" t="n">
        <f aca="false">J439+0.5*(vit_x+G439)*pas*(K439&gt;=0)</f>
        <v>241.218157946641</v>
      </c>
      <c r="K440" s="451" t="n">
        <f aca="false">K439+0.5*(vit_z+H439)*pas</f>
        <v>932.580425406976</v>
      </c>
      <c r="L440" s="449" t="n">
        <f aca="false">SQRT(pos_x^2+pos_z^2)</f>
        <v>963.271742332052</v>
      </c>
      <c r="M440" s="450" t="n">
        <f aca="false">IF(AND(L439&gt;L_rampe,G440&gt;0),ATAN2(G440,H440),$M$4)</f>
        <v>1.24977261293904</v>
      </c>
      <c r="N440" s="449" t="n">
        <f aca="false">DEGREES(Beta)</f>
        <v>71.6066960724437</v>
      </c>
      <c r="O440" s="438"/>
      <c r="P440" s="452" t="n">
        <f aca="false">MATCH(t-pas/2-T_ini,CdP_t)</f>
        <v>23</v>
      </c>
      <c r="Q440" s="449" t="n">
        <f aca="false">(INDEX(CdP,2,i_P+1)-INDEX(CdP,2,i_P+0))/(INDEX(CdP,1,i_P+1)-INDEX(CdP,1,i_P+0))*(t-pas/2-T_ini-INDEX(CdP,1,i_P+0))+INDEX(CdP,2,i_P+0)</f>
        <v>0</v>
      </c>
      <c r="R440" s="450" t="n">
        <f aca="false">Poussee/(g*ISP)</f>
        <v>0</v>
      </c>
      <c r="S440" s="451" t="n">
        <f aca="false">S439-Débit*pas</f>
        <v>8.652</v>
      </c>
      <c r="T440" s="449" t="n">
        <f aca="false">m*g</f>
        <v>84.87612</v>
      </c>
      <c r="U440" s="453" t="n">
        <f aca="false">IF(pos_xz&lt;L_rampe,Poids*COS(Beta),0)</f>
        <v>0</v>
      </c>
      <c r="V440" s="450" t="n">
        <f aca="false">Rho_moyen*(20000-Alt_rampe-pos_z)/(20000+Alt_rampe+pos_z)</f>
        <v>1.11584852436664</v>
      </c>
      <c r="W440" s="449" t="n">
        <f aca="false">1/2*Rho*Sref*Cx*vit_xz^2</f>
        <v>31.0377496807487</v>
      </c>
      <c r="X440" s="438"/>
      <c r="Y440" s="454" t="str">
        <f aca="false">IF(AND(pos_z&lt;=0,K439&gt;0),"Impact balistique","") &amp; IF(AND(H441&lt;0,vit_z&gt;=0),"Apogée","") &amp; IF(AND(Poussee=0,Q439&gt;0),"Fin de propulsion","") &amp; IF(AND(L441&gt;L_rampe,pos_xz&lt;=L_rampe),"Sortie de rampe","")</f>
        <v/>
      </c>
      <c r="Z440" s="455" t="str">
        <f aca="false">IF(ABS(t-T_para)&lt;pas/2,"Para","")</f>
        <v/>
      </c>
      <c r="AA440" s="456" t="str">
        <f aca="false">IF(ABS(t-T_satellite)&lt;pas/2,"Satellite","")</f>
        <v/>
      </c>
      <c r="AB440" s="444"/>
      <c r="AC440" s="452" t="e">
        <f aca="false">IF(ABS(t-ROUND(t,0))&lt;0.001,t,NA())</f>
        <v>#N/A</v>
      </c>
      <c r="AD440" s="457" t="e">
        <f aca="false">IF(ABS(t-ROUND(t,0))&lt;0.001,pos_x,NA())</f>
        <v>#N/A</v>
      </c>
      <c r="AE440" s="458" t="n">
        <f aca="false">IF(t&lt;T_para, pos_z, NA())</f>
        <v>932.580425406976</v>
      </c>
      <c r="AF440" s="444"/>
      <c r="AG440" s="450" t="n">
        <f aca="false">IF(AND(L439&lt;L_rampe,Poussee&lt;Poids*SIN(M439)),0,(-W439+Poussee)/m-Poids*SIN(M439)/m)</f>
        <v>-12.9923769376445</v>
      </c>
      <c r="AH440" s="449" t="n">
        <f aca="false">IF(AND(L439&lt;L_rampe,Poussee&lt;Poids*SIN(M439)), g*SIN(M439), (-W439+Poussee)/m)</f>
        <v>-3.67508047342215</v>
      </c>
    </row>
    <row r="441" customFormat="false" ht="12" hidden="false" customHeight="false" outlineLevel="0" collapsed="false">
      <c r="A441" s="448" t="n">
        <f aca="false">IF(B440+0.01&lt;=T_ini+ROUNDUP(Temps_fin_propu,0), 0.01, IF(K440&gt;0, 0.1, 0.0001))</f>
        <v>0.1</v>
      </c>
      <c r="B441" s="449" t="n">
        <f aca="false">B440+pas</f>
        <v>7.69999999999995</v>
      </c>
      <c r="C441" s="432"/>
      <c r="D441" s="450" t="n">
        <f aca="false">IF(AND(L440&lt;L_rampe,Poussee&lt;Poids*SIN(M440)),0,(-W440+Poussee)/m*COS(M440)-U440/m*SIN(M440))</f>
        <v>-1.13194565847271</v>
      </c>
      <c r="E441" s="451" t="n">
        <f aca="false">IF(AND(L440&lt;L_rampe,Poussee&lt;Poids*SIN(M440)),0,(-W440+Poussee)/m*SIN(M440)+U440/m*COS(M440)-Poids/m)</f>
        <v>-13.2140823961337</v>
      </c>
      <c r="F441" s="449" t="n">
        <f aca="false">SQRT(acc_x^2+acc_z^2)</f>
        <v>13.2624761845421</v>
      </c>
      <c r="G441" s="450" t="n">
        <f aca="false">G440+acc_x*pas</f>
        <v>35.1788025892469</v>
      </c>
      <c r="H441" s="451" t="n">
        <f aca="false">H440+acc_z*pas</f>
        <v>104.8116603762</v>
      </c>
      <c r="I441" s="449" t="n">
        <f aca="false">SQRT(vit_x^2+vit_z^2)</f>
        <v>110.557823343394</v>
      </c>
      <c r="J441" s="450" t="n">
        <f aca="false">J440+0.5*(vit_x+G440)*pas*(K440&gt;=0)</f>
        <v>244.741697933858</v>
      </c>
      <c r="K441" s="451" t="n">
        <f aca="false">K440+0.5*(vit_z+H440)*pas</f>
        <v>943.127661856576</v>
      </c>
      <c r="L441" s="449" t="n">
        <f aca="false">SQRT(pos_x^2+pos_z^2)</f>
        <v>974.365580912319</v>
      </c>
      <c r="M441" s="450" t="n">
        <f aca="false">IF(AND(L440&gt;L_rampe,G441&gt;0),ATAN2(G441,H441),$M$4)</f>
        <v>1.24697278103709</v>
      </c>
      <c r="N441" s="449" t="n">
        <f aca="false">DEGREES(Beta)</f>
        <v>71.4462775211164</v>
      </c>
      <c r="O441" s="438"/>
      <c r="P441" s="452" t="n">
        <f aca="false">MATCH(t-pas/2-T_ini,CdP_t)</f>
        <v>23</v>
      </c>
      <c r="Q441" s="449" t="n">
        <f aca="false">(INDEX(CdP,2,i_P+1)-INDEX(CdP,2,i_P+0))/(INDEX(CdP,1,i_P+1)-INDEX(CdP,1,i_P+0))*(t-pas/2-T_ini-INDEX(CdP,1,i_P+0))+INDEX(CdP,2,i_P+0)</f>
        <v>0</v>
      </c>
      <c r="R441" s="450" t="n">
        <f aca="false">Poussee/(g*ISP)</f>
        <v>0</v>
      </c>
      <c r="S441" s="451" t="n">
        <f aca="false">S440-Débit*pas</f>
        <v>8.652</v>
      </c>
      <c r="T441" s="449" t="n">
        <f aca="false">m*g</f>
        <v>84.87612</v>
      </c>
      <c r="U441" s="453" t="n">
        <f aca="false">IF(pos_xz&lt;L_rampe,Poids*COS(Beta),0)</f>
        <v>0</v>
      </c>
      <c r="V441" s="450" t="n">
        <f aca="false">Rho_moyen*(20000-Alt_rampe-pos_z)/(20000+Alt_rampe+pos_z)</f>
        <v>1.11466964204888</v>
      </c>
      <c r="W441" s="449" t="n">
        <f aca="false">1/2*Rho*Sref*Cx*vit_xz^2</f>
        <v>30.2943312446963</v>
      </c>
      <c r="X441" s="438"/>
      <c r="Y441" s="454" t="str">
        <f aca="false">IF(AND(pos_z&lt;=0,K440&gt;0),"Impact balistique","") &amp; IF(AND(H442&lt;0,vit_z&gt;=0),"Apogée","") &amp; IF(AND(Poussee=0,Q440&gt;0),"Fin de propulsion","") &amp; IF(AND(L442&gt;L_rampe,pos_xz&lt;=L_rampe),"Sortie de rampe","")</f>
        <v/>
      </c>
      <c r="Z441" s="455" t="str">
        <f aca="false">IF(ABS(t-T_para)&lt;pas/2,"Para","")</f>
        <v/>
      </c>
      <c r="AA441" s="456" t="str">
        <f aca="false">IF(ABS(t-T_satellite)&lt;pas/2,"Satellite","")</f>
        <v/>
      </c>
      <c r="AB441" s="444"/>
      <c r="AC441" s="452" t="e">
        <f aca="false">IF(ABS(t-ROUND(t,0))&lt;0.001,t,NA())</f>
        <v>#N/A</v>
      </c>
      <c r="AD441" s="457" t="e">
        <f aca="false">IF(ABS(t-ROUND(t,0))&lt;0.001,pos_x,NA())</f>
        <v>#N/A</v>
      </c>
      <c r="AE441" s="458" t="n">
        <f aca="false">IF(t&lt;T_para, pos_z, NA())</f>
        <v>943.127661856576</v>
      </c>
      <c r="AF441" s="444"/>
      <c r="AG441" s="450" t="n">
        <f aca="false">IF(AND(L440&lt;L_rampe,Poussee&lt;Poids*SIN(M440)),0,(-W440+Poussee)/m-Poids*SIN(M440)/m)</f>
        <v>-12.8961852048249</v>
      </c>
      <c r="AH441" s="449" t="n">
        <f aca="false">IF(AND(L440&lt;L_rampe,Poussee&lt;Poids*SIN(M440)), g*SIN(M440), (-W440+Poussee)/m)</f>
        <v>-3.58734970882439</v>
      </c>
    </row>
    <row r="442" customFormat="false" ht="12" hidden="false" customHeight="false" outlineLevel="0" collapsed="false">
      <c r="A442" s="448" t="n">
        <f aca="false">IF(B441+0.01&lt;=T_ini+ROUNDUP(Temps_fin_propu,0), 0.01, IF(K441&gt;0, 0.1, 0.0001))</f>
        <v>0.1</v>
      </c>
      <c r="B442" s="449" t="n">
        <f aca="false">B441+pas</f>
        <v>7.79999999999995</v>
      </c>
      <c r="C442" s="432"/>
      <c r="D442" s="450" t="n">
        <f aca="false">IF(AND(L441&lt;L_rampe,Poussee&lt;Poids*SIN(M441)),0,(-W441+Poussee)/m*COS(M441)-U441/m*SIN(M441))</f>
        <v>-1.11413144589276</v>
      </c>
      <c r="E442" s="451" t="n">
        <f aca="false">IF(AND(L441&lt;L_rampe,Poussee&lt;Poids*SIN(M441)),0,(-W441+Poussee)/m*SIN(M441)+U441/m*COS(M441)-Poids/m)</f>
        <v>-13.1294412011355</v>
      </c>
      <c r="F442" s="449" t="n">
        <f aca="false">SQRT(acc_x^2+acc_z^2)</f>
        <v>13.1766276084892</v>
      </c>
      <c r="G442" s="450" t="n">
        <f aca="false">G441+acc_x*pas</f>
        <v>35.0673894446576</v>
      </c>
      <c r="H442" s="451" t="n">
        <f aca="false">H441+acc_z*pas</f>
        <v>103.498716256086</v>
      </c>
      <c r="I442" s="449" t="n">
        <f aca="false">SQRT(vit_x^2+vit_z^2)</f>
        <v>109.278113403925</v>
      </c>
      <c r="J442" s="450" t="n">
        <f aca="false">J441+0.5*(vit_x+G441)*pas*(K441&gt;=0)</f>
        <v>248.254007535553</v>
      </c>
      <c r="K442" s="451" t="n">
        <f aca="false">K441+0.5*(vit_z+H441)*pas</f>
        <v>953.543180688191</v>
      </c>
      <c r="L442" s="449" t="n">
        <f aca="false">SQRT(pos_x^2+pos_z^2)</f>
        <v>985.329716234324</v>
      </c>
      <c r="M442" s="450" t="n">
        <f aca="false">IF(AND(L441&gt;L_rampe,G442&gt;0),ATAN2(G442,H442),$M$4)</f>
        <v>1.24411632211827</v>
      </c>
      <c r="N442" s="449" t="n">
        <f aca="false">DEGREES(Beta)</f>
        <v>71.2826144807151</v>
      </c>
      <c r="O442" s="438"/>
      <c r="P442" s="452" t="n">
        <f aca="false">MATCH(t-pas/2-T_ini,CdP_t)</f>
        <v>23</v>
      </c>
      <c r="Q442" s="449" t="n">
        <f aca="false">(INDEX(CdP,2,i_P+1)-INDEX(CdP,2,i_P+0))/(INDEX(CdP,1,i_P+1)-INDEX(CdP,1,i_P+0))*(t-pas/2-T_ini-INDEX(CdP,1,i_P+0))+INDEX(CdP,2,i_P+0)</f>
        <v>0</v>
      </c>
      <c r="R442" s="450" t="n">
        <f aca="false">Poussee/(g*ISP)</f>
        <v>0</v>
      </c>
      <c r="S442" s="451" t="n">
        <f aca="false">S441-Débit*pas</f>
        <v>8.652</v>
      </c>
      <c r="T442" s="449" t="n">
        <f aca="false">m*g</f>
        <v>84.87612</v>
      </c>
      <c r="U442" s="453" t="n">
        <f aca="false">IF(pos_xz&lt;L_rampe,Poids*COS(Beta),0)</f>
        <v>0</v>
      </c>
      <c r="V442" s="450" t="n">
        <f aca="false">Rho_moyen*(20000-Alt_rampe-pos_z)/(20000+Alt_rampe+pos_z)</f>
        <v>1.11350664670216</v>
      </c>
      <c r="W442" s="449" t="n">
        <f aca="false">1/2*Rho*Sref*Cx*vit_xz^2</f>
        <v>29.566194397411</v>
      </c>
      <c r="X442" s="438"/>
      <c r="Y442" s="454" t="str">
        <f aca="false">IF(AND(pos_z&lt;=0,K441&gt;0),"Impact balistique","") &amp; IF(AND(H443&lt;0,vit_z&gt;=0),"Apogée","") &amp; IF(AND(Poussee=0,Q441&gt;0),"Fin de propulsion","") &amp; IF(AND(L443&gt;L_rampe,pos_xz&lt;=L_rampe),"Sortie de rampe","")</f>
        <v/>
      </c>
      <c r="Z442" s="455" t="str">
        <f aca="false">IF(ABS(t-T_para)&lt;pas/2,"Para","")</f>
        <v/>
      </c>
      <c r="AA442" s="456" t="str">
        <f aca="false">IF(ABS(t-T_satellite)&lt;pas/2,"Satellite","")</f>
        <v/>
      </c>
      <c r="AB442" s="444"/>
      <c r="AC442" s="452" t="e">
        <f aca="false">IF(ABS(t-ROUND(t,0))&lt;0.001,t,NA())</f>
        <v>#N/A</v>
      </c>
      <c r="AD442" s="457" t="e">
        <f aca="false">IF(ABS(t-ROUND(t,0))&lt;0.001,pos_x,NA())</f>
        <v>#N/A</v>
      </c>
      <c r="AE442" s="458" t="n">
        <f aca="false">IF(t&lt;T_para, pos_z, NA())</f>
        <v>953.543180688191</v>
      </c>
      <c r="AF442" s="444"/>
      <c r="AG442" s="450" t="n">
        <f aca="false">IF(AND(L441&lt;L_rampe,Poussee&lt;Poids*SIN(M441)),0,(-W441+Poussee)/m-Poids*SIN(M441)/m)</f>
        <v>-12.8015575876549</v>
      </c>
      <c r="AH442" s="449" t="n">
        <f aca="false">IF(AND(L441&lt;L_rampe,Poussee&lt;Poids*SIN(M441)), g*SIN(M441), (-W441+Poussee)/m)</f>
        <v>-3.50142524788446</v>
      </c>
    </row>
    <row r="443" customFormat="false" ht="12" hidden="false" customHeight="false" outlineLevel="0" collapsed="false">
      <c r="A443" s="448" t="n">
        <f aca="false">IF(B442+0.01&lt;=T_ini+ROUNDUP(Temps_fin_propu,0), 0.01, IF(K442&gt;0, 0.1, 0.0001))</f>
        <v>0.1</v>
      </c>
      <c r="B443" s="449" t="n">
        <f aca="false">B442+pas</f>
        <v>7.89999999999995</v>
      </c>
      <c r="C443" s="432"/>
      <c r="D443" s="450" t="n">
        <f aca="false">IF(AND(L442&lt;L_rampe,Poussee&lt;Poids*SIN(M442)),0,(-W442+Poussee)/m*COS(M442)-U442/m*SIN(M442))</f>
        <v>-1.09660233200327</v>
      </c>
      <c r="E443" s="451" t="n">
        <f aca="false">IF(AND(L442&lt;L_rampe,Poussee&lt;Poids*SIN(M442)),0,(-W442+Poussee)/m*SIN(M442)+U442/m*COS(M442)-Poids/m)</f>
        <v>-13.0465378604782</v>
      </c>
      <c r="F443" s="449" t="n">
        <f aca="false">SQRT(acc_x^2+acc_z^2)</f>
        <v>13.0925431761536</v>
      </c>
      <c r="G443" s="450" t="n">
        <f aca="false">G442+acc_x*pas</f>
        <v>34.9577292114573</v>
      </c>
      <c r="H443" s="451" t="n">
        <f aca="false">H442+acc_z*pas</f>
        <v>102.194062470039</v>
      </c>
      <c r="I443" s="449" t="n">
        <f aca="false">SQRT(vit_x^2+vit_z^2)</f>
        <v>108.007727666828</v>
      </c>
      <c r="J443" s="450" t="n">
        <f aca="false">J442+0.5*(vit_x+G442)*pas*(K442&gt;=0)</f>
        <v>251.755263468359</v>
      </c>
      <c r="K443" s="451" t="n">
        <f aca="false">K442+0.5*(vit_z+H442)*pas</f>
        <v>963.827819624497</v>
      </c>
      <c r="L443" s="449" t="n">
        <f aca="false">SQRT(pos_x^2+pos_z^2)</f>
        <v>996.16503580789</v>
      </c>
      <c r="M443" s="450" t="n">
        <f aca="false">IF(AND(L442&gt;L_rampe,G443&gt;0),ATAN2(G443,H443),$M$4)</f>
        <v>1.24120168131232</v>
      </c>
      <c r="N443" s="449" t="n">
        <f aca="false">DEGREES(Beta)</f>
        <v>71.115617863738</v>
      </c>
      <c r="O443" s="438"/>
      <c r="P443" s="452" t="n">
        <f aca="false">MATCH(t-pas/2-T_ini,CdP_t)</f>
        <v>23</v>
      </c>
      <c r="Q443" s="449" t="n">
        <f aca="false">(INDEX(CdP,2,i_P+1)-INDEX(CdP,2,i_P+0))/(INDEX(CdP,1,i_P+1)-INDEX(CdP,1,i_P+0))*(t-pas/2-T_ini-INDEX(CdP,1,i_P+0))+INDEX(CdP,2,i_P+0)</f>
        <v>0</v>
      </c>
      <c r="R443" s="450" t="n">
        <f aca="false">Poussee/(g*ISP)</f>
        <v>0</v>
      </c>
      <c r="S443" s="451" t="n">
        <f aca="false">S442-Débit*pas</f>
        <v>8.652</v>
      </c>
      <c r="T443" s="449" t="n">
        <f aca="false">m*g</f>
        <v>84.87612</v>
      </c>
      <c r="U443" s="453" t="n">
        <f aca="false">IF(pos_xz&lt;L_rampe,Poids*COS(Beta),0)</f>
        <v>0</v>
      </c>
      <c r="V443" s="450" t="n">
        <f aca="false">Rho_moyen*(20000-Alt_rampe-pos_z)/(20000+Alt_rampe+pos_z)</f>
        <v>1.11235939932356</v>
      </c>
      <c r="W443" s="449" t="n">
        <f aca="false">1/2*Rho*Sref*Cx*vit_xz^2</f>
        <v>28.8530032263922</v>
      </c>
      <c r="X443" s="438"/>
      <c r="Y443" s="454" t="str">
        <f aca="false">IF(AND(pos_z&lt;=0,K442&gt;0),"Impact balistique","") &amp; IF(AND(H444&lt;0,vit_z&gt;=0),"Apogée","") &amp; IF(AND(Poussee=0,Q442&gt;0),"Fin de propulsion","") &amp; IF(AND(L444&gt;L_rampe,pos_xz&lt;=L_rampe),"Sortie de rampe","")</f>
        <v/>
      </c>
      <c r="Z443" s="455" t="str">
        <f aca="false">IF(ABS(t-T_para)&lt;pas/2,"Para","")</f>
        <v/>
      </c>
      <c r="AA443" s="456" t="str">
        <f aca="false">IF(ABS(t-T_satellite)&lt;pas/2,"Satellite","")</f>
        <v/>
      </c>
      <c r="AB443" s="444"/>
      <c r="AC443" s="452" t="e">
        <f aca="false">IF(ABS(t-ROUND(t,0))&lt;0.001,t,NA())</f>
        <v>#N/A</v>
      </c>
      <c r="AD443" s="457" t="e">
        <f aca="false">IF(ABS(t-ROUND(t,0))&lt;0.001,pos_x,NA())</f>
        <v>#N/A</v>
      </c>
      <c r="AE443" s="458" t="n">
        <f aca="false">IF(t&lt;T_para, pos_z, NA())</f>
        <v>963.827819624497</v>
      </c>
      <c r="AF443" s="444"/>
      <c r="AG443" s="450" t="n">
        <f aca="false">IF(AND(L442&lt;L_rampe,Poussee&lt;Poids*SIN(M442)),0,(-W442+Poussee)/m-Poids*SIN(M442)/m)</f>
        <v>-12.7084450667165</v>
      </c>
      <c r="AH443" s="449" t="n">
        <f aca="false">IF(AND(L442&lt;L_rampe,Poussee&lt;Poids*SIN(M442)), g*SIN(M442), (-W442+Poussee)/m)</f>
        <v>-3.41726703622411</v>
      </c>
    </row>
    <row r="444" customFormat="false" ht="12" hidden="false" customHeight="false" outlineLevel="0" collapsed="false">
      <c r="A444" s="448" t="n">
        <f aca="false">IF(B443+0.01&lt;=T_ini+ROUNDUP(Temps_fin_propu,0), 0.01, IF(K443&gt;0, 0.1, 0.0001))</f>
        <v>0.1</v>
      </c>
      <c r="B444" s="449" t="n">
        <f aca="false">B443+pas</f>
        <v>7.99999999999995</v>
      </c>
      <c r="C444" s="432"/>
      <c r="D444" s="450" t="n">
        <f aca="false">IF(AND(L443&lt;L_rampe,Poussee&lt;Poids*SIN(M443)),0,(-W443+Poussee)/m*COS(M443)-U443/m*SIN(M443))</f>
        <v>-1.07935149711585</v>
      </c>
      <c r="E444" s="451" t="n">
        <f aca="false">IF(AND(L443&lt;L_rampe,Poussee&lt;Poids*SIN(M443)),0,(-W443+Poussee)/m*SIN(M443)+U443/m*COS(M443)-Poids/m)</f>
        <v>-12.9653340795155</v>
      </c>
      <c r="F444" s="449" t="n">
        <f aca="false">SQRT(acc_x^2+acc_z^2)</f>
        <v>13.0101839897741</v>
      </c>
      <c r="G444" s="450" t="n">
        <f aca="false">G443+acc_x*pas</f>
        <v>34.8497940617457</v>
      </c>
      <c r="H444" s="451" t="n">
        <f aca="false">H443+acc_z*pas</f>
        <v>100.897529062087</v>
      </c>
      <c r="I444" s="449" t="n">
        <f aca="false">SQRT(vit_x^2+vit_z^2)</f>
        <v>106.746519929133</v>
      </c>
      <c r="J444" s="450" t="n">
        <f aca="false">J443+0.5*(vit_x+G443)*pas*(K443&gt;=0)</f>
        <v>255.245639632019</v>
      </c>
      <c r="K444" s="451" t="n">
        <f aca="false">K443+0.5*(vit_z+H443)*pas</f>
        <v>973.982399201103</v>
      </c>
      <c r="L444" s="449" t="n">
        <f aca="false">SQRT(pos_x^2+pos_z^2)</f>
        <v>1006.87241024109</v>
      </c>
      <c r="M444" s="450" t="n">
        <f aca="false">IF(AND(L443&gt;L_rampe,G444&gt;0),ATAN2(G444,H444),$M$4)</f>
        <v>1.23822724751558</v>
      </c>
      <c r="N444" s="449" t="n">
        <f aca="false">DEGREES(Beta)</f>
        <v>70.9451953607433</v>
      </c>
      <c r="O444" s="438"/>
      <c r="P444" s="452" t="n">
        <f aca="false">MATCH(t-pas/2-T_ini,CdP_t)</f>
        <v>23</v>
      </c>
      <c r="Q444" s="449" t="n">
        <f aca="false">(INDEX(CdP,2,i_P+1)-INDEX(CdP,2,i_P+0))/(INDEX(CdP,1,i_P+1)-INDEX(CdP,1,i_P+0))*(t-pas/2-T_ini-INDEX(CdP,1,i_P+0))+INDEX(CdP,2,i_P+0)</f>
        <v>0</v>
      </c>
      <c r="R444" s="450" t="n">
        <f aca="false">Poussee/(g*ISP)</f>
        <v>0</v>
      </c>
      <c r="S444" s="451" t="n">
        <f aca="false">S443-Débit*pas</f>
        <v>8.652</v>
      </c>
      <c r="T444" s="449" t="n">
        <f aca="false">m*g</f>
        <v>84.87612</v>
      </c>
      <c r="U444" s="453" t="n">
        <f aca="false">IF(pos_xz&lt;L_rampe,Poids*COS(Beta),0)</f>
        <v>0</v>
      </c>
      <c r="V444" s="450" t="n">
        <f aca="false">Rho_moyen*(20000-Alt_rampe-pos_z)/(20000+Alt_rampe+pos_z)</f>
        <v>1.11122776387313</v>
      </c>
      <c r="W444" s="449" t="n">
        <f aca="false">1/2*Rho*Sref*Cx*vit_xz^2</f>
        <v>28.154432082321</v>
      </c>
      <c r="X444" s="438"/>
      <c r="Y444" s="454" t="str">
        <f aca="false">IF(AND(pos_z&lt;=0,K443&gt;0),"Impact balistique","") &amp; IF(AND(H445&lt;0,vit_z&gt;=0),"Apogée","") &amp; IF(AND(Poussee=0,Q443&gt;0),"Fin de propulsion","") &amp; IF(AND(L445&gt;L_rampe,pos_xz&lt;=L_rampe),"Sortie de rampe","")</f>
        <v/>
      </c>
      <c r="Z444" s="455" t="str">
        <f aca="false">IF(ABS(t-T_para)&lt;pas/2,"Para","")</f>
        <v/>
      </c>
      <c r="AA444" s="456" t="str">
        <f aca="false">IF(ABS(t-T_satellite)&lt;pas/2,"Satellite","")</f>
        <v/>
      </c>
      <c r="AB444" s="444"/>
      <c r="AC444" s="452" t="n">
        <f aca="false">IF(ABS(t-ROUND(t,0))&lt;0.001,t,NA())</f>
        <v>7.99999999999995</v>
      </c>
      <c r="AD444" s="457" t="n">
        <f aca="false">IF(ABS(t-ROUND(t,0))&lt;0.001,pos_x,NA())</f>
        <v>255.245639632019</v>
      </c>
      <c r="AE444" s="458" t="n">
        <f aca="false">IF(t&lt;T_para, pos_z, NA())</f>
        <v>973.982399201103</v>
      </c>
      <c r="AF444" s="444"/>
      <c r="AG444" s="450" t="n">
        <f aca="false">IF(AND(L443&lt;L_rampe,Poussee&lt;Poids*SIN(M443)),0,(-W443+Poussee)/m-Poids*SIN(M443)/m)</f>
        <v>-12.6167994426348</v>
      </c>
      <c r="AH444" s="449" t="n">
        <f aca="false">IF(AND(L443&lt;L_rampe,Poussee&lt;Poids*SIN(M443)), g*SIN(M443), (-W443+Poussee)/m)</f>
        <v>-3.33483624900511</v>
      </c>
    </row>
    <row r="445" customFormat="false" ht="12" hidden="false" customHeight="false" outlineLevel="0" collapsed="false">
      <c r="A445" s="448" t="n">
        <f aca="false">IF(B444+0.01&lt;=T_ini+ROUNDUP(Temps_fin_propu,0), 0.01, IF(K444&gt;0, 0.1, 0.0001))</f>
        <v>0.1</v>
      </c>
      <c r="B445" s="449" t="n">
        <f aca="false">B444+pas</f>
        <v>8.09999999999995</v>
      </c>
      <c r="C445" s="432"/>
      <c r="D445" s="450" t="n">
        <f aca="false">IF(AND(L444&lt;L_rampe,Poussee&lt;Poids*SIN(M444)),0,(-W444+Poussee)/m*COS(M444)-U444/m*SIN(M444))</f>
        <v>-1.06237233131158</v>
      </c>
      <c r="E445" s="451" t="n">
        <f aca="false">IF(AND(L444&lt;L_rampe,Poussee&lt;Poids*SIN(M444)),0,(-W444+Poussee)/m*SIN(M444)+U444/m*COS(M444)-Poids/m)</f>
        <v>-12.8857927287418</v>
      </c>
      <c r="F445" s="449" t="n">
        <f aca="false">SQRT(acc_x^2+acc_z^2)</f>
        <v>12.9295123349039</v>
      </c>
      <c r="G445" s="450" t="n">
        <f aca="false">G444+acc_x*pas</f>
        <v>34.7435568286145</v>
      </c>
      <c r="H445" s="451" t="n">
        <f aca="false">H444+acc_z*pas</f>
        <v>99.6089497892129</v>
      </c>
      <c r="I445" s="449" t="n">
        <f aca="false">SQRT(vit_x^2+vit_z^2)</f>
        <v>105.494348754865</v>
      </c>
      <c r="J445" s="450" t="n">
        <f aca="false">J444+0.5*(vit_x+G444)*pas*(K444&gt;=0)</f>
        <v>258.725307176537</v>
      </c>
      <c r="K445" s="451" t="n">
        <f aca="false">K444+0.5*(vit_z+H444)*pas</f>
        <v>984.007723143668</v>
      </c>
      <c r="L445" s="449" t="n">
        <f aca="false">SQRT(pos_x^2+pos_z^2)</f>
        <v>1017.45269363248</v>
      </c>
      <c r="M445" s="450" t="n">
        <f aca="false">IF(AND(L444&gt;L_rampe,G445&gt;0),ATAN2(G445,H445),$M$4)</f>
        <v>1.23519135095793</v>
      </c>
      <c r="N445" s="449" t="n">
        <f aca="false">DEGREES(Beta)</f>
        <v>70.7712513009517</v>
      </c>
      <c r="O445" s="438"/>
      <c r="P445" s="452" t="n">
        <f aca="false">MATCH(t-pas/2-T_ini,CdP_t)</f>
        <v>23</v>
      </c>
      <c r="Q445" s="449" t="n">
        <f aca="false">(INDEX(CdP,2,i_P+1)-INDEX(CdP,2,i_P+0))/(INDEX(CdP,1,i_P+1)-INDEX(CdP,1,i_P+0))*(t-pas/2-T_ini-INDEX(CdP,1,i_P+0))+INDEX(CdP,2,i_P+0)</f>
        <v>0</v>
      </c>
      <c r="R445" s="450" t="n">
        <f aca="false">Poussee/(g*ISP)</f>
        <v>0</v>
      </c>
      <c r="S445" s="451" t="n">
        <f aca="false">S444-Débit*pas</f>
        <v>8.652</v>
      </c>
      <c r="T445" s="449" t="n">
        <f aca="false">m*g</f>
        <v>84.87612</v>
      </c>
      <c r="U445" s="453" t="n">
        <f aca="false">IF(pos_xz&lt;L_rampe,Poids*COS(Beta),0)</f>
        <v>0</v>
      </c>
      <c r="V445" s="450" t="n">
        <f aca="false">Rho_moyen*(20000-Alt_rampe-pos_z)/(20000+Alt_rampe+pos_z)</f>
        <v>1.11011160720537</v>
      </c>
      <c r="W445" s="449" t="n">
        <f aca="false">1/2*Rho*Sref*Cx*vit_xz^2</f>
        <v>27.4701652199617</v>
      </c>
      <c r="X445" s="438"/>
      <c r="Y445" s="454" t="str">
        <f aca="false">IF(AND(pos_z&lt;=0,K444&gt;0),"Impact balistique","") &amp; IF(AND(H446&lt;0,vit_z&gt;=0),"Apogée","") &amp; IF(AND(Poussee=0,Q444&gt;0),"Fin de propulsion","") &amp; IF(AND(L446&gt;L_rampe,pos_xz&lt;=L_rampe),"Sortie de rampe","")</f>
        <v/>
      </c>
      <c r="Z445" s="455" t="str">
        <f aca="false">IF(ABS(t-T_para)&lt;pas/2,"Para","")</f>
        <v/>
      </c>
      <c r="AA445" s="456" t="str">
        <f aca="false">IF(ABS(t-T_satellite)&lt;pas/2,"Satellite","")</f>
        <v/>
      </c>
      <c r="AB445" s="444"/>
      <c r="AC445" s="452" t="e">
        <f aca="false">IF(ABS(t-ROUND(t,0))&lt;0.001,t,NA())</f>
        <v>#N/A</v>
      </c>
      <c r="AD445" s="457" t="e">
        <f aca="false">IF(ABS(t-ROUND(t,0))&lt;0.001,pos_x,NA())</f>
        <v>#N/A</v>
      </c>
      <c r="AE445" s="458" t="n">
        <f aca="false">IF(t&lt;T_para, pos_z, NA())</f>
        <v>984.007723143668</v>
      </c>
      <c r="AF445" s="444"/>
      <c r="AG445" s="450" t="n">
        <f aca="false">IF(AND(L444&lt;L_rampe,Poussee&lt;Poids*SIN(M444)),0,(-W444+Poussee)/m-Poids*SIN(M444)/m)</f>
        <v>-12.526573270839</v>
      </c>
      <c r="AH445" s="449" t="n">
        <f aca="false">IF(AND(L444&lt;L_rampe,Poussee&lt;Poids*SIN(M444)), g*SIN(M444), (-W444+Poussee)/m)</f>
        <v>-3.25409524760992</v>
      </c>
    </row>
    <row r="446" customFormat="false" ht="12" hidden="false" customHeight="false" outlineLevel="0" collapsed="false">
      <c r="A446" s="448" t="n">
        <f aca="false">IF(B445+0.01&lt;=T_ini+ROUNDUP(Temps_fin_propu,0), 0.01, IF(K445&gt;0, 0.1, 0.0001))</f>
        <v>0.1</v>
      </c>
      <c r="B446" s="449" t="n">
        <f aca="false">B445+pas</f>
        <v>8.19999999999994</v>
      </c>
      <c r="C446" s="432"/>
      <c r="D446" s="450" t="n">
        <f aca="false">IF(AND(L445&lt;L_rampe,Poussee&lt;Poids*SIN(M445)),0,(-W445+Poussee)/m*COS(M445)-U445/m*SIN(M445))</f>
        <v>-1.04565842753218</v>
      </c>
      <c r="E446" s="451" t="n">
        <f aca="false">IF(AND(L445&lt;L_rampe,Poussee&lt;Poids*SIN(M445)),0,(-W445+Poussee)/m*SIN(M445)+U445/m*COS(M445)-Poids/m)</f>
        <v>-12.8078778027395</v>
      </c>
      <c r="F446" s="449" t="n">
        <f aca="false">SQRT(acc_x^2+acc_z^2)</f>
        <v>12.8504916387263</v>
      </c>
      <c r="G446" s="450" t="n">
        <f aca="false">G445+acc_x*pas</f>
        <v>34.6389909858613</v>
      </c>
      <c r="H446" s="451" t="n">
        <f aca="false">H445+acc_z*pas</f>
        <v>98.3281620089389</v>
      </c>
      <c r="I446" s="449" t="n">
        <f aca="false">SQRT(vit_x^2+vit_z^2)</f>
        <v>104.251077407261</v>
      </c>
      <c r="J446" s="450" t="n">
        <f aca="false">J445+0.5*(vit_x+G445)*pas*(K445&gt;=0)</f>
        <v>262.194434567261</v>
      </c>
      <c r="K446" s="451" t="n">
        <f aca="false">K445+0.5*(vit_z+H445)*pas</f>
        <v>993.904578733576</v>
      </c>
      <c r="L446" s="449" t="n">
        <f aca="false">SQRT(pos_x^2+pos_z^2)</f>
        <v>1027.90672395194</v>
      </c>
      <c r="M446" s="450" t="n">
        <f aca="false">IF(AND(L445&gt;L_rampe,G446&gt;0),ATAN2(G446,H446),$M$4)</f>
        <v>1.23209226064971</v>
      </c>
      <c r="N446" s="449" t="n">
        <f aca="false">DEGREES(Beta)</f>
        <v>70.5936865059611</v>
      </c>
      <c r="O446" s="438"/>
      <c r="P446" s="452" t="n">
        <f aca="false">MATCH(t-pas/2-T_ini,CdP_t)</f>
        <v>23</v>
      </c>
      <c r="Q446" s="449" t="n">
        <f aca="false">(INDEX(CdP,2,i_P+1)-INDEX(CdP,2,i_P+0))/(INDEX(CdP,1,i_P+1)-INDEX(CdP,1,i_P+0))*(t-pas/2-T_ini-INDEX(CdP,1,i_P+0))+INDEX(CdP,2,i_P+0)</f>
        <v>0</v>
      </c>
      <c r="R446" s="450" t="n">
        <f aca="false">Poussee/(g*ISP)</f>
        <v>0</v>
      </c>
      <c r="S446" s="451" t="n">
        <f aca="false">S445-Débit*pas</f>
        <v>8.652</v>
      </c>
      <c r="T446" s="449" t="n">
        <f aca="false">m*g</f>
        <v>84.87612</v>
      </c>
      <c r="U446" s="453" t="n">
        <f aca="false">IF(pos_xz&lt;L_rampe,Poids*COS(Beta),0)</f>
        <v>0</v>
      </c>
      <c r="V446" s="450" t="n">
        <f aca="false">Rho_moyen*(20000-Alt_rampe-pos_z)/(20000+Alt_rampe+pos_z)</f>
        <v>1.10901079900287</v>
      </c>
      <c r="W446" s="449" t="n">
        <f aca="false">1/2*Rho*Sref*Cx*vit_xz^2</f>
        <v>26.7998964540199</v>
      </c>
      <c r="X446" s="438"/>
      <c r="Y446" s="454" t="str">
        <f aca="false">IF(AND(pos_z&lt;=0,K445&gt;0),"Impact balistique","") &amp; IF(AND(H447&lt;0,vit_z&gt;=0),"Apogée","") &amp; IF(AND(Poussee=0,Q445&gt;0),"Fin de propulsion","") &amp; IF(AND(L447&gt;L_rampe,pos_xz&lt;=L_rampe),"Sortie de rampe","")</f>
        <v/>
      </c>
      <c r="Z446" s="455" t="str">
        <f aca="false">IF(ABS(t-T_para)&lt;pas/2,"Para","")</f>
        <v/>
      </c>
      <c r="AA446" s="456" t="str">
        <f aca="false">IF(ABS(t-T_satellite)&lt;pas/2,"Satellite","")</f>
        <v/>
      </c>
      <c r="AB446" s="444"/>
      <c r="AC446" s="452" t="e">
        <f aca="false">IF(ABS(t-ROUND(t,0))&lt;0.001,t,NA())</f>
        <v>#N/A</v>
      </c>
      <c r="AD446" s="457" t="e">
        <f aca="false">IF(ABS(t-ROUND(t,0))&lt;0.001,pos_x,NA())</f>
        <v>#N/A</v>
      </c>
      <c r="AE446" s="458" t="n">
        <f aca="false">IF(t&lt;T_para, pos_z, NA())</f>
        <v>993.904578733576</v>
      </c>
      <c r="AF446" s="444"/>
      <c r="AG446" s="450" t="n">
        <f aca="false">IF(AND(L445&lt;L_rampe,Poussee&lt;Poids*SIN(M445)),0,(-W445+Poussee)/m-Poids*SIN(M445)/m)</f>
        <v>-12.4377197968078</v>
      </c>
      <c r="AH446" s="449" t="n">
        <f aca="false">IF(AND(L445&lt;L_rampe,Poussee&lt;Poids*SIN(M445)), g*SIN(M445), (-W445+Poussee)/m)</f>
        <v>-3.17500753813704</v>
      </c>
    </row>
    <row r="447" customFormat="false" ht="12" hidden="false" customHeight="false" outlineLevel="0" collapsed="false">
      <c r="A447" s="448" t="n">
        <f aca="false">IF(B446+0.01&lt;=T_ini+ROUNDUP(Temps_fin_propu,0), 0.01, IF(K446&gt;0, 0.1, 0.0001))</f>
        <v>0.1</v>
      </c>
      <c r="B447" s="449" t="n">
        <f aca="false">B446+pas</f>
        <v>8.29999999999994</v>
      </c>
      <c r="C447" s="432"/>
      <c r="D447" s="450" t="n">
        <f aca="false">IF(AND(L446&lt;L_rampe,Poussee&lt;Poids*SIN(M446)),0,(-W446+Poussee)/m*COS(M446)-U446/m*SIN(M446))</f>
        <v>-1.02920357499013</v>
      </c>
      <c r="E447" s="451" t="n">
        <f aca="false">IF(AND(L446&lt;L_rampe,Poussee&lt;Poids*SIN(M446)),0,(-W446+Poussee)/m*SIN(M446)+U446/m*COS(M446)-Poids/m)</f>
        <v>-12.7315543808166</v>
      </c>
      <c r="F447" s="449" t="n">
        <f aca="false">SQRT(acc_x^2+acc_z^2)</f>
        <v>12.7730864300866</v>
      </c>
      <c r="G447" s="450" t="n">
        <f aca="false">G446+acc_x*pas</f>
        <v>34.5360706283623</v>
      </c>
      <c r="H447" s="451" t="n">
        <f aca="false">H446+acc_z*pas</f>
        <v>97.0550065708573</v>
      </c>
      <c r="I447" s="449" t="n">
        <f aca="false">SQRT(vit_x^2+vit_z^2)</f>
        <v>103.016573787505</v>
      </c>
      <c r="J447" s="450" t="n">
        <f aca="false">J446+0.5*(vit_x+G446)*pas*(K446&gt;=0)</f>
        <v>265.653187647972</v>
      </c>
      <c r="K447" s="451" t="n">
        <f aca="false">K446+0.5*(vit_z+H446)*pas</f>
        <v>1003.67373716257</v>
      </c>
      <c r="L447" s="449" t="n">
        <f aca="false">SQRT(pos_x^2+pos_z^2)</f>
        <v>1038.23532341055</v>
      </c>
      <c r="M447" s="450" t="n">
        <f aca="false">IF(AND(L446&gt;L_rampe,G447&gt;0),ATAN2(G447,H447),$M$4)</f>
        <v>1.22892818170186</v>
      </c>
      <c r="N447" s="449" t="n">
        <f aca="false">DEGREES(Beta)</f>
        <v>70.4123981362028</v>
      </c>
      <c r="O447" s="438"/>
      <c r="P447" s="452" t="n">
        <f aca="false">MATCH(t-pas/2-T_ini,CdP_t)</f>
        <v>23</v>
      </c>
      <c r="Q447" s="449" t="n">
        <f aca="false">(INDEX(CdP,2,i_P+1)-INDEX(CdP,2,i_P+0))/(INDEX(CdP,1,i_P+1)-INDEX(CdP,1,i_P+0))*(t-pas/2-T_ini-INDEX(CdP,1,i_P+0))+INDEX(CdP,2,i_P+0)</f>
        <v>0</v>
      </c>
      <c r="R447" s="450" t="n">
        <f aca="false">Poussee/(g*ISP)</f>
        <v>0</v>
      </c>
      <c r="S447" s="451" t="n">
        <f aca="false">S446-Débit*pas</f>
        <v>8.652</v>
      </c>
      <c r="T447" s="449" t="n">
        <f aca="false">m*g</f>
        <v>84.87612</v>
      </c>
      <c r="U447" s="453" t="n">
        <f aca="false">IF(pos_xz&lt;L_rampe,Poids*COS(Beta),0)</f>
        <v>0</v>
      </c>
      <c r="V447" s="450" t="n">
        <f aca="false">Rho_moyen*(20000-Alt_rampe-pos_z)/(20000+Alt_rampe+pos_z)</f>
        <v>1.10792521171201</v>
      </c>
      <c r="W447" s="449" t="n">
        <f aca="false">1/2*Rho*Sref*Cx*vit_xz^2</f>
        <v>26.1433288292536</v>
      </c>
      <c r="X447" s="438"/>
      <c r="Y447" s="454" t="str">
        <f aca="false">IF(AND(pos_z&lt;=0,K446&gt;0),"Impact balistique","") &amp; IF(AND(H448&lt;0,vit_z&gt;=0),"Apogée","") &amp; IF(AND(Poussee=0,Q446&gt;0),"Fin de propulsion","") &amp; IF(AND(L448&gt;L_rampe,pos_xz&lt;=L_rampe),"Sortie de rampe","")</f>
        <v/>
      </c>
      <c r="Z447" s="455" t="str">
        <f aca="false">IF(ABS(t-T_para)&lt;pas/2,"Para","")</f>
        <v/>
      </c>
      <c r="AA447" s="456" t="str">
        <f aca="false">IF(ABS(t-T_satellite)&lt;pas/2,"Satellite","")</f>
        <v/>
      </c>
      <c r="AB447" s="444"/>
      <c r="AC447" s="452" t="e">
        <f aca="false">IF(ABS(t-ROUND(t,0))&lt;0.001,t,NA())</f>
        <v>#N/A</v>
      </c>
      <c r="AD447" s="457" t="e">
        <f aca="false">IF(ABS(t-ROUND(t,0))&lt;0.001,pos_x,NA())</f>
        <v>#N/A</v>
      </c>
      <c r="AE447" s="458" t="n">
        <f aca="false">IF(t&lt;T_para, pos_z, NA())</f>
        <v>1003.67373716257</v>
      </c>
      <c r="AF447" s="444"/>
      <c r="AG447" s="450" t="n">
        <f aca="false">IF(AND(L446&lt;L_rampe,Poussee&lt;Poids*SIN(M446)),0,(-W446+Poussee)/m-Poids*SIN(M446)/m)</f>
        <v>-12.3501928916235</v>
      </c>
      <c r="AH447" s="449" t="n">
        <f aca="false">IF(AND(L446&lt;L_rampe,Poussee&lt;Poids*SIN(M446)), g*SIN(M446), (-W446+Poussee)/m)</f>
        <v>-3.09753773162505</v>
      </c>
    </row>
    <row r="448" customFormat="false" ht="12" hidden="false" customHeight="false" outlineLevel="0" collapsed="false">
      <c r="A448" s="448" t="n">
        <f aca="false">IF(B447+0.01&lt;=T_ini+ROUNDUP(Temps_fin_propu,0), 0.01, IF(K447&gt;0, 0.1, 0.0001))</f>
        <v>0.1</v>
      </c>
      <c r="B448" s="449" t="n">
        <f aca="false">B447+pas</f>
        <v>8.39999999999994</v>
      </c>
      <c r="C448" s="432"/>
      <c r="D448" s="450" t="n">
        <f aca="false">IF(AND(L447&lt;L_rampe,Poussee&lt;Poids*SIN(M447)),0,(-W447+Poussee)/m*COS(M447)-U447/m*SIN(M447))</f>
        <v>-1.01300175288438</v>
      </c>
      <c r="E448" s="451" t="n">
        <f aca="false">IF(AND(L447&lt;L_rampe,Poussee&lt;Poids*SIN(M447)),0,(-W447+Poussee)/m*SIN(M447)+U447/m*COS(M447)-Poids/m)</f>
        <v>-12.6567885892537</v>
      </c>
      <c r="F448" s="449" t="n">
        <f aca="false">SQRT(acc_x^2+acc_z^2)</f>
        <v>12.6972623011581</v>
      </c>
      <c r="G448" s="450" t="n">
        <f aca="false">G447+acc_x*pas</f>
        <v>34.4347704530739</v>
      </c>
      <c r="H448" s="451" t="n">
        <f aca="false">H447+acc_z*pas</f>
        <v>95.7893277119319</v>
      </c>
      <c r="I448" s="449" t="n">
        <f aca="false">SQRT(vit_x^2+vit_z^2)</f>
        <v>101.790710379974</v>
      </c>
      <c r="J448" s="450" t="n">
        <f aca="false">J447+0.5*(vit_x+G447)*pas*(K447&gt;=0)</f>
        <v>269.101729702044</v>
      </c>
      <c r="K448" s="451" t="n">
        <f aca="false">K447+0.5*(vit_z+H447)*pas</f>
        <v>1013.3159538767</v>
      </c>
      <c r="L448" s="449" t="n">
        <f aca="false">SQRT(pos_x^2+pos_z^2)</f>
        <v>1048.43929881977</v>
      </c>
      <c r="M448" s="450" t="n">
        <f aca="false">IF(AND(L447&gt;L_rampe,G448&gt;0),ATAN2(G448,H448),$M$4)</f>
        <v>1.22569725251266</v>
      </c>
      <c r="N448" s="449" t="n">
        <f aca="false">DEGREES(Beta)</f>
        <v>70.2272795297562</v>
      </c>
      <c r="O448" s="438"/>
      <c r="P448" s="452" t="n">
        <f aca="false">MATCH(t-pas/2-T_ini,CdP_t)</f>
        <v>23</v>
      </c>
      <c r="Q448" s="449" t="n">
        <f aca="false">(INDEX(CdP,2,i_P+1)-INDEX(CdP,2,i_P+0))/(INDEX(CdP,1,i_P+1)-INDEX(CdP,1,i_P+0))*(t-pas/2-T_ini-INDEX(CdP,1,i_P+0))+INDEX(CdP,2,i_P+0)</f>
        <v>0</v>
      </c>
      <c r="R448" s="450" t="n">
        <f aca="false">Poussee/(g*ISP)</f>
        <v>0</v>
      </c>
      <c r="S448" s="451" t="n">
        <f aca="false">S447-Débit*pas</f>
        <v>8.652</v>
      </c>
      <c r="T448" s="449" t="n">
        <f aca="false">m*g</f>
        <v>84.87612</v>
      </c>
      <c r="U448" s="453" t="n">
        <f aca="false">IF(pos_xz&lt;L_rampe,Poids*COS(Beta),0)</f>
        <v>0</v>
      </c>
      <c r="V448" s="450" t="n">
        <f aca="false">Rho_moyen*(20000-Alt_rampe-pos_z)/(20000+Alt_rampe+pos_z)</f>
        <v>1.10685472048071</v>
      </c>
      <c r="W448" s="449" t="n">
        <f aca="false">1/2*Rho*Sref*Cx*vit_xz^2</f>
        <v>25.5001743041695</v>
      </c>
      <c r="X448" s="438"/>
      <c r="Y448" s="454" t="str">
        <f aca="false">IF(AND(pos_z&lt;=0,K447&gt;0),"Impact balistique","") &amp; IF(AND(H449&lt;0,vit_z&gt;=0),"Apogée","") &amp; IF(AND(Poussee=0,Q447&gt;0),"Fin de propulsion","") &amp; IF(AND(L449&gt;L_rampe,pos_xz&lt;=L_rampe),"Sortie de rampe","")</f>
        <v/>
      </c>
      <c r="Z448" s="455" t="str">
        <f aca="false">IF(ABS(t-T_para)&lt;pas/2,"Para","")</f>
        <v/>
      </c>
      <c r="AA448" s="456" t="str">
        <f aca="false">IF(ABS(t-T_satellite)&lt;pas/2,"Satellite","")</f>
        <v/>
      </c>
      <c r="AB448" s="444"/>
      <c r="AC448" s="452" t="e">
        <f aca="false">IF(ABS(t-ROUND(t,0))&lt;0.001,t,NA())</f>
        <v>#N/A</v>
      </c>
      <c r="AD448" s="457" t="e">
        <f aca="false">IF(ABS(t-ROUND(t,0))&lt;0.001,pos_x,NA())</f>
        <v>#N/A</v>
      </c>
      <c r="AE448" s="458" t="n">
        <f aca="false">IF(t&lt;T_para, pos_z, NA())</f>
        <v>1013.3159538767</v>
      </c>
      <c r="AF448" s="444"/>
      <c r="AG448" s="450" t="n">
        <f aca="false">IF(AND(L447&lt;L_rampe,Poussee&lt;Poids*SIN(M447)),0,(-W447+Poussee)/m-Poids*SIN(M447)/m)</f>
        <v>-12.2639469876593</v>
      </c>
      <c r="AH448" s="449" t="n">
        <f aca="false">IF(AND(L447&lt;L_rampe,Poussee&lt;Poids*SIN(M447)), g*SIN(M447), (-W447+Poussee)/m)</f>
        <v>-3.0216515059239</v>
      </c>
    </row>
    <row r="449" customFormat="false" ht="12" hidden="false" customHeight="false" outlineLevel="0" collapsed="false">
      <c r="A449" s="448" t="n">
        <f aca="false">IF(B448+0.01&lt;=T_ini+ROUNDUP(Temps_fin_propu,0), 0.01, IF(K448&gt;0, 0.1, 0.0001))</f>
        <v>0.1</v>
      </c>
      <c r="B449" s="449" t="n">
        <f aca="false">B448+pas</f>
        <v>8.49999999999994</v>
      </c>
      <c r="C449" s="432"/>
      <c r="D449" s="450" t="n">
        <f aca="false">IF(AND(L448&lt;L_rampe,Poussee&lt;Poids*SIN(M448)),0,(-W448+Poussee)/m*COS(M448)-U448/m*SIN(M448))</f>
        <v>-0.997047124409843</v>
      </c>
      <c r="E449" s="451" t="n">
        <f aca="false">IF(AND(L448&lt;L_rampe,Poussee&lt;Poids*SIN(M448)),0,(-W448+Poussee)/m*SIN(M448)+U448/m*COS(M448)-Poids/m)</f>
        <v>-12.5835475650835</v>
      </c>
      <c r="F449" s="449" t="n">
        <f aca="false">SQRT(acc_x^2+acc_z^2)</f>
        <v>12.6229858706652</v>
      </c>
      <c r="G449" s="450" t="n">
        <f aca="false">G448+acc_x*pas</f>
        <v>34.3350657406329</v>
      </c>
      <c r="H449" s="451" t="n">
        <f aca="false">H448+acc_z*pas</f>
        <v>94.5309729554236</v>
      </c>
      <c r="I449" s="449" t="n">
        <f aca="false">SQRT(vit_x^2+vit_z^2)</f>
        <v>100.573364204011</v>
      </c>
      <c r="J449" s="450" t="n">
        <f aca="false">J448+0.5*(vit_x+G448)*pas*(K448&gt;=0)</f>
        <v>272.540221511729</v>
      </c>
      <c r="K449" s="451" t="n">
        <f aca="false">K448+0.5*(vit_z+H448)*pas</f>
        <v>1022.83196891007</v>
      </c>
      <c r="L449" s="449" t="n">
        <f aca="false">SQRT(pos_x^2+pos_z^2)</f>
        <v>1058.51944194054</v>
      </c>
      <c r="M449" s="450" t="n">
        <f aca="false">IF(AND(L448&gt;L_rampe,G449&gt;0),ATAN2(G449,H449),$M$4)</f>
        <v>1.22239754181403</v>
      </c>
      <c r="N449" s="449" t="n">
        <f aca="false">DEGREES(Beta)</f>
        <v>70.0382200331107</v>
      </c>
      <c r="O449" s="438"/>
      <c r="P449" s="452" t="n">
        <f aca="false">MATCH(t-pas/2-T_ini,CdP_t)</f>
        <v>23</v>
      </c>
      <c r="Q449" s="449" t="n">
        <f aca="false">(INDEX(CdP,2,i_P+1)-INDEX(CdP,2,i_P+0))/(INDEX(CdP,1,i_P+1)-INDEX(CdP,1,i_P+0))*(t-pas/2-T_ini-INDEX(CdP,1,i_P+0))+INDEX(CdP,2,i_P+0)</f>
        <v>0</v>
      </c>
      <c r="R449" s="450" t="n">
        <f aca="false">Poussee/(g*ISP)</f>
        <v>0</v>
      </c>
      <c r="S449" s="451" t="n">
        <f aca="false">S448-Débit*pas</f>
        <v>8.652</v>
      </c>
      <c r="T449" s="449" t="n">
        <f aca="false">m*g</f>
        <v>84.87612</v>
      </c>
      <c r="U449" s="453" t="n">
        <f aca="false">IF(pos_xz&lt;L_rampe,Poids*COS(Beta),0)</f>
        <v>0</v>
      </c>
      <c r="V449" s="450" t="n">
        <f aca="false">Rho_moyen*(20000-Alt_rampe-pos_z)/(20000+Alt_rampe+pos_z)</f>
        <v>1.10579920309806</v>
      </c>
      <c r="W449" s="449" t="n">
        <f aca="false">1/2*Rho*Sref*Cx*vit_xz^2</f>
        <v>24.870153447675</v>
      </c>
      <c r="X449" s="438"/>
      <c r="Y449" s="454" t="str">
        <f aca="false">IF(AND(pos_z&lt;=0,K448&gt;0),"Impact balistique","") &amp; IF(AND(H450&lt;0,vit_z&gt;=0),"Apogée","") &amp; IF(AND(Poussee=0,Q448&gt;0),"Fin de propulsion","") &amp; IF(AND(L450&gt;L_rampe,pos_xz&lt;=L_rampe),"Sortie de rampe","")</f>
        <v/>
      </c>
      <c r="Z449" s="455" t="str">
        <f aca="false">IF(ABS(t-T_para)&lt;pas/2,"Para","")</f>
        <v/>
      </c>
      <c r="AA449" s="456" t="str">
        <f aca="false">IF(ABS(t-T_satellite)&lt;pas/2,"Satellite","")</f>
        <v/>
      </c>
      <c r="AB449" s="444"/>
      <c r="AC449" s="452" t="e">
        <f aca="false">IF(ABS(t-ROUND(t,0))&lt;0.001,t,NA())</f>
        <v>#N/A</v>
      </c>
      <c r="AD449" s="457" t="e">
        <f aca="false">IF(ABS(t-ROUND(t,0))&lt;0.001,pos_x,NA())</f>
        <v>#N/A</v>
      </c>
      <c r="AE449" s="458" t="n">
        <f aca="false">IF(t&lt;T_para, pos_z, NA())</f>
        <v>1022.83196891007</v>
      </c>
      <c r="AF449" s="444"/>
      <c r="AG449" s="450" t="n">
        <f aca="false">IF(AND(L448&lt;L_rampe,Poussee&lt;Poids*SIN(M448)),0,(-W448+Poussee)/m-Poids*SIN(M448)/m)</f>
        <v>-12.1789370142201</v>
      </c>
      <c r="AH449" s="449" t="n">
        <f aca="false">IF(AND(L448&lt;L_rampe,Poussee&lt;Poids*SIN(M448)), g*SIN(M448), (-W448+Poussee)/m)</f>
        <v>-2.94731556913656</v>
      </c>
    </row>
    <row r="450" customFormat="false" ht="12" hidden="false" customHeight="false" outlineLevel="0" collapsed="false">
      <c r="A450" s="448" t="n">
        <f aca="false">IF(B449+0.01&lt;=T_ini+ROUNDUP(Temps_fin_propu,0), 0.01, IF(K449&gt;0, 0.1, 0.0001))</f>
        <v>0.1</v>
      </c>
      <c r="B450" s="449" t="n">
        <f aca="false">B449+pas</f>
        <v>8.59999999999994</v>
      </c>
      <c r="C450" s="432"/>
      <c r="D450" s="450" t="n">
        <f aca="false">IF(AND(L449&lt;L_rampe,Poussee&lt;Poids*SIN(M449)),0,(-W449+Poussee)/m*COS(M449)-U449/m*SIN(M449))</f>
        <v>-0.981334031049077</v>
      </c>
      <c r="E450" s="451" t="n">
        <f aca="false">IF(AND(L449&lt;L_rampe,Poussee&lt;Poids*SIN(M449)),0,(-W449+Poussee)/m*SIN(M449)+U449/m*COS(M449)-Poids/m)</f>
        <v>-12.5117994213291</v>
      </c>
      <c r="F450" s="449" t="n">
        <f aca="false">SQRT(acc_x^2+acc_z^2)</f>
        <v>12.5502247485878</v>
      </c>
      <c r="G450" s="450" t="n">
        <f aca="false">G449+acc_x*pas</f>
        <v>34.236932337528</v>
      </c>
      <c r="H450" s="451" t="n">
        <f aca="false">H449+acc_z*pas</f>
        <v>93.2797930132906</v>
      </c>
      <c r="I450" s="449" t="n">
        <f aca="false">SQRT(vit_x^2+vit_z^2)</f>
        <v>99.364416772237</v>
      </c>
      <c r="J450" s="450" t="n">
        <f aca="false">J449+0.5*(vit_x+G449)*pas*(K449&gt;=0)</f>
        <v>275.968821415637</v>
      </c>
      <c r="K450" s="451" t="n">
        <f aca="false">K449+0.5*(vit_z+H449)*pas</f>
        <v>1032.22250720851</v>
      </c>
      <c r="L450" s="449" t="n">
        <f aca="false">SQRT(pos_x^2+pos_z^2)</f>
        <v>1068.47652982242</v>
      </c>
      <c r="M450" s="450" t="n">
        <f aca="false">IF(AND(L449&gt;L_rampe,G450&gt;0),ATAN2(G450,H450),$M$4)</f>
        <v>1.21902704556976</v>
      </c>
      <c r="N450" s="449" t="n">
        <f aca="false">DEGREES(Beta)</f>
        <v>69.8451048234493</v>
      </c>
      <c r="O450" s="438"/>
      <c r="P450" s="452" t="n">
        <f aca="false">MATCH(t-pas/2-T_ini,CdP_t)</f>
        <v>23</v>
      </c>
      <c r="Q450" s="449" t="n">
        <f aca="false">(INDEX(CdP,2,i_P+1)-INDEX(CdP,2,i_P+0))/(INDEX(CdP,1,i_P+1)-INDEX(CdP,1,i_P+0))*(t-pas/2-T_ini-INDEX(CdP,1,i_P+0))+INDEX(CdP,2,i_P+0)</f>
        <v>0</v>
      </c>
      <c r="R450" s="450" t="n">
        <f aca="false">Poussee/(g*ISP)</f>
        <v>0</v>
      </c>
      <c r="S450" s="451" t="n">
        <f aca="false">S449-Débit*pas</f>
        <v>8.652</v>
      </c>
      <c r="T450" s="449" t="n">
        <f aca="false">m*g</f>
        <v>84.87612</v>
      </c>
      <c r="U450" s="453" t="n">
        <f aca="false">IF(pos_xz&lt;L_rampe,Poids*COS(Beta),0)</f>
        <v>0</v>
      </c>
      <c r="V450" s="450" t="n">
        <f aca="false">Rho_moyen*(20000-Alt_rampe-pos_z)/(20000+Alt_rampe+pos_z)</f>
        <v>1.10475853993585</v>
      </c>
      <c r="W450" s="449" t="n">
        <f aca="false">1/2*Rho*Sref*Cx*vit_xz^2</f>
        <v>24.2529951480848</v>
      </c>
      <c r="X450" s="438"/>
      <c r="Y450" s="454" t="str">
        <f aca="false">IF(AND(pos_z&lt;=0,K449&gt;0),"Impact balistique","") &amp; IF(AND(H451&lt;0,vit_z&gt;=0),"Apogée","") &amp; IF(AND(Poussee=0,Q449&gt;0),"Fin de propulsion","") &amp; IF(AND(L451&gt;L_rampe,pos_xz&lt;=L_rampe),"Sortie de rampe","")</f>
        <v/>
      </c>
      <c r="Z450" s="455" t="str">
        <f aca="false">IF(ABS(t-T_para)&lt;pas/2,"Para","")</f>
        <v/>
      </c>
      <c r="AA450" s="456" t="str">
        <f aca="false">IF(ABS(t-T_satellite)&lt;pas/2,"Satellite","")</f>
        <v/>
      </c>
      <c r="AB450" s="444"/>
      <c r="AC450" s="452" t="e">
        <f aca="false">IF(ABS(t-ROUND(t,0))&lt;0.001,t,NA())</f>
        <v>#N/A</v>
      </c>
      <c r="AD450" s="457" t="e">
        <f aca="false">IF(ABS(t-ROUND(t,0))&lt;0.001,pos_x,NA())</f>
        <v>#N/A</v>
      </c>
      <c r="AE450" s="458" t="n">
        <f aca="false">IF(t&lt;T_para, pos_z, NA())</f>
        <v>1032.22250720851</v>
      </c>
      <c r="AF450" s="444"/>
      <c r="AG450" s="450" t="n">
        <f aca="false">IF(AND(L449&lt;L_rampe,Poussee&lt;Poids*SIN(M449)),0,(-W449+Poussee)/m-Poids*SIN(M449)/m)</f>
        <v>-12.0951183329554</v>
      </c>
      <c r="AH450" s="449" t="n">
        <f aca="false">IF(AND(L449&lt;L_rampe,Poussee&lt;Poids*SIN(M449)), g*SIN(M449), (-W449+Poussee)/m)</f>
        <v>-2.87449762455791</v>
      </c>
    </row>
    <row r="451" customFormat="false" ht="12" hidden="false" customHeight="false" outlineLevel="0" collapsed="false">
      <c r="A451" s="448" t="n">
        <f aca="false">IF(B450+0.01&lt;=T_ini+ROUNDUP(Temps_fin_propu,0), 0.01, IF(K450&gt;0, 0.1, 0.0001))</f>
        <v>0.1</v>
      </c>
      <c r="B451" s="449" t="n">
        <f aca="false">B450+pas</f>
        <v>8.69999999999994</v>
      </c>
      <c r="C451" s="432"/>
      <c r="D451" s="450" t="n">
        <f aca="false">IF(AND(L450&lt;L_rampe,Poussee&lt;Poids*SIN(M450)),0,(-W450+Poussee)/m*COS(M450)-U450/m*SIN(M450))</f>
        <v>-0.96585698713574</v>
      </c>
      <c r="E451" s="451" t="n">
        <f aca="false">IF(AND(L450&lt;L_rampe,Poussee&lt;Poids*SIN(M450)),0,(-W450+Poussee)/m*SIN(M450)+U450/m*COS(M450)-Poids/m)</f>
        <v>-12.441513213633</v>
      </c>
      <c r="F451" s="449" t="n">
        <f aca="false">SQRT(acc_x^2+acc_z^2)</f>
        <v>12.4789475022777</v>
      </c>
      <c r="G451" s="450" t="n">
        <f aca="false">G450+acc_x*pas</f>
        <v>34.1403466388144</v>
      </c>
      <c r="H451" s="451" t="n">
        <f aca="false">H450+acc_z*pas</f>
        <v>92.0356416919274</v>
      </c>
      <c r="I451" s="449" t="n">
        <f aca="false">SQRT(vit_x^2+vit_z^2)</f>
        <v>98.1637540554722</v>
      </c>
      <c r="J451" s="450" t="n">
        <f aca="false">J450+0.5*(vit_x+G450)*pas*(K450&gt;=0)</f>
        <v>279.387685364454</v>
      </c>
      <c r="K451" s="451" t="n">
        <f aca="false">K450+0.5*(vit_z+H450)*pas</f>
        <v>1041.48827894377</v>
      </c>
      <c r="L451" s="449" t="n">
        <f aca="false">SQRT(pos_x^2+pos_z^2)</f>
        <v>1078.31132513322</v>
      </c>
      <c r="M451" s="450" t="n">
        <f aca="false">IF(AND(L450&gt;L_rampe,G451&gt;0),ATAN2(G451,H451),$M$4)</f>
        <v>1.21558368371792</v>
      </c>
      <c r="N451" s="449" t="n">
        <f aca="false">DEGREES(Beta)</f>
        <v>69.6478147220021</v>
      </c>
      <c r="O451" s="438"/>
      <c r="P451" s="452" t="n">
        <f aca="false">MATCH(t-pas/2-T_ini,CdP_t)</f>
        <v>23</v>
      </c>
      <c r="Q451" s="449" t="n">
        <f aca="false">(INDEX(CdP,2,i_P+1)-INDEX(CdP,2,i_P+0))/(INDEX(CdP,1,i_P+1)-INDEX(CdP,1,i_P+0))*(t-pas/2-T_ini-INDEX(CdP,1,i_P+0))+INDEX(CdP,2,i_P+0)</f>
        <v>0</v>
      </c>
      <c r="R451" s="450" t="n">
        <f aca="false">Poussee/(g*ISP)</f>
        <v>0</v>
      </c>
      <c r="S451" s="451" t="n">
        <f aca="false">S450-Débit*pas</f>
        <v>8.652</v>
      </c>
      <c r="T451" s="449" t="n">
        <f aca="false">m*g</f>
        <v>84.87612</v>
      </c>
      <c r="U451" s="453" t="n">
        <f aca="false">IF(pos_xz&lt;L_rampe,Poids*COS(Beta),0)</f>
        <v>0</v>
      </c>
      <c r="V451" s="450" t="n">
        <f aca="false">Rho_moyen*(20000-Alt_rampe-pos_z)/(20000+Alt_rampe+pos_z)</f>
        <v>1.10373261389188</v>
      </c>
      <c r="W451" s="449" t="n">
        <f aca="false">1/2*Rho*Sref*Cx*vit_xz^2</f>
        <v>23.648436333917</v>
      </c>
      <c r="X451" s="438"/>
      <c r="Y451" s="454" t="str">
        <f aca="false">IF(AND(pos_z&lt;=0,K450&gt;0),"Impact balistique","") &amp; IF(AND(H452&lt;0,vit_z&gt;=0),"Apogée","") &amp; IF(AND(Poussee=0,Q450&gt;0),"Fin de propulsion","") &amp; IF(AND(L452&gt;L_rampe,pos_xz&lt;=L_rampe),"Sortie de rampe","")</f>
        <v/>
      </c>
      <c r="Z451" s="455" t="str">
        <f aca="false">IF(ABS(t-T_para)&lt;pas/2,"Para","")</f>
        <v/>
      </c>
      <c r="AA451" s="456" t="str">
        <f aca="false">IF(ABS(t-T_satellite)&lt;pas/2,"Satellite","")</f>
        <v/>
      </c>
      <c r="AB451" s="444"/>
      <c r="AC451" s="452" t="e">
        <f aca="false">IF(ABS(t-ROUND(t,0))&lt;0.001,t,NA())</f>
        <v>#N/A</v>
      </c>
      <c r="AD451" s="457" t="e">
        <f aca="false">IF(ABS(t-ROUND(t,0))&lt;0.001,pos_x,NA())</f>
        <v>#N/A</v>
      </c>
      <c r="AE451" s="458" t="n">
        <f aca="false">IF(t&lt;T_para, pos_z, NA())</f>
        <v>1041.48827894377</v>
      </c>
      <c r="AF451" s="444"/>
      <c r="AG451" s="450" t="n">
        <f aca="false">IF(AND(L450&lt;L_rampe,Poussee&lt;Poids*SIN(M450)),0,(-W450+Poussee)/m-Poids*SIN(M450)/m)</f>
        <v>-12.0124466728576</v>
      </c>
      <c r="AH451" s="449" t="n">
        <f aca="false">IF(AND(L450&lt;L_rampe,Poussee&lt;Poids*SIN(M450)), g*SIN(M450), (-W450+Poussee)/m)</f>
        <v>-2.8031663370417</v>
      </c>
    </row>
    <row r="452" customFormat="false" ht="12" hidden="false" customHeight="false" outlineLevel="0" collapsed="false">
      <c r="A452" s="448" t="n">
        <f aca="false">IF(B451+0.01&lt;=T_ini+ROUNDUP(Temps_fin_propu,0), 0.01, IF(K451&gt;0, 0.1, 0.0001))</f>
        <v>0.1</v>
      </c>
      <c r="B452" s="449" t="n">
        <f aca="false">B451+pas</f>
        <v>8.79999999999994</v>
      </c>
      <c r="C452" s="432"/>
      <c r="D452" s="450" t="n">
        <f aca="false">IF(AND(L451&lt;L_rampe,Poussee&lt;Poids*SIN(M451)),0,(-W451+Poussee)/m*COS(M451)-U451/m*SIN(M451))</f>
        <v>-0.950610674679878</v>
      </c>
      <c r="E452" s="451" t="n">
        <f aca="false">IF(AND(L451&lt;L_rampe,Poussee&lt;Poids*SIN(M451)),0,(-W451+Poussee)/m*SIN(M451)+U451/m*COS(M451)-Poids/m)</f>
        <v>-12.3726589082107</v>
      </c>
      <c r="F452" s="449" t="n">
        <f aca="false">SQRT(acc_x^2+acc_z^2)</f>
        <v>12.4091236239205</v>
      </c>
      <c r="G452" s="450" t="n">
        <f aca="false">G451+acc_x*pas</f>
        <v>34.0452855713464</v>
      </c>
      <c r="H452" s="451" t="n">
        <f aca="false">H451+acc_z*pas</f>
        <v>90.7983758011063</v>
      </c>
      <c r="I452" s="449" t="n">
        <f aca="false">SQRT(vit_x^2+vit_z^2)</f>
        <v>96.9712664543134</v>
      </c>
      <c r="J452" s="450" t="n">
        <f aca="false">J451+0.5*(vit_x+G451)*pas*(K451&gt;=0)</f>
        <v>282.796966974962</v>
      </c>
      <c r="K452" s="451" t="n">
        <f aca="false">K451+0.5*(vit_z+H451)*pas</f>
        <v>1050.62997981842</v>
      </c>
      <c r="L452" s="449" t="n">
        <f aca="false">SQRT(pos_x^2+pos_z^2)</f>
        <v>1088.02457647955</v>
      </c>
      <c r="M452" s="450" t="n">
        <f aca="false">IF(AND(L451&gt;L_rampe,G452&gt;0),ATAN2(G452,H452),$M$4)</f>
        <v>1.21206529674911</v>
      </c>
      <c r="N452" s="449" t="n">
        <f aca="false">DEGREES(Beta)</f>
        <v>69.4462259979954</v>
      </c>
      <c r="O452" s="438"/>
      <c r="P452" s="452" t="n">
        <f aca="false">MATCH(t-pas/2-T_ini,CdP_t)</f>
        <v>23</v>
      </c>
      <c r="Q452" s="449" t="n">
        <f aca="false">(INDEX(CdP,2,i_P+1)-INDEX(CdP,2,i_P+0))/(INDEX(CdP,1,i_P+1)-INDEX(CdP,1,i_P+0))*(t-pas/2-T_ini-INDEX(CdP,1,i_P+0))+INDEX(CdP,2,i_P+0)</f>
        <v>0</v>
      </c>
      <c r="R452" s="450" t="n">
        <f aca="false">Poussee/(g*ISP)</f>
        <v>0</v>
      </c>
      <c r="S452" s="451" t="n">
        <f aca="false">S451-Débit*pas</f>
        <v>8.652</v>
      </c>
      <c r="T452" s="449" t="n">
        <f aca="false">m*g</f>
        <v>84.87612</v>
      </c>
      <c r="U452" s="453" t="n">
        <f aca="false">IF(pos_xz&lt;L_rampe,Poids*COS(Beta),0)</f>
        <v>0</v>
      </c>
      <c r="V452" s="450" t="n">
        <f aca="false">Rho_moyen*(20000-Alt_rampe-pos_z)/(20000+Alt_rampe+pos_z)</f>
        <v>1.10272131033499</v>
      </c>
      <c r="W452" s="449" t="n">
        <f aca="false">1/2*Rho*Sref*Cx*vit_xz^2</f>
        <v>23.0562217059393</v>
      </c>
      <c r="X452" s="438"/>
      <c r="Y452" s="454" t="str">
        <f aca="false">IF(AND(pos_z&lt;=0,K451&gt;0),"Impact balistique","") &amp; IF(AND(H453&lt;0,vit_z&gt;=0),"Apogée","") &amp; IF(AND(Poussee=0,Q451&gt;0),"Fin de propulsion","") &amp; IF(AND(L453&gt;L_rampe,pos_xz&lt;=L_rampe),"Sortie de rampe","")</f>
        <v/>
      </c>
      <c r="Z452" s="455" t="str">
        <f aca="false">IF(ABS(t-T_para)&lt;pas/2,"Para","")</f>
        <v/>
      </c>
      <c r="AA452" s="456" t="str">
        <f aca="false">IF(ABS(t-T_satellite)&lt;pas/2,"Satellite","")</f>
        <v/>
      </c>
      <c r="AB452" s="444"/>
      <c r="AC452" s="452" t="e">
        <f aca="false">IF(ABS(t-ROUND(t,0))&lt;0.001,t,NA())</f>
        <v>#N/A</v>
      </c>
      <c r="AD452" s="457" t="e">
        <f aca="false">IF(ABS(t-ROUND(t,0))&lt;0.001,pos_x,NA())</f>
        <v>#N/A</v>
      </c>
      <c r="AE452" s="458" t="n">
        <f aca="false">IF(t&lt;T_para, pos_z, NA())</f>
        <v>1050.62997981842</v>
      </c>
      <c r="AF452" s="444"/>
      <c r="AG452" s="450" t="n">
        <f aca="false">IF(AND(L451&lt;L_rampe,Poussee&lt;Poids*SIN(M451)),0,(-W451+Poussee)/m-Poids*SIN(M451)/m)</f>
        <v>-11.9308780646552</v>
      </c>
      <c r="AH452" s="449" t="n">
        <f aca="false">IF(AND(L451&lt;L_rampe,Poussee&lt;Poids*SIN(M451)), g*SIN(M451), (-W451+Poussee)/m)</f>
        <v>-2.73329130073012</v>
      </c>
    </row>
    <row r="453" customFormat="false" ht="12" hidden="false" customHeight="false" outlineLevel="0" collapsed="false">
      <c r="A453" s="448" t="n">
        <f aca="false">IF(B452+0.01&lt;=T_ini+ROUNDUP(Temps_fin_propu,0), 0.01, IF(K452&gt;0, 0.1, 0.0001))</f>
        <v>0.1</v>
      </c>
      <c r="B453" s="449" t="n">
        <f aca="false">B452+pas</f>
        <v>8.89999999999994</v>
      </c>
      <c r="C453" s="432"/>
      <c r="D453" s="450" t="n">
        <f aca="false">IF(AND(L452&lt;L_rampe,Poussee&lt;Poids*SIN(M452)),0,(-W452+Poussee)/m*COS(M452)-U452/m*SIN(M452))</f>
        <v>-0.935589938445898</v>
      </c>
      <c r="E453" s="451" t="n">
        <f aca="false">IF(AND(L452&lt;L_rampe,Poussee&lt;Poids*SIN(M452)),0,(-W452+Poussee)/m*SIN(M452)+U452/m*COS(M452)-Poids/m)</f>
        <v>-12.3052073510654</v>
      </c>
      <c r="F453" s="449" t="n">
        <f aca="false">SQRT(acc_x^2+acc_z^2)</f>
        <v>12.3407234992781</v>
      </c>
      <c r="G453" s="450" t="n">
        <f aca="false">G452+acc_x*pas</f>
        <v>33.9517265775018</v>
      </c>
      <c r="H453" s="451" t="n">
        <f aca="false">H452+acc_z*pas</f>
        <v>89.5678550659998</v>
      </c>
      <c r="I453" s="449" t="n">
        <f aca="false">SQRT(vit_x^2+vit_z^2)</f>
        <v>95.7868487774673</v>
      </c>
      <c r="J453" s="450" t="n">
        <f aca="false">J452+0.5*(vit_x+G452)*pas*(K452&gt;=0)</f>
        <v>286.196817582405</v>
      </c>
      <c r="K453" s="451" t="n">
        <f aca="false">K452+0.5*(vit_z+H452)*pas</f>
        <v>1059.64829136178</v>
      </c>
      <c r="L453" s="449" t="n">
        <f aca="false">SQRT(pos_x^2+pos_z^2)</f>
        <v>1097.61701871838</v>
      </c>
      <c r="M453" s="450" t="n">
        <f aca="false">IF(AND(L452&gt;L_rampe,G453&gt;0),ATAN2(G453,H453),$M$4)</f>
        <v>1.20846964211198</v>
      </c>
      <c r="N453" s="449" t="n">
        <f aca="false">DEGREES(Beta)</f>
        <v>69.2402101627015</v>
      </c>
      <c r="O453" s="438"/>
      <c r="P453" s="452" t="n">
        <f aca="false">MATCH(t-pas/2-T_ini,CdP_t)</f>
        <v>23</v>
      </c>
      <c r="Q453" s="449" t="n">
        <f aca="false">(INDEX(CdP,2,i_P+1)-INDEX(CdP,2,i_P+0))/(INDEX(CdP,1,i_P+1)-INDEX(CdP,1,i_P+0))*(t-pas/2-T_ini-INDEX(CdP,1,i_P+0))+INDEX(CdP,2,i_P+0)</f>
        <v>0</v>
      </c>
      <c r="R453" s="450" t="n">
        <f aca="false">Poussee/(g*ISP)</f>
        <v>0</v>
      </c>
      <c r="S453" s="451" t="n">
        <f aca="false">S452-Débit*pas</f>
        <v>8.652</v>
      </c>
      <c r="T453" s="449" t="n">
        <f aca="false">m*g</f>
        <v>84.87612</v>
      </c>
      <c r="U453" s="453" t="n">
        <f aca="false">IF(pos_xz&lt;L_rampe,Poids*COS(Beta),0)</f>
        <v>0</v>
      </c>
      <c r="V453" s="450" t="n">
        <f aca="false">Rho_moyen*(20000-Alt_rampe-pos_z)/(20000+Alt_rampe+pos_z)</f>
        <v>1.10172451705182</v>
      </c>
      <c r="W453" s="449" t="n">
        <f aca="false">1/2*Rho*Sref*Cx*vit_xz^2</f>
        <v>22.4761034799553</v>
      </c>
      <c r="X453" s="438"/>
      <c r="Y453" s="454" t="str">
        <f aca="false">IF(AND(pos_z&lt;=0,K452&gt;0),"Impact balistique","") &amp; IF(AND(H454&lt;0,vit_z&gt;=0),"Apogée","") &amp; IF(AND(Poussee=0,Q452&gt;0),"Fin de propulsion","") &amp; IF(AND(L454&gt;L_rampe,pos_xz&lt;=L_rampe),"Sortie de rampe","")</f>
        <v/>
      </c>
      <c r="Z453" s="455" t="str">
        <f aca="false">IF(ABS(t-T_para)&lt;pas/2,"Para","")</f>
        <v/>
      </c>
      <c r="AA453" s="456" t="str">
        <f aca="false">IF(ABS(t-T_satellite)&lt;pas/2,"Satellite","")</f>
        <v/>
      </c>
      <c r="AB453" s="444"/>
      <c r="AC453" s="452" t="e">
        <f aca="false">IF(ABS(t-ROUND(t,0))&lt;0.001,t,NA())</f>
        <v>#N/A</v>
      </c>
      <c r="AD453" s="457" t="e">
        <f aca="false">IF(ABS(t-ROUND(t,0))&lt;0.001,pos_x,NA())</f>
        <v>#N/A</v>
      </c>
      <c r="AE453" s="458" t="n">
        <f aca="false">IF(t&lt;T_para, pos_z, NA())</f>
        <v>1059.64829136178</v>
      </c>
      <c r="AF453" s="444"/>
      <c r="AG453" s="450" t="n">
        <f aca="false">IF(AND(L452&lt;L_rampe,Poussee&lt;Poids*SIN(M452)),0,(-W452+Poussee)/m-Poids*SIN(M452)/m)</f>
        <v>-11.8503687744044</v>
      </c>
      <c r="AH453" s="449" t="n">
        <f aca="false">IF(AND(L452&lt;L_rampe,Poussee&lt;Poids*SIN(M452)), g*SIN(M452), (-W452+Poussee)/m)</f>
        <v>-2.6648430080836</v>
      </c>
    </row>
    <row r="454" customFormat="false" ht="12" hidden="false" customHeight="false" outlineLevel="0" collapsed="false">
      <c r="A454" s="448" t="n">
        <f aca="false">IF(B453+0.01&lt;=T_ini+ROUNDUP(Temps_fin_propu,0), 0.01, IF(K453&gt;0, 0.1, 0.0001))</f>
        <v>0.1</v>
      </c>
      <c r="B454" s="449" t="n">
        <f aca="false">B453+pas</f>
        <v>8.99999999999994</v>
      </c>
      <c r="C454" s="432"/>
      <c r="D454" s="450" t="n">
        <f aca="false">IF(AND(L453&lt;L_rampe,Poussee&lt;Poids*SIN(M453)),0,(-W453+Poussee)/m*COS(M453)-U453/m*SIN(M453))</f>
        <v>-0.92078978127472</v>
      </c>
      <c r="E454" s="451" t="n">
        <f aca="false">IF(AND(L453&lt;L_rampe,Poussee&lt;Poids*SIN(M453)),0,(-W453+Poussee)/m*SIN(M453)+U453/m*COS(M453)-Poids/m)</f>
        <v>-12.239130238405</v>
      </c>
      <c r="F454" s="449" t="n">
        <f aca="false">SQRT(acc_x^2+acc_z^2)</f>
        <v>12.2737183776531</v>
      </c>
      <c r="G454" s="450" t="n">
        <f aca="false">G453+acc_x*pas</f>
        <v>33.8596475993744</v>
      </c>
      <c r="H454" s="451" t="n">
        <f aca="false">H453+acc_z*pas</f>
        <v>88.3439420421593</v>
      </c>
      <c r="I454" s="449" t="n">
        <f aca="false">SQRT(vit_x^2+vit_z^2)</f>
        <v>94.6104002269423</v>
      </c>
      <c r="J454" s="450" t="n">
        <f aca="false">J453+0.5*(vit_x+G453)*pas*(K453&gt;=0)</f>
        <v>289.587386291249</v>
      </c>
      <c r="K454" s="451" t="n">
        <f aca="false">K453+0.5*(vit_z+H453)*pas</f>
        <v>1068.54388121718</v>
      </c>
      <c r="L454" s="449" t="n">
        <f aca="false">SQRT(pos_x^2+pos_z^2)</f>
        <v>1107.08937326021</v>
      </c>
      <c r="M454" s="450" t="n">
        <f aca="false">IF(AND(L453&gt;L_rampe,G454&gt;0),ATAN2(G454,H454),$M$4)</f>
        <v>1.20479439043681</v>
      </c>
      <c r="N454" s="449" t="n">
        <f aca="false">DEGREES(Beta)</f>
        <v>69.029633753066</v>
      </c>
      <c r="O454" s="438"/>
      <c r="P454" s="452" t="n">
        <f aca="false">MATCH(t-pas/2-T_ini,CdP_t)</f>
        <v>23</v>
      </c>
      <c r="Q454" s="449" t="n">
        <f aca="false">(INDEX(CdP,2,i_P+1)-INDEX(CdP,2,i_P+0))/(INDEX(CdP,1,i_P+1)-INDEX(CdP,1,i_P+0))*(t-pas/2-T_ini-INDEX(CdP,1,i_P+0))+INDEX(CdP,2,i_P+0)</f>
        <v>0</v>
      </c>
      <c r="R454" s="450" t="n">
        <f aca="false">Poussee/(g*ISP)</f>
        <v>0</v>
      </c>
      <c r="S454" s="451" t="n">
        <f aca="false">S453-Débit*pas</f>
        <v>8.652</v>
      </c>
      <c r="T454" s="449" t="n">
        <f aca="false">m*g</f>
        <v>84.87612</v>
      </c>
      <c r="U454" s="453" t="n">
        <f aca="false">IF(pos_xz&lt;L_rampe,Poids*COS(Beta),0)</f>
        <v>0</v>
      </c>
      <c r="V454" s="450" t="n">
        <f aca="false">Rho_moyen*(20000-Alt_rampe-pos_z)/(20000+Alt_rampe+pos_z)</f>
        <v>1.10074212419511</v>
      </c>
      <c r="W454" s="449" t="n">
        <f aca="false">1/2*Rho*Sref*Cx*vit_xz^2</f>
        <v>21.9078411398461</v>
      </c>
      <c r="X454" s="438"/>
      <c r="Y454" s="454" t="str">
        <f aca="false">IF(AND(pos_z&lt;=0,K453&gt;0),"Impact balistique","") &amp; IF(AND(H455&lt;0,vit_z&gt;=0),"Apogée","") &amp; IF(AND(Poussee=0,Q453&gt;0),"Fin de propulsion","") &amp; IF(AND(L455&gt;L_rampe,pos_xz&lt;=L_rampe),"Sortie de rampe","")</f>
        <v/>
      </c>
      <c r="Z454" s="455" t="str">
        <f aca="false">IF(ABS(t-T_para)&lt;pas/2,"Para","")</f>
        <v/>
      </c>
      <c r="AA454" s="456" t="str">
        <f aca="false">IF(ABS(t-T_satellite)&lt;pas/2,"Satellite","")</f>
        <v/>
      </c>
      <c r="AB454" s="444"/>
      <c r="AC454" s="452" t="n">
        <f aca="false">IF(ABS(t-ROUND(t,0))&lt;0.001,t,NA())</f>
        <v>8.99999999999994</v>
      </c>
      <c r="AD454" s="457" t="n">
        <f aca="false">IF(ABS(t-ROUND(t,0))&lt;0.001,pos_x,NA())</f>
        <v>289.587386291249</v>
      </c>
      <c r="AE454" s="458" t="n">
        <f aca="false">IF(t&lt;T_para, pos_z, NA())</f>
        <v>1068.54388121718</v>
      </c>
      <c r="AF454" s="444"/>
      <c r="AG454" s="450" t="n">
        <f aca="false">IF(AND(L453&lt;L_rampe,Poussee&lt;Poids*SIN(M453)),0,(-W453+Poussee)/m-Poids*SIN(M453)/m)</f>
        <v>-11.7708752360771</v>
      </c>
      <c r="AH454" s="449" t="n">
        <f aca="false">IF(AND(L453&lt;L_rampe,Poussee&lt;Poids*SIN(M453)), g*SIN(M453), (-W453+Poussee)/m)</f>
        <v>-2.59779282015202</v>
      </c>
    </row>
    <row r="455" customFormat="false" ht="12" hidden="false" customHeight="false" outlineLevel="0" collapsed="false">
      <c r="A455" s="448" t="n">
        <f aca="false">IF(B454+0.01&lt;=T_ini+ROUNDUP(Temps_fin_propu,0), 0.01, IF(K454&gt;0, 0.1, 0.0001))</f>
        <v>0.1</v>
      </c>
      <c r="B455" s="449" t="n">
        <f aca="false">B454+pas</f>
        <v>9.09999999999994</v>
      </c>
      <c r="C455" s="432"/>
      <c r="D455" s="450" t="n">
        <f aca="false">IF(AND(L454&lt;L_rampe,Poussee&lt;Poids*SIN(M454)),0,(-W454+Poussee)/m*COS(M454)-U454/m*SIN(M454))</f>
        <v>-0.90620535964225</v>
      </c>
      <c r="E455" s="451" t="n">
        <f aca="false">IF(AND(L454&lt;L_rampe,Poussee&lt;Poids*SIN(M454)),0,(-W454+Poussee)/m*SIN(M454)+U454/m*COS(M454)-Poids/m)</f>
        <v>-12.1744000882044</v>
      </c>
      <c r="F455" s="449" t="n">
        <f aca="false">SQRT(acc_x^2+acc_z^2)</f>
        <v>12.2080803430152</v>
      </c>
      <c r="G455" s="450" t="n">
        <f aca="false">G454+acc_x*pas</f>
        <v>33.7690270634101</v>
      </c>
      <c r="H455" s="451" t="n">
        <f aca="false">H454+acc_z*pas</f>
        <v>87.1265020333388</v>
      </c>
      <c r="I455" s="449" t="n">
        <f aca="false">SQRT(vit_x^2+vit_z^2)</f>
        <v>93.4418243902307</v>
      </c>
      <c r="J455" s="450" t="n">
        <f aca="false">J454+0.5*(vit_x+G454)*pas*(K454&gt;=0)</f>
        <v>292.968820024388</v>
      </c>
      <c r="K455" s="451" t="n">
        <f aca="false">K454+0.5*(vit_z+H454)*pas</f>
        <v>1077.31740342096</v>
      </c>
      <c r="L455" s="449" t="n">
        <f aca="false">SQRT(pos_x^2+pos_z^2)</f>
        <v>1116.44234836384</v>
      </c>
      <c r="M455" s="450" t="n">
        <f aca="false">IF(AND(L454&gt;L_rampe,G455&gt;0),ATAN2(G455,H455),$M$4)</f>
        <v>1.20103712156767</v>
      </c>
      <c r="N455" s="449" t="n">
        <f aca="false">DEGREES(Beta)</f>
        <v>68.8143581043685</v>
      </c>
      <c r="O455" s="438"/>
      <c r="P455" s="452" t="n">
        <f aca="false">MATCH(t-pas/2-T_ini,CdP_t)</f>
        <v>23</v>
      </c>
      <c r="Q455" s="449" t="n">
        <f aca="false">(INDEX(CdP,2,i_P+1)-INDEX(CdP,2,i_P+0))/(INDEX(CdP,1,i_P+1)-INDEX(CdP,1,i_P+0))*(t-pas/2-T_ini-INDEX(CdP,1,i_P+0))+INDEX(CdP,2,i_P+0)</f>
        <v>0</v>
      </c>
      <c r="R455" s="450" t="n">
        <f aca="false">Poussee/(g*ISP)</f>
        <v>0</v>
      </c>
      <c r="S455" s="451" t="n">
        <f aca="false">S454-Débit*pas</f>
        <v>8.652</v>
      </c>
      <c r="T455" s="449" t="n">
        <f aca="false">m*g</f>
        <v>84.87612</v>
      </c>
      <c r="U455" s="453" t="n">
        <f aca="false">IF(pos_xz&lt;L_rampe,Poids*COS(Beta),0)</f>
        <v>0</v>
      </c>
      <c r="V455" s="450" t="n">
        <f aca="false">Rho_moyen*(20000-Alt_rampe-pos_z)/(20000+Alt_rampe+pos_z)</f>
        <v>1.09977402423361</v>
      </c>
      <c r="W455" s="449" t="n">
        <f aca="false">1/2*Rho*Sref*Cx*vit_xz^2</f>
        <v>21.3512012004083</v>
      </c>
      <c r="X455" s="438"/>
      <c r="Y455" s="454" t="str">
        <f aca="false">IF(AND(pos_z&lt;=0,K454&gt;0),"Impact balistique","") &amp; IF(AND(H456&lt;0,vit_z&gt;=0),"Apogée","") &amp; IF(AND(Poussee=0,Q454&gt;0),"Fin de propulsion","") &amp; IF(AND(L456&gt;L_rampe,pos_xz&lt;=L_rampe),"Sortie de rampe","")</f>
        <v/>
      </c>
      <c r="Z455" s="455" t="str">
        <f aca="false">IF(ABS(t-T_para)&lt;pas/2,"Para","")</f>
        <v/>
      </c>
      <c r="AA455" s="456" t="str">
        <f aca="false">IF(ABS(t-T_satellite)&lt;pas/2,"Satellite","")</f>
        <v/>
      </c>
      <c r="AB455" s="444"/>
      <c r="AC455" s="452" t="e">
        <f aca="false">IF(ABS(t-ROUND(t,0))&lt;0.001,t,NA())</f>
        <v>#N/A</v>
      </c>
      <c r="AD455" s="457" t="e">
        <f aca="false">IF(ABS(t-ROUND(t,0))&lt;0.001,pos_x,NA())</f>
        <v>#N/A</v>
      </c>
      <c r="AE455" s="458" t="n">
        <f aca="false">IF(t&lt;T_para, pos_z, NA())</f>
        <v>1077.31740342096</v>
      </c>
      <c r="AF455" s="444"/>
      <c r="AG455" s="450" t="n">
        <f aca="false">IF(AND(L454&lt;L_rampe,Poussee&lt;Poids*SIN(M454)),0,(-W454+Poussee)/m-Poids*SIN(M454)/m)</f>
        <v>-11.6923539829347</v>
      </c>
      <c r="AH455" s="449" t="n">
        <f aca="false">IF(AND(L454&lt;L_rampe,Poussee&lt;Poids*SIN(M454)), g*SIN(M454), (-W454+Poussee)/m)</f>
        <v>-2.53211293803122</v>
      </c>
    </row>
    <row r="456" customFormat="false" ht="12" hidden="false" customHeight="false" outlineLevel="0" collapsed="false">
      <c r="A456" s="448" t="n">
        <f aca="false">IF(B455+0.01&lt;=T_ini+ROUNDUP(Temps_fin_propu,0), 0.01, IF(K455&gt;0, 0.1, 0.0001))</f>
        <v>0.1</v>
      </c>
      <c r="B456" s="449" t="n">
        <f aca="false">B455+pas</f>
        <v>9.19999999999994</v>
      </c>
      <c r="C456" s="432"/>
      <c r="D456" s="450" t="n">
        <f aca="false">IF(AND(L455&lt;L_rampe,Poussee&lt;Poids*SIN(M455)),0,(-W455+Poussee)/m*COS(M455)-U455/m*SIN(M455))</f>
        <v>-0.891831979446944</v>
      </c>
      <c r="E456" s="451" t="n">
        <f aca="false">IF(AND(L455&lt;L_rampe,Poussee&lt;Poids*SIN(M455)),0,(-W455+Poussee)/m*SIN(M455)+U455/m*COS(M455)-Poids/m)</f>
        <v>-12.1109902128591</v>
      </c>
      <c r="F456" s="449" t="n">
        <f aca="false">SQRT(acc_x^2+acc_z^2)</f>
        <v>12.1437822862374</v>
      </c>
      <c r="G456" s="450" t="n">
        <f aca="false">G455+acc_x*pas</f>
        <v>33.6798438654654</v>
      </c>
      <c r="H456" s="451" t="n">
        <f aca="false">H455+acc_z*pas</f>
        <v>85.9154030120529</v>
      </c>
      <c r="I456" s="449" t="n">
        <f aca="false">SQRT(vit_x^2+vit_z^2)</f>
        <v>92.2810292396308</v>
      </c>
      <c r="J456" s="450" t="n">
        <f aca="false">J455+0.5*(vit_x+G455)*pas*(K455&gt;=0)</f>
        <v>296.341263570832</v>
      </c>
      <c r="K456" s="451" t="n">
        <f aca="false">K455+0.5*(vit_z+H455)*pas</f>
        <v>1085.96949867323</v>
      </c>
      <c r="L456" s="449" t="n">
        <f aca="false">SQRT(pos_x^2+pos_z^2)</f>
        <v>1125.6766394233</v>
      </c>
      <c r="M456" s="450" t="n">
        <f aca="false">IF(AND(L455&gt;L_rampe,G456&gt;0),ATAN2(G456,H456),$M$4)</f>
        <v>1.19719532039321</v>
      </c>
      <c r="N456" s="449" t="n">
        <f aca="false">DEGREES(Beta)</f>
        <v>68.5942391113431</v>
      </c>
      <c r="O456" s="438"/>
      <c r="P456" s="452" t="n">
        <f aca="false">MATCH(t-pas/2-T_ini,CdP_t)</f>
        <v>23</v>
      </c>
      <c r="Q456" s="449" t="n">
        <f aca="false">(INDEX(CdP,2,i_P+1)-INDEX(CdP,2,i_P+0))/(INDEX(CdP,1,i_P+1)-INDEX(CdP,1,i_P+0))*(t-pas/2-T_ini-INDEX(CdP,1,i_P+0))+INDEX(CdP,2,i_P+0)</f>
        <v>0</v>
      </c>
      <c r="R456" s="450" t="n">
        <f aca="false">Poussee/(g*ISP)</f>
        <v>0</v>
      </c>
      <c r="S456" s="451" t="n">
        <f aca="false">S455-Débit*pas</f>
        <v>8.652</v>
      </c>
      <c r="T456" s="449" t="n">
        <f aca="false">m*g</f>
        <v>84.87612</v>
      </c>
      <c r="U456" s="453" t="n">
        <f aca="false">IF(pos_xz&lt;L_rampe,Poids*COS(Beta),0)</f>
        <v>0</v>
      </c>
      <c r="V456" s="450" t="n">
        <f aca="false">Rho_moyen*(20000-Alt_rampe-pos_z)/(20000+Alt_rampe+pos_z)</f>
        <v>1.09882011190347</v>
      </c>
      <c r="W456" s="449" t="n">
        <f aca="false">1/2*Rho*Sref*Cx*vit_xz^2</f>
        <v>20.8059569795505</v>
      </c>
      <c r="X456" s="438"/>
      <c r="Y456" s="454" t="str">
        <f aca="false">IF(AND(pos_z&lt;=0,K455&gt;0),"Impact balistique","") &amp; IF(AND(H457&lt;0,vit_z&gt;=0),"Apogée","") &amp; IF(AND(Poussee=0,Q455&gt;0),"Fin de propulsion","") &amp; IF(AND(L457&gt;L_rampe,pos_xz&lt;=L_rampe),"Sortie de rampe","")</f>
        <v/>
      </c>
      <c r="Z456" s="455" t="str">
        <f aca="false">IF(ABS(t-T_para)&lt;pas/2,"Para","")</f>
        <v/>
      </c>
      <c r="AA456" s="456" t="str">
        <f aca="false">IF(ABS(t-T_satellite)&lt;pas/2,"Satellite","")</f>
        <v/>
      </c>
      <c r="AB456" s="444"/>
      <c r="AC456" s="452" t="e">
        <f aca="false">IF(ABS(t-ROUND(t,0))&lt;0.001,t,NA())</f>
        <v>#N/A</v>
      </c>
      <c r="AD456" s="457" t="e">
        <f aca="false">IF(ABS(t-ROUND(t,0))&lt;0.001,pos_x,NA())</f>
        <v>#N/A</v>
      </c>
      <c r="AE456" s="458" t="n">
        <f aca="false">IF(t&lt;T_para, pos_z, NA())</f>
        <v>1085.96949867323</v>
      </c>
      <c r="AF456" s="444"/>
      <c r="AG456" s="450" t="n">
        <f aca="false">IF(AND(L455&lt;L_rampe,Poussee&lt;Poids*SIN(M455)),0,(-W455+Poussee)/m-Poids*SIN(M455)/m)</f>
        <v>-11.6147615774702</v>
      </c>
      <c r="AH456" s="449" t="n">
        <f aca="false">IF(AND(L455&lt;L_rampe,Poussee&lt;Poids*SIN(M455)), g*SIN(M455), (-W455+Poussee)/m)</f>
        <v>-2.46777637545172</v>
      </c>
    </row>
    <row r="457" customFormat="false" ht="12" hidden="false" customHeight="false" outlineLevel="0" collapsed="false">
      <c r="A457" s="448" t="n">
        <f aca="false">IF(B456+0.01&lt;=T_ini+ROUNDUP(Temps_fin_propu,0), 0.01, IF(K456&gt;0, 0.1, 0.0001))</f>
        <v>0.1</v>
      </c>
      <c r="B457" s="449" t="n">
        <f aca="false">B456+pas</f>
        <v>9.29999999999994</v>
      </c>
      <c r="C457" s="432"/>
      <c r="D457" s="450" t="n">
        <f aca="false">IF(AND(L456&lt;L_rampe,Poussee&lt;Poids*SIN(M456)),0,(-W456+Poussee)/m*COS(M456)-U456/m*SIN(M456))</f>
        <v>-0.877665092019825</v>
      </c>
      <c r="E457" s="451" t="n">
        <f aca="false">IF(AND(L456&lt;L_rampe,Poussee&lt;Poids*SIN(M456)),0,(-W456+Poussee)/m*SIN(M456)+U456/m*COS(M456)-Poids/m)</f>
        <v>-12.0488746928786</v>
      </c>
      <c r="F457" s="449" t="n">
        <f aca="false">SQRT(acc_x^2+acc_z^2)</f>
        <v>12.080797878387</v>
      </c>
      <c r="G457" s="450" t="n">
        <f aca="false">G456+acc_x*pas</f>
        <v>33.5920773562634</v>
      </c>
      <c r="H457" s="451" t="n">
        <f aca="false">H456+acc_z*pas</f>
        <v>84.7105155427651</v>
      </c>
      <c r="I457" s="449" t="n">
        <f aca="false">SQRT(vit_x^2+vit_z^2)</f>
        <v>91.1279271388866</v>
      </c>
      <c r="J457" s="450" t="n">
        <f aca="false">J456+0.5*(vit_x+G456)*pas*(K456&gt;=0)</f>
        <v>299.704859631918</v>
      </c>
      <c r="K457" s="451" t="n">
        <f aca="false">K456+0.5*(vit_z+H456)*pas</f>
        <v>1094.50079460097</v>
      </c>
      <c r="L457" s="449" t="n">
        <f aca="false">SQRT(pos_x^2+pos_z^2)</f>
        <v>1134.79292924707</v>
      </c>
      <c r="M457" s="450" t="n">
        <f aca="false">IF(AND(L456&gt;L_rampe,G457&gt;0),ATAN2(G457,H457),$M$4)</f>
        <v>1.1932663724656</v>
      </c>
      <c r="N457" s="449" t="n">
        <f aca="false">DEGREES(Beta)</f>
        <v>68.3691269771646</v>
      </c>
      <c r="O457" s="438"/>
      <c r="P457" s="452" t="n">
        <f aca="false">MATCH(t-pas/2-T_ini,CdP_t)</f>
        <v>23</v>
      </c>
      <c r="Q457" s="449" t="n">
        <f aca="false">(INDEX(CdP,2,i_P+1)-INDEX(CdP,2,i_P+0))/(INDEX(CdP,1,i_P+1)-INDEX(CdP,1,i_P+0))*(t-pas/2-T_ini-INDEX(CdP,1,i_P+0))+INDEX(CdP,2,i_P+0)</f>
        <v>0</v>
      </c>
      <c r="R457" s="450" t="n">
        <f aca="false">Poussee/(g*ISP)</f>
        <v>0</v>
      </c>
      <c r="S457" s="451" t="n">
        <f aca="false">S456-Débit*pas</f>
        <v>8.652</v>
      </c>
      <c r="T457" s="449" t="n">
        <f aca="false">m*g</f>
        <v>84.87612</v>
      </c>
      <c r="U457" s="453" t="n">
        <f aca="false">IF(pos_xz&lt;L_rampe,Poids*COS(Beta),0)</f>
        <v>0</v>
      </c>
      <c r="V457" s="450" t="n">
        <f aca="false">Rho_moyen*(20000-Alt_rampe-pos_z)/(20000+Alt_rampe+pos_z)</f>
        <v>1.09788028416114</v>
      </c>
      <c r="W457" s="449" t="n">
        <f aca="false">1/2*Rho*Sref*Cx*vit_xz^2</f>
        <v>20.2718883794353</v>
      </c>
      <c r="X457" s="438"/>
      <c r="Y457" s="454" t="str">
        <f aca="false">IF(AND(pos_z&lt;=0,K456&gt;0),"Impact balistique","") &amp; IF(AND(H458&lt;0,vit_z&gt;=0),"Apogée","") &amp; IF(AND(Poussee=0,Q456&gt;0),"Fin de propulsion","") &amp; IF(AND(L458&gt;L_rampe,pos_xz&lt;=L_rampe),"Sortie de rampe","")</f>
        <v/>
      </c>
      <c r="Z457" s="455" t="str">
        <f aca="false">IF(ABS(t-T_para)&lt;pas/2,"Para","")</f>
        <v/>
      </c>
      <c r="AA457" s="456" t="str">
        <f aca="false">IF(ABS(t-T_satellite)&lt;pas/2,"Satellite","")</f>
        <v/>
      </c>
      <c r="AB457" s="444"/>
      <c r="AC457" s="452" t="e">
        <f aca="false">IF(ABS(t-ROUND(t,0))&lt;0.001,t,NA())</f>
        <v>#N/A</v>
      </c>
      <c r="AD457" s="457" t="e">
        <f aca="false">IF(ABS(t-ROUND(t,0))&lt;0.001,pos_x,NA())</f>
        <v>#N/A</v>
      </c>
      <c r="AE457" s="458" t="n">
        <f aca="false">IF(t&lt;T_para, pos_z, NA())</f>
        <v>1094.50079460097</v>
      </c>
      <c r="AF457" s="444"/>
      <c r="AG457" s="450" t="n">
        <f aca="false">IF(AND(L456&lt;L_rampe,Poussee&lt;Poids*SIN(M456)),0,(-W456+Poussee)/m-Poids*SIN(M456)/m)</f>
        <v>-11.5380545396922</v>
      </c>
      <c r="AH457" s="449" t="n">
        <f aca="false">IF(AND(L456&lt;L_rampe,Poussee&lt;Poids*SIN(M456)), g*SIN(M456), (-W456+Poussee)/m)</f>
        <v>-2.4047569324492</v>
      </c>
    </row>
    <row r="458" customFormat="false" ht="12" hidden="false" customHeight="false" outlineLevel="0" collapsed="false">
      <c r="A458" s="448" t="n">
        <f aca="false">IF(B457+0.01&lt;=T_ini+ROUNDUP(Temps_fin_propu,0), 0.01, IF(K457&gt;0, 0.1, 0.0001))</f>
        <v>0.1</v>
      </c>
      <c r="B458" s="449" t="n">
        <f aca="false">B457+pas</f>
        <v>9.39999999999994</v>
      </c>
      <c r="C458" s="432"/>
      <c r="D458" s="450" t="n">
        <f aca="false">IF(AND(L457&lt;L_rampe,Poussee&lt;Poids*SIN(M457)),0,(-W457+Poussee)/m*COS(M457)-U457/m*SIN(M457))</f>
        <v>-0.863700290350913</v>
      </c>
      <c r="E458" s="451" t="n">
        <f aca="false">IF(AND(L457&lt;L_rampe,Poussee&lt;Poids*SIN(M457)),0,(-W457+Poussee)/m*SIN(M457)+U457/m*COS(M457)-Poids/m)</f>
        <v>-11.9880283515696</v>
      </c>
      <c r="F458" s="449" t="n">
        <f aca="false">SQRT(acc_x^2+acc_z^2)</f>
        <v>12.0191015450236</v>
      </c>
      <c r="G458" s="450" t="n">
        <f aca="false">G457+acc_x*pas</f>
        <v>33.5057073272284</v>
      </c>
      <c r="H458" s="451" t="n">
        <f aca="false">H457+acc_z*pas</f>
        <v>83.5117127076081</v>
      </c>
      <c r="I458" s="449" t="n">
        <f aca="false">SQRT(vit_x^2+vit_z^2)</f>
        <v>89.9824348573429</v>
      </c>
      <c r="J458" s="450" t="n">
        <f aca="false">J457+0.5*(vit_x+G457)*pas*(K457&gt;=0)</f>
        <v>303.059748866093</v>
      </c>
      <c r="K458" s="451" t="n">
        <f aca="false">K457+0.5*(vit_z+H457)*pas</f>
        <v>1102.91190601349</v>
      </c>
      <c r="L458" s="449" t="n">
        <f aca="false">SQRT(pos_x^2+pos_z^2)</f>
        <v>1143.79188832982</v>
      </c>
      <c r="M458" s="450" t="n">
        <f aca="false">IF(AND(L457&gt;L_rampe,G458&gt;0),ATAN2(G458,H458),$M$4)</f>
        <v>1.1892475593969</v>
      </c>
      <c r="N458" s="449" t="n">
        <f aca="false">DEGREES(Beta)</f>
        <v>68.1388659496759</v>
      </c>
      <c r="O458" s="438"/>
      <c r="P458" s="452" t="n">
        <f aca="false">MATCH(t-pas/2-T_ini,CdP_t)</f>
        <v>23</v>
      </c>
      <c r="Q458" s="449" t="n">
        <f aca="false">(INDEX(CdP,2,i_P+1)-INDEX(CdP,2,i_P+0))/(INDEX(CdP,1,i_P+1)-INDEX(CdP,1,i_P+0))*(t-pas/2-T_ini-INDEX(CdP,1,i_P+0))+INDEX(CdP,2,i_P+0)</f>
        <v>0</v>
      </c>
      <c r="R458" s="450" t="n">
        <f aca="false">Poussee/(g*ISP)</f>
        <v>0</v>
      </c>
      <c r="S458" s="451" t="n">
        <f aca="false">S457-Débit*pas</f>
        <v>8.652</v>
      </c>
      <c r="T458" s="449" t="n">
        <f aca="false">m*g</f>
        <v>84.87612</v>
      </c>
      <c r="U458" s="453" t="n">
        <f aca="false">IF(pos_xz&lt;L_rampe,Poids*COS(Beta),0)</f>
        <v>0</v>
      </c>
      <c r="V458" s="450" t="n">
        <f aca="false">Rho_moyen*(20000-Alt_rampe-pos_z)/(20000+Alt_rampe+pos_z)</f>
        <v>1.09695444013757</v>
      </c>
      <c r="W458" s="449" t="n">
        <f aca="false">1/2*Rho*Sref*Cx*vit_xz^2</f>
        <v>19.7487816761712</v>
      </c>
      <c r="X458" s="438"/>
      <c r="Y458" s="454" t="str">
        <f aca="false">IF(AND(pos_z&lt;=0,K457&gt;0),"Impact balistique","") &amp; IF(AND(H459&lt;0,vit_z&gt;=0),"Apogée","") &amp; IF(AND(Poussee=0,Q457&gt;0),"Fin de propulsion","") &amp; IF(AND(L459&gt;L_rampe,pos_xz&lt;=L_rampe),"Sortie de rampe","")</f>
        <v/>
      </c>
      <c r="Z458" s="455" t="str">
        <f aca="false">IF(ABS(t-T_para)&lt;pas/2,"Para","")</f>
        <v/>
      </c>
      <c r="AA458" s="456" t="str">
        <f aca="false">IF(ABS(t-T_satellite)&lt;pas/2,"Satellite","")</f>
        <v/>
      </c>
      <c r="AB458" s="444"/>
      <c r="AC458" s="452" t="e">
        <f aca="false">IF(ABS(t-ROUND(t,0))&lt;0.001,t,NA())</f>
        <v>#N/A</v>
      </c>
      <c r="AD458" s="457" t="e">
        <f aca="false">IF(ABS(t-ROUND(t,0))&lt;0.001,pos_x,NA())</f>
        <v>#N/A</v>
      </c>
      <c r="AE458" s="458" t="n">
        <f aca="false">IF(t&lt;T_para, pos_z, NA())</f>
        <v>1102.91190601349</v>
      </c>
      <c r="AF458" s="444"/>
      <c r="AG458" s="450" t="n">
        <f aca="false">IF(AND(L457&lt;L_rampe,Poussee&lt;Poids*SIN(M457)),0,(-W457+Poussee)/m-Poids*SIN(M457)/m)</f>
        <v>-11.4621892735132</v>
      </c>
      <c r="AH458" s="449" t="n">
        <f aca="false">IF(AND(L457&lt;L_rampe,Poussee&lt;Poids*SIN(M457)), g*SIN(M457), (-W457+Poussee)/m)</f>
        <v>-2.34302917006881</v>
      </c>
    </row>
    <row r="459" customFormat="false" ht="12" hidden="false" customHeight="false" outlineLevel="0" collapsed="false">
      <c r="A459" s="448" t="n">
        <f aca="false">IF(B458+0.01&lt;=T_ini+ROUNDUP(Temps_fin_propu,0), 0.01, IF(K458&gt;0, 0.1, 0.0001))</f>
        <v>0.1</v>
      </c>
      <c r="B459" s="449" t="n">
        <f aca="false">B458+pas</f>
        <v>9.49999999999994</v>
      </c>
      <c r="C459" s="432"/>
      <c r="D459" s="450" t="n">
        <f aca="false">IF(AND(L458&lt;L_rampe,Poussee&lt;Poids*SIN(M458)),0,(-W458+Poussee)/m*COS(M458)-U458/m*SIN(M458))</f>
        <v>-0.849933305526597</v>
      </c>
      <c r="E459" s="451" t="n">
        <f aca="false">IF(AND(L458&lt;L_rampe,Poussee&lt;Poids*SIN(M458)),0,(-W458+Poussee)/m*SIN(M458)+U458/m*COS(M458)-Poids/m)</f>
        <v>-11.9284267306628</v>
      </c>
      <c r="F459" s="449" t="n">
        <f aca="false">SQRT(acc_x^2+acc_z^2)</f>
        <v>11.9586684414543</v>
      </c>
      <c r="G459" s="450" t="n">
        <f aca="false">G458+acc_x*pas</f>
        <v>33.4207139966757</v>
      </c>
      <c r="H459" s="451" t="n">
        <f aca="false">H458+acc_z*pas</f>
        <v>82.3188700345418</v>
      </c>
      <c r="I459" s="449" t="n">
        <f aca="false">SQRT(vit_x^2+vit_z^2)</f>
        <v>88.8444735918413</v>
      </c>
      <c r="J459" s="450" t="n">
        <f aca="false">J458+0.5*(vit_x+G458)*pas*(K458&gt;=0)</f>
        <v>306.406069932288</v>
      </c>
      <c r="K459" s="451" t="n">
        <f aca="false">K458+0.5*(vit_z+H458)*pas</f>
        <v>1111.2034351506</v>
      </c>
      <c r="L459" s="449" t="n">
        <f aca="false">SQRT(pos_x^2+pos_z^2)</f>
        <v>1152.67417511708</v>
      </c>
      <c r="M459" s="450" t="n">
        <f aca="false">IF(AND(L458&gt;L_rampe,G459&gt;0),ATAN2(G459,H459),$M$4)</f>
        <v>1.18513605402129</v>
      </c>
      <c r="N459" s="449" t="n">
        <f aca="false">DEGREES(Beta)</f>
        <v>67.9032940442084</v>
      </c>
      <c r="O459" s="438"/>
      <c r="P459" s="452" t="n">
        <f aca="false">MATCH(t-pas/2-T_ini,CdP_t)</f>
        <v>23</v>
      </c>
      <c r="Q459" s="449" t="n">
        <f aca="false">(INDEX(CdP,2,i_P+1)-INDEX(CdP,2,i_P+0))/(INDEX(CdP,1,i_P+1)-INDEX(CdP,1,i_P+0))*(t-pas/2-T_ini-INDEX(CdP,1,i_P+0))+INDEX(CdP,2,i_P+0)</f>
        <v>0</v>
      </c>
      <c r="R459" s="450" t="n">
        <f aca="false">Poussee/(g*ISP)</f>
        <v>0</v>
      </c>
      <c r="S459" s="451" t="n">
        <f aca="false">S458-Débit*pas</f>
        <v>8.652</v>
      </c>
      <c r="T459" s="449" t="n">
        <f aca="false">m*g</f>
        <v>84.87612</v>
      </c>
      <c r="U459" s="453" t="n">
        <f aca="false">IF(pos_xz&lt;L_rampe,Poids*COS(Beta),0)</f>
        <v>0</v>
      </c>
      <c r="V459" s="450" t="n">
        <f aca="false">Rho_moyen*(20000-Alt_rampe-pos_z)/(20000+Alt_rampe+pos_z)</f>
        <v>1.0960424810939</v>
      </c>
      <c r="W459" s="449" t="n">
        <f aca="false">1/2*Rho*Sref*Cx*vit_xz^2</f>
        <v>19.2364293176805</v>
      </c>
      <c r="X459" s="438"/>
      <c r="Y459" s="454" t="str">
        <f aca="false">IF(AND(pos_z&lt;=0,K458&gt;0),"Impact balistique","") &amp; IF(AND(H460&lt;0,vit_z&gt;=0),"Apogée","") &amp; IF(AND(Poussee=0,Q458&gt;0),"Fin de propulsion","") &amp; IF(AND(L460&gt;L_rampe,pos_xz&lt;=L_rampe),"Sortie de rampe","")</f>
        <v/>
      </c>
      <c r="Z459" s="455" t="str">
        <f aca="false">IF(ABS(t-T_para)&lt;pas/2,"Para","")</f>
        <v/>
      </c>
      <c r="AA459" s="456" t="str">
        <f aca="false">IF(ABS(t-T_satellite)&lt;pas/2,"Satellite","")</f>
        <v/>
      </c>
      <c r="AB459" s="444"/>
      <c r="AC459" s="452" t="e">
        <f aca="false">IF(ABS(t-ROUND(t,0))&lt;0.001,t,NA())</f>
        <v>#N/A</v>
      </c>
      <c r="AD459" s="457" t="e">
        <f aca="false">IF(ABS(t-ROUND(t,0))&lt;0.001,pos_x,NA())</f>
        <v>#N/A</v>
      </c>
      <c r="AE459" s="458" t="n">
        <f aca="false">IF(t&lt;T_para, pos_z, NA())</f>
        <v>1111.2034351506</v>
      </c>
      <c r="AF459" s="444"/>
      <c r="AG459" s="450" t="n">
        <f aca="false">IF(AND(L458&lt;L_rampe,Poussee&lt;Poids*SIN(M458)),0,(-W458+Poussee)/m-Poids*SIN(M458)/m)</f>
        <v>-11.387121990997</v>
      </c>
      <c r="AH459" s="449" t="n">
        <f aca="false">IF(AND(L458&lt;L_rampe,Poussee&lt;Poids*SIN(M458)), g*SIN(M458), (-W458+Poussee)/m)</f>
        <v>-2.2825683860577</v>
      </c>
    </row>
    <row r="460" customFormat="false" ht="12" hidden="false" customHeight="false" outlineLevel="0" collapsed="false">
      <c r="A460" s="448" t="n">
        <f aca="false">IF(B459+0.01&lt;=T_ini+ROUNDUP(Temps_fin_propu,0), 0.01, IF(K459&gt;0, 0.1, 0.0001))</f>
        <v>0.1</v>
      </c>
      <c r="B460" s="449" t="n">
        <f aca="false">B459+pas</f>
        <v>9.59999999999994</v>
      </c>
      <c r="C460" s="432"/>
      <c r="D460" s="450" t="n">
        <f aca="false">IF(AND(L459&lt;L_rampe,Poussee&lt;Poids*SIN(M459)),0,(-W459+Poussee)/m*COS(M459)-U459/m*SIN(M459))</f>
        <v>-0.836360003373036</v>
      </c>
      <c r="E460" s="451" t="n">
        <f aca="false">IF(AND(L459&lt;L_rampe,Poussee&lt;Poids*SIN(M459)),0,(-W459+Poussee)/m*SIN(M459)+U459/m*COS(M459)-Poids/m)</f>
        <v>-11.8700460668375</v>
      </c>
      <c r="F460" s="449" t="n">
        <f aca="false">SQRT(acc_x^2+acc_z^2)</f>
        <v>11.8994744289018</v>
      </c>
      <c r="G460" s="450" t="n">
        <f aca="false">G459+acc_x*pas</f>
        <v>33.3370779963384</v>
      </c>
      <c r="H460" s="451" t="n">
        <f aca="false">H459+acc_z*pas</f>
        <v>81.1318654278581</v>
      </c>
      <c r="I460" s="449" t="n">
        <f aca="false">SQRT(vit_x^2+vit_z^2)</f>
        <v>87.7139689966086</v>
      </c>
      <c r="J460" s="450" t="n">
        <f aca="false">J459+0.5*(vit_x+G459)*pas*(K459&gt;=0)</f>
        <v>309.743959531938</v>
      </c>
      <c r="K460" s="451" t="n">
        <f aca="false">K459+0.5*(vit_z+H459)*pas</f>
        <v>1119.37597192372</v>
      </c>
      <c r="L460" s="449" t="n">
        <f aca="false">SQRT(pos_x^2+pos_z^2)</f>
        <v>1161.44043626296</v>
      </c>
      <c r="M460" s="450" t="n">
        <f aca="false">IF(AND(L459&gt;L_rampe,G460&gt;0),ATAN2(G460,H460),$M$4)</f>
        <v>1.18092891531172</v>
      </c>
      <c r="N460" s="449" t="n">
        <f aca="false">DEGREES(Beta)</f>
        <v>67.6622427523237</v>
      </c>
      <c r="O460" s="438"/>
      <c r="P460" s="452" t="n">
        <f aca="false">MATCH(t-pas/2-T_ini,CdP_t)</f>
        <v>23</v>
      </c>
      <c r="Q460" s="449" t="n">
        <f aca="false">(INDEX(CdP,2,i_P+1)-INDEX(CdP,2,i_P+0))/(INDEX(CdP,1,i_P+1)-INDEX(CdP,1,i_P+0))*(t-pas/2-T_ini-INDEX(CdP,1,i_P+0))+INDEX(CdP,2,i_P+0)</f>
        <v>0</v>
      </c>
      <c r="R460" s="450" t="n">
        <f aca="false">Poussee/(g*ISP)</f>
        <v>0</v>
      </c>
      <c r="S460" s="451" t="n">
        <f aca="false">S459-Débit*pas</f>
        <v>8.652</v>
      </c>
      <c r="T460" s="449" t="n">
        <f aca="false">m*g</f>
        <v>84.87612</v>
      </c>
      <c r="U460" s="453" t="n">
        <f aca="false">IF(pos_xz&lt;L_rampe,Poids*COS(Beta),0)</f>
        <v>0</v>
      </c>
      <c r="V460" s="450" t="n">
        <f aca="false">Rho_moyen*(20000-Alt_rampe-pos_z)/(20000+Alt_rampe+pos_z)</f>
        <v>1.09514431037835</v>
      </c>
      <c r="W460" s="449" t="n">
        <f aca="false">1/2*Rho*Sref*Cx*vit_xz^2</f>
        <v>18.734629729388</v>
      </c>
      <c r="X460" s="438"/>
      <c r="Y460" s="454" t="str">
        <f aca="false">IF(AND(pos_z&lt;=0,K459&gt;0),"Impact balistique","") &amp; IF(AND(H461&lt;0,vit_z&gt;=0),"Apogée","") &amp; IF(AND(Poussee=0,Q459&gt;0),"Fin de propulsion","") &amp; IF(AND(L461&gt;L_rampe,pos_xz&lt;=L_rampe),"Sortie de rampe","")</f>
        <v/>
      </c>
      <c r="Z460" s="455" t="str">
        <f aca="false">IF(ABS(t-T_para)&lt;pas/2,"Para","")</f>
        <v/>
      </c>
      <c r="AA460" s="456" t="str">
        <f aca="false">IF(ABS(t-T_satellite)&lt;pas/2,"Satellite","")</f>
        <v/>
      </c>
      <c r="AB460" s="444"/>
      <c r="AC460" s="452" t="e">
        <f aca="false">IF(ABS(t-ROUND(t,0))&lt;0.001,t,NA())</f>
        <v>#N/A</v>
      </c>
      <c r="AD460" s="457" t="e">
        <f aca="false">IF(ABS(t-ROUND(t,0))&lt;0.001,pos_x,NA())</f>
        <v>#N/A</v>
      </c>
      <c r="AE460" s="458" t="n">
        <f aca="false">IF(t&lt;T_para, pos_z, NA())</f>
        <v>1119.37597192372</v>
      </c>
      <c r="AF460" s="444"/>
      <c r="AG460" s="450" t="n">
        <f aca="false">IF(AND(L459&lt;L_rampe,Poussee&lt;Poids*SIN(M459)),0,(-W459+Poussee)/m-Poids*SIN(M459)/m)</f>
        <v>-11.3128086342031</v>
      </c>
      <c r="AH460" s="449" t="n">
        <f aca="false">IF(AND(L459&lt;L_rampe,Poussee&lt;Poids*SIN(M459)), g*SIN(M459), (-W459+Poussee)/m)</f>
        <v>-2.2233505915026</v>
      </c>
    </row>
    <row r="461" customFormat="false" ht="12" hidden="false" customHeight="false" outlineLevel="0" collapsed="false">
      <c r="A461" s="448" t="n">
        <f aca="false">IF(B460+0.01&lt;=T_ini+ROUNDUP(Temps_fin_propu,0), 0.01, IF(K460&gt;0, 0.1, 0.0001))</f>
        <v>0.1</v>
      </c>
      <c r="B461" s="449" t="n">
        <f aca="false">B460+pas</f>
        <v>9.69999999999994</v>
      </c>
      <c r="C461" s="432"/>
      <c r="D461" s="450" t="n">
        <f aca="false">IF(AND(L460&lt;L_rampe,Poussee&lt;Poids*SIN(M460)),0,(-W460+Poussee)/m*COS(M460)-U460/m*SIN(M460))</f>
        <v>-0.822976381301232</v>
      </c>
      <c r="E461" s="451" t="n">
        <f aca="false">IF(AND(L460&lt;L_rampe,Poussee&lt;Poids*SIN(M460)),0,(-W460+Poussee)/m*SIN(M460)+U460/m*COS(M460)-Poids/m)</f>
        <v>-11.8128632691015</v>
      </c>
      <c r="F461" s="449" t="n">
        <f aca="false">SQRT(acc_x^2+acc_z^2)</f>
        <v>11.8414960515412</v>
      </c>
      <c r="G461" s="450" t="n">
        <f aca="false">G460+acc_x*pas</f>
        <v>33.2547803582083</v>
      </c>
      <c r="H461" s="451" t="n">
        <f aca="false">H460+acc_z*pas</f>
        <v>79.9505791009479</v>
      </c>
      <c r="I461" s="449" t="n">
        <f aca="false">SQRT(vit_x^2+vit_z^2)</f>
        <v>86.5908512214172</v>
      </c>
      <c r="J461" s="450" t="n">
        <f aca="false">J460+0.5*(vit_x+G460)*pas*(K460&gt;=0)</f>
        <v>313.073552449666</v>
      </c>
      <c r="K461" s="451" t="n">
        <f aca="false">K460+0.5*(vit_z+H460)*pas</f>
        <v>1127.43009415016</v>
      </c>
      <c r="L461" s="449" t="n">
        <f aca="false">SQRT(pos_x^2+pos_z^2)</f>
        <v>1170.09130688117</v>
      </c>
      <c r="M461" s="450" t="n">
        <f aca="false">IF(AND(L460&gt;L_rampe,G461&gt;0),ATAN2(G461,H461),$M$4)</f>
        <v>1.17662308303849</v>
      </c>
      <c r="N461" s="449" t="n">
        <f aca="false">DEGREES(Beta)</f>
        <v>67.4155367357764</v>
      </c>
      <c r="O461" s="438"/>
      <c r="P461" s="452" t="n">
        <f aca="false">MATCH(t-pas/2-T_ini,CdP_t)</f>
        <v>23</v>
      </c>
      <c r="Q461" s="449" t="n">
        <f aca="false">(INDEX(CdP,2,i_P+1)-INDEX(CdP,2,i_P+0))/(INDEX(CdP,1,i_P+1)-INDEX(CdP,1,i_P+0))*(t-pas/2-T_ini-INDEX(CdP,1,i_P+0))+INDEX(CdP,2,i_P+0)</f>
        <v>0</v>
      </c>
      <c r="R461" s="450" t="n">
        <f aca="false">Poussee/(g*ISP)</f>
        <v>0</v>
      </c>
      <c r="S461" s="451" t="n">
        <f aca="false">S460-Débit*pas</f>
        <v>8.652</v>
      </c>
      <c r="T461" s="449" t="n">
        <f aca="false">m*g</f>
        <v>84.87612</v>
      </c>
      <c r="U461" s="453" t="n">
        <f aca="false">IF(pos_xz&lt;L_rampe,Poids*COS(Beta),0)</f>
        <v>0</v>
      </c>
      <c r="V461" s="450" t="n">
        <f aca="false">Rho_moyen*(20000-Alt_rampe-pos_z)/(20000+Alt_rampe+pos_z)</f>
        <v>1.09425983338444</v>
      </c>
      <c r="W461" s="449" t="n">
        <f aca="false">1/2*Rho*Sref*Cx*vit_xz^2</f>
        <v>18.2431871273907</v>
      </c>
      <c r="X461" s="438"/>
      <c r="Y461" s="454" t="str">
        <f aca="false">IF(AND(pos_z&lt;=0,K460&gt;0),"Impact balistique","") &amp; IF(AND(H462&lt;0,vit_z&gt;=0),"Apogée","") &amp; IF(AND(Poussee=0,Q460&gt;0),"Fin de propulsion","") &amp; IF(AND(L462&gt;L_rampe,pos_xz&lt;=L_rampe),"Sortie de rampe","")</f>
        <v/>
      </c>
      <c r="Z461" s="455" t="str">
        <f aca="false">IF(ABS(t-T_para)&lt;pas/2,"Para","")</f>
        <v/>
      </c>
      <c r="AA461" s="456" t="str">
        <f aca="false">IF(ABS(t-T_satellite)&lt;pas/2,"Satellite","")</f>
        <v/>
      </c>
      <c r="AB461" s="444"/>
      <c r="AC461" s="452" t="e">
        <f aca="false">IF(ABS(t-ROUND(t,0))&lt;0.001,t,NA())</f>
        <v>#N/A</v>
      </c>
      <c r="AD461" s="457" t="e">
        <f aca="false">IF(ABS(t-ROUND(t,0))&lt;0.001,pos_x,NA())</f>
        <v>#N/A</v>
      </c>
      <c r="AE461" s="458" t="n">
        <f aca="false">IF(t&lt;T_para, pos_z, NA())</f>
        <v>1127.43009415016</v>
      </c>
      <c r="AF461" s="444"/>
      <c r="AG461" s="450" t="n">
        <f aca="false">IF(AND(L460&lt;L_rampe,Poussee&lt;Poids*SIN(M460)),0,(-W460+Poussee)/m-Poids*SIN(M460)/m)</f>
        <v>-11.2392047943598</v>
      </c>
      <c r="AH461" s="449" t="n">
        <f aca="false">IF(AND(L460&lt;L_rampe,Poussee&lt;Poids*SIN(M460)), g*SIN(M460), (-W460+Poussee)/m)</f>
        <v>-2.16535248837124</v>
      </c>
    </row>
    <row r="462" customFormat="false" ht="12" hidden="false" customHeight="false" outlineLevel="0" collapsed="false">
      <c r="A462" s="448" t="n">
        <f aca="false">IF(B461+0.01&lt;=T_ini+ROUNDUP(Temps_fin_propu,0), 0.01, IF(K461&gt;0, 0.1, 0.0001))</f>
        <v>0.1</v>
      </c>
      <c r="B462" s="449" t="n">
        <f aca="false">B461+pas</f>
        <v>9.79999999999994</v>
      </c>
      <c r="C462" s="432"/>
      <c r="D462" s="450" t="n">
        <f aca="false">IF(AND(L461&lt;L_rampe,Poussee&lt;Poids*SIN(M461)),0,(-W461+Poussee)/m*COS(M461)-U461/m*SIN(M461))</f>
        <v>-0.809778565349961</v>
      </c>
      <c r="E462" s="451" t="n">
        <f aca="false">IF(AND(L461&lt;L_rampe,Poussee&lt;Poids*SIN(M461)),0,(-W461+Poussee)/m*SIN(M461)+U461/m*COS(M461)-Poids/m)</f>
        <v>-11.7568558969834</v>
      </c>
      <c r="F462" s="449" t="n">
        <f aca="false">SQRT(acc_x^2+acc_z^2)</f>
        <v>11.7847105143628</v>
      </c>
      <c r="G462" s="450" t="n">
        <f aca="false">G461+acc_x*pas</f>
        <v>33.1738025016733</v>
      </c>
      <c r="H462" s="451" t="n">
        <f aca="false">H461+acc_z*pas</f>
        <v>78.7748935112496</v>
      </c>
      <c r="I462" s="449" t="n">
        <f aca="false">SQRT(vit_x^2+vit_z^2)</f>
        <v>85.4750549583253</v>
      </c>
      <c r="J462" s="450" t="n">
        <f aca="false">J461+0.5*(vit_x+G461)*pas*(K461&gt;=0)</f>
        <v>316.39498159266</v>
      </c>
      <c r="K462" s="451" t="n">
        <f aca="false">K461+0.5*(vit_z+H461)*pas</f>
        <v>1135.36636778077</v>
      </c>
      <c r="L462" s="449" t="n">
        <f aca="false">SQRT(pos_x^2+pos_z^2)</f>
        <v>1178.62741078965</v>
      </c>
      <c r="M462" s="450" t="n">
        <f aca="false">IF(AND(L461&gt;L_rampe,G462&gt;0),ATAN2(G462,H462),$M$4)</f>
        <v>1.17221537215745</v>
      </c>
      <c r="N462" s="449" t="n">
        <f aca="false">DEGREES(Beta)</f>
        <v>67.1629935049789</v>
      </c>
      <c r="O462" s="438"/>
      <c r="P462" s="452" t="n">
        <f aca="false">MATCH(t-pas/2-T_ini,CdP_t)</f>
        <v>23</v>
      </c>
      <c r="Q462" s="449" t="n">
        <f aca="false">(INDEX(CdP,2,i_P+1)-INDEX(CdP,2,i_P+0))/(INDEX(CdP,1,i_P+1)-INDEX(CdP,1,i_P+0))*(t-pas/2-T_ini-INDEX(CdP,1,i_P+0))+INDEX(CdP,2,i_P+0)</f>
        <v>0</v>
      </c>
      <c r="R462" s="450" t="n">
        <f aca="false">Poussee/(g*ISP)</f>
        <v>0</v>
      </c>
      <c r="S462" s="451" t="n">
        <f aca="false">S461-Débit*pas</f>
        <v>8.652</v>
      </c>
      <c r="T462" s="449" t="n">
        <f aca="false">m*g</f>
        <v>84.87612</v>
      </c>
      <c r="U462" s="453" t="n">
        <f aca="false">IF(pos_xz&lt;L_rampe,Poids*COS(Beta),0)</f>
        <v>0</v>
      </c>
      <c r="V462" s="450" t="n">
        <f aca="false">Rho_moyen*(20000-Alt_rampe-pos_z)/(20000+Alt_rampe+pos_z)</f>
        <v>1.09338895751042</v>
      </c>
      <c r="W462" s="449" t="n">
        <f aca="false">1/2*Rho*Sref*Cx*vit_xz^2</f>
        <v>17.7619113387872</v>
      </c>
      <c r="X462" s="438"/>
      <c r="Y462" s="454" t="str">
        <f aca="false">IF(AND(pos_z&lt;=0,K461&gt;0),"Impact balistique","") &amp; IF(AND(H463&lt;0,vit_z&gt;=0),"Apogée","") &amp; IF(AND(Poussee=0,Q461&gt;0),"Fin de propulsion","") &amp; IF(AND(L463&gt;L_rampe,pos_xz&lt;=L_rampe),"Sortie de rampe","")</f>
        <v/>
      </c>
      <c r="Z462" s="455" t="str">
        <f aca="false">IF(ABS(t-T_para)&lt;pas/2,"Para","")</f>
        <v/>
      </c>
      <c r="AA462" s="456" t="str">
        <f aca="false">IF(ABS(t-T_satellite)&lt;pas/2,"Satellite","")</f>
        <v/>
      </c>
      <c r="AB462" s="444"/>
      <c r="AC462" s="452" t="e">
        <f aca="false">IF(ABS(t-ROUND(t,0))&lt;0.001,t,NA())</f>
        <v>#N/A</v>
      </c>
      <c r="AD462" s="457" t="e">
        <f aca="false">IF(ABS(t-ROUND(t,0))&lt;0.001,pos_x,NA())</f>
        <v>#N/A</v>
      </c>
      <c r="AE462" s="458" t="n">
        <f aca="false">IF(t&lt;T_para, pos_z, NA())</f>
        <v>1135.36636778077</v>
      </c>
      <c r="AF462" s="444"/>
      <c r="AG462" s="450" t="n">
        <f aca="false">IF(AND(L461&lt;L_rampe,Poussee&lt;Poids*SIN(M461)),0,(-W461+Poussee)/m-Poids*SIN(M461)/m)</f>
        <v>-11.1662656280778</v>
      </c>
      <c r="AH462" s="449" t="n">
        <f aca="false">IF(AND(L461&lt;L_rampe,Poussee&lt;Poids*SIN(M461)), g*SIN(M461), (-W461+Poussee)/m)</f>
        <v>-2.10855144791848</v>
      </c>
    </row>
    <row r="463" customFormat="false" ht="12" hidden="false" customHeight="false" outlineLevel="0" collapsed="false">
      <c r="A463" s="448" t="n">
        <f aca="false">IF(B462+0.01&lt;=T_ini+ROUNDUP(Temps_fin_propu,0), 0.01, IF(K462&gt;0, 0.1, 0.0001))</f>
        <v>0.1</v>
      </c>
      <c r="B463" s="449" t="n">
        <f aca="false">B462+pas</f>
        <v>9.89999999999994</v>
      </c>
      <c r="C463" s="432"/>
      <c r="D463" s="450" t="n">
        <f aca="false">IF(AND(L462&lt;L_rampe,Poussee&lt;Poids*SIN(M462)),0,(-W462+Poussee)/m*COS(M462)-U462/m*SIN(M462))</f>
        <v>-0.796762807423281</v>
      </c>
      <c r="E463" s="451" t="n">
        <f aca="false">IF(AND(L462&lt;L_rampe,Poussee&lt;Poids*SIN(M462)),0,(-W462+Poussee)/m*SIN(M462)+U462/m*COS(M462)-Poids/m)</f>
        <v>-11.7020021394993</v>
      </c>
      <c r="F463" s="449" t="n">
        <f aca="false">SQRT(acc_x^2+acc_z^2)</f>
        <v>11.7290956618206</v>
      </c>
      <c r="G463" s="450" t="n">
        <f aca="false">G462+acc_x*pas</f>
        <v>33.094126220931</v>
      </c>
      <c r="H463" s="451" t="n">
        <f aca="false">H462+acc_z*pas</f>
        <v>77.6046932972996</v>
      </c>
      <c r="I463" s="449" t="n">
        <f aca="false">SQRT(vit_x^2+vit_z^2)</f>
        <v>84.3665194973388</v>
      </c>
      <c r="J463" s="450" t="n">
        <f aca="false">J462+0.5*(vit_x+G462)*pas*(K462&gt;=0)</f>
        <v>319.70837802879</v>
      </c>
      <c r="K463" s="451" t="n">
        <f aca="false">K462+0.5*(vit_z+H462)*pas</f>
        <v>1143.18534712119</v>
      </c>
      <c r="L463" s="449" t="n">
        <f aca="false">SQRT(pos_x^2+pos_z^2)</f>
        <v>1187.04936074891</v>
      </c>
      <c r="M463" s="450" t="n">
        <f aca="false">IF(AND(L462&gt;L_rampe,G463&gt;0),ATAN2(G463,H463),$M$4)</f>
        <v>1.16770246691462</v>
      </c>
      <c r="N463" s="449" t="n">
        <f aca="false">DEGREES(Beta)</f>
        <v>66.9044230812224</v>
      </c>
      <c r="O463" s="438"/>
      <c r="P463" s="452" t="n">
        <f aca="false">MATCH(t-pas/2-T_ini,CdP_t)</f>
        <v>23</v>
      </c>
      <c r="Q463" s="449" t="n">
        <f aca="false">(INDEX(CdP,2,i_P+1)-INDEX(CdP,2,i_P+0))/(INDEX(CdP,1,i_P+1)-INDEX(CdP,1,i_P+0))*(t-pas/2-T_ini-INDEX(CdP,1,i_P+0))+INDEX(CdP,2,i_P+0)</f>
        <v>0</v>
      </c>
      <c r="R463" s="450" t="n">
        <f aca="false">Poussee/(g*ISP)</f>
        <v>0</v>
      </c>
      <c r="S463" s="451" t="n">
        <f aca="false">S462-Débit*pas</f>
        <v>8.652</v>
      </c>
      <c r="T463" s="449" t="n">
        <f aca="false">m*g</f>
        <v>84.87612</v>
      </c>
      <c r="U463" s="453" t="n">
        <f aca="false">IF(pos_xz&lt;L_rampe,Poids*COS(Beta),0)</f>
        <v>0</v>
      </c>
      <c r="V463" s="450" t="n">
        <f aca="false">Rho_moyen*(20000-Alt_rampe-pos_z)/(20000+Alt_rampe+pos_z)</f>
        <v>1.0925315921199</v>
      </c>
      <c r="W463" s="449" t="n">
        <f aca="false">1/2*Rho*Sref*Cx*vit_xz^2</f>
        <v>17.2906176288598</v>
      </c>
      <c r="X463" s="438"/>
      <c r="Y463" s="454" t="str">
        <f aca="false">IF(AND(pos_z&lt;=0,K462&gt;0),"Impact balistique","") &amp; IF(AND(H464&lt;0,vit_z&gt;=0),"Apogée","") &amp; IF(AND(Poussee=0,Q462&gt;0),"Fin de propulsion","") &amp; IF(AND(L464&gt;L_rampe,pos_xz&lt;=L_rampe),"Sortie de rampe","")</f>
        <v/>
      </c>
      <c r="Z463" s="455" t="str">
        <f aca="false">IF(ABS(t-T_para)&lt;pas/2,"Para","")</f>
        <v/>
      </c>
      <c r="AA463" s="456" t="str">
        <f aca="false">IF(ABS(t-T_satellite)&lt;pas/2,"Satellite","")</f>
        <v/>
      </c>
      <c r="AB463" s="444"/>
      <c r="AC463" s="452" t="e">
        <f aca="false">IF(ABS(t-ROUND(t,0))&lt;0.001,t,NA())</f>
        <v>#N/A</v>
      </c>
      <c r="AD463" s="457" t="e">
        <f aca="false">IF(ABS(t-ROUND(t,0))&lt;0.001,pos_x,NA())</f>
        <v>#N/A</v>
      </c>
      <c r="AE463" s="458" t="n">
        <f aca="false">IF(t&lt;T_para, pos_z, NA())</f>
        <v>1143.18534712119</v>
      </c>
      <c r="AF463" s="444"/>
      <c r="AG463" s="450" t="n">
        <f aca="false">IF(AND(L462&lt;L_rampe,Poussee&lt;Poids*SIN(M462)),0,(-W462+Poussee)/m-Poids*SIN(M462)/m)</f>
        <v>-11.0939457703063</v>
      </c>
      <c r="AH463" s="449" t="n">
        <f aca="false">IF(AND(L462&lt;L_rampe,Poussee&lt;Poids*SIN(M462)), g*SIN(M462), (-W462+Poussee)/m)</f>
        <v>-2.05292548991993</v>
      </c>
    </row>
    <row r="464" customFormat="false" ht="12" hidden="false" customHeight="false" outlineLevel="0" collapsed="false">
      <c r="A464" s="448" t="n">
        <f aca="false">IF(B463+0.01&lt;=T_ini+ROUNDUP(Temps_fin_propu,0), 0.01, IF(K463&gt;0, 0.1, 0.0001))</f>
        <v>0.1</v>
      </c>
      <c r="B464" s="449" t="n">
        <f aca="false">B463+pas</f>
        <v>9.99999999999994</v>
      </c>
      <c r="C464" s="432"/>
      <c r="D464" s="450" t="n">
        <f aca="false">IF(AND(L463&lt;L_rampe,Poussee&lt;Poids*SIN(M463)),0,(-W463+Poussee)/m*COS(M463)-U463/m*SIN(M463))</f>
        <v>-0.783925482719866</v>
      </c>
      <c r="E464" s="451" t="n">
        <f aca="false">IF(AND(L463&lt;L_rampe,Poussee&lt;Poids*SIN(M463)),0,(-W463+Poussee)/m*SIN(M463)+U463/m*COS(M463)-Poids/m)</f>
        <v>-11.648280794854</v>
      </c>
      <c r="F464" s="449" t="n">
        <f aca="false">SQRT(acc_x^2+acc_z^2)</f>
        <v>11.6746299572287</v>
      </c>
      <c r="G464" s="450" t="n">
        <f aca="false">G463+acc_x*pas</f>
        <v>33.015733672659</v>
      </c>
      <c r="H464" s="451" t="n">
        <f aca="false">H463+acc_z*pas</f>
        <v>76.4398652178142</v>
      </c>
      <c r="I464" s="449" t="n">
        <f aca="false">SQRT(vit_x^2+vit_z^2)</f>
        <v>83.2651887913644</v>
      </c>
      <c r="J464" s="450" t="n">
        <f aca="false">J463+0.5*(vit_x+G463)*pas*(K463&gt;=0)</f>
        <v>323.01387102347</v>
      </c>
      <c r="K464" s="451" t="n">
        <f aca="false">K463+0.5*(vit_z+H463)*pas</f>
        <v>1150.88757504695</v>
      </c>
      <c r="L464" s="449" t="n">
        <f aca="false">SQRT(pos_x^2+pos_z^2)</f>
        <v>1195.35775869445</v>
      </c>
      <c r="M464" s="450" t="n">
        <f aca="false">IF(AND(L463&gt;L_rampe,G464&gt;0),ATAN2(G464,H464),$M$4)</f>
        <v>1.16308091465409</v>
      </c>
      <c r="N464" s="449" t="n">
        <f aca="false">DEGREES(Beta)</f>
        <v>66.6396276418949</v>
      </c>
      <c r="O464" s="438"/>
      <c r="P464" s="452" t="n">
        <f aca="false">MATCH(t-pas/2-T_ini,CdP_t)</f>
        <v>23</v>
      </c>
      <c r="Q464" s="449" t="n">
        <f aca="false">(INDEX(CdP,2,i_P+1)-INDEX(CdP,2,i_P+0))/(INDEX(CdP,1,i_P+1)-INDEX(CdP,1,i_P+0))*(t-pas/2-T_ini-INDEX(CdP,1,i_P+0))+INDEX(CdP,2,i_P+0)</f>
        <v>0</v>
      </c>
      <c r="R464" s="450" t="n">
        <f aca="false">Poussee/(g*ISP)</f>
        <v>0</v>
      </c>
      <c r="S464" s="451" t="n">
        <f aca="false">S463-Débit*pas</f>
        <v>8.652</v>
      </c>
      <c r="T464" s="449" t="n">
        <f aca="false">m*g</f>
        <v>84.87612</v>
      </c>
      <c r="U464" s="453" t="n">
        <f aca="false">IF(pos_xz&lt;L_rampe,Poids*COS(Beta),0)</f>
        <v>0</v>
      </c>
      <c r="V464" s="450" t="n">
        <f aca="false">Rho_moyen*(20000-Alt_rampe-pos_z)/(20000+Alt_rampe+pos_z)</f>
        <v>1.09168764850362</v>
      </c>
      <c r="W464" s="449" t="n">
        <f aca="false">1/2*Rho*Sref*Cx*vit_xz^2</f>
        <v>16.8291265348181</v>
      </c>
      <c r="X464" s="438"/>
      <c r="Y464" s="454" t="str">
        <f aca="false">IF(AND(pos_z&lt;=0,K463&gt;0),"Impact balistique","") &amp; IF(AND(H465&lt;0,vit_z&gt;=0),"Apogée","") &amp; IF(AND(Poussee=0,Q463&gt;0),"Fin de propulsion","") &amp; IF(AND(L465&gt;L_rampe,pos_xz&lt;=L_rampe),"Sortie de rampe","")</f>
        <v/>
      </c>
      <c r="Z464" s="455" t="str">
        <f aca="false">IF(ABS(t-T_para)&lt;pas/2,"Para","")</f>
        <v/>
      </c>
      <c r="AA464" s="456" t="str">
        <f aca="false">IF(ABS(t-T_satellite)&lt;pas/2,"Satellite","")</f>
        <v/>
      </c>
      <c r="AB464" s="444"/>
      <c r="AC464" s="452" t="n">
        <f aca="false">IF(ABS(t-ROUND(t,0))&lt;0.001,t,NA())</f>
        <v>9.99999999999994</v>
      </c>
      <c r="AD464" s="457" t="n">
        <f aca="false">IF(ABS(t-ROUND(t,0))&lt;0.001,pos_x,NA())</f>
        <v>323.01387102347</v>
      </c>
      <c r="AE464" s="458" t="n">
        <f aca="false">IF(t&lt;T_para, pos_z, NA())</f>
        <v>1150.88757504695</v>
      </c>
      <c r="AF464" s="444"/>
      <c r="AG464" s="450" t="n">
        <f aca="false">IF(AND(L463&lt;L_rampe,Poussee&lt;Poids*SIN(M463)),0,(-W463+Poussee)/m-Poids*SIN(M463)/m)</f>
        <v>-11.0221992437147</v>
      </c>
      <c r="AH464" s="449" t="n">
        <f aca="false">IF(AND(L463&lt;L_rampe,Poussee&lt;Poids*SIN(M463)), g*SIN(M463), (-W463+Poussee)/m)</f>
        <v>-1.99845326269762</v>
      </c>
    </row>
    <row r="465" customFormat="false" ht="12" hidden="false" customHeight="false" outlineLevel="0" collapsed="false">
      <c r="A465" s="448" t="n">
        <f aca="false">IF(B464+0.01&lt;=T_ini+ROUNDUP(Temps_fin_propu,0), 0.01, IF(K464&gt;0, 0.1, 0.0001))</f>
        <v>0.1</v>
      </c>
      <c r="B465" s="449" t="n">
        <f aca="false">B464+pas</f>
        <v>10.0999999999999</v>
      </c>
      <c r="C465" s="432"/>
      <c r="D465" s="450" t="n">
        <f aca="false">IF(AND(L464&lt;L_rampe,Poussee&lt;Poids*SIN(M464)),0,(-W464+Poussee)/m*COS(M464)-U464/m*SIN(M464))</f>
        <v>-0.771263087351954</v>
      </c>
      <c r="E465" s="451" t="n">
        <f aca="false">IF(AND(L464&lt;L_rampe,Poussee&lt;Poids*SIN(M464)),0,(-W464+Poussee)/m*SIN(M464)+U464/m*COS(M464)-Poids/m)</f>
        <v>-11.59567125084</v>
      </c>
      <c r="F465" s="449" t="n">
        <f aca="false">SQRT(acc_x^2+acc_z^2)</f>
        <v>11.6212924628662</v>
      </c>
      <c r="G465" s="450" t="n">
        <f aca="false">G464+acc_x*pas</f>
        <v>32.9386073639238</v>
      </c>
      <c r="H465" s="451" t="n">
        <f aca="false">H464+acc_z*pas</f>
        <v>75.2802980927302</v>
      </c>
      <c r="I465" s="449" t="n">
        <f aca="false">SQRT(vit_x^2+vit_z^2)</f>
        <v>82.171011530862</v>
      </c>
      <c r="J465" s="450" t="n">
        <f aca="false">J464+0.5*(vit_x+G464)*pas*(K464&gt;=0)</f>
        <v>326.311588075299</v>
      </c>
      <c r="K465" s="451" t="n">
        <f aca="false">K464+0.5*(vit_z+H464)*pas</f>
        <v>1158.47358321248</v>
      </c>
      <c r="L465" s="449" t="n">
        <f aca="false">SQRT(pos_x^2+pos_z^2)</f>
        <v>1203.55319596326</v>
      </c>
      <c r="M465" s="450" t="n">
        <f aca="false">IF(AND(L464&gt;L_rampe,G465&gt;0),ATAN2(G465,H465),$M$4)</f>
        <v>1.15834711931549</v>
      </c>
      <c r="N465" s="449" t="n">
        <f aca="false">DEGREES(Beta)</f>
        <v>66.3684011479142</v>
      </c>
      <c r="O465" s="438"/>
      <c r="P465" s="452" t="n">
        <f aca="false">MATCH(t-pas/2-T_ini,CdP_t)</f>
        <v>23</v>
      </c>
      <c r="Q465" s="449" t="n">
        <f aca="false">(INDEX(CdP,2,i_P+1)-INDEX(CdP,2,i_P+0))/(INDEX(CdP,1,i_P+1)-INDEX(CdP,1,i_P+0))*(t-pas/2-T_ini-INDEX(CdP,1,i_P+0))+INDEX(CdP,2,i_P+0)</f>
        <v>0</v>
      </c>
      <c r="R465" s="450" t="n">
        <f aca="false">Poussee/(g*ISP)</f>
        <v>0</v>
      </c>
      <c r="S465" s="451" t="n">
        <f aca="false">S464-Débit*pas</f>
        <v>8.652</v>
      </c>
      <c r="T465" s="449" t="n">
        <f aca="false">m*g</f>
        <v>84.87612</v>
      </c>
      <c r="U465" s="453" t="n">
        <f aca="false">IF(pos_xz&lt;L_rampe,Poids*COS(Beta),0)</f>
        <v>0</v>
      </c>
      <c r="V465" s="450" t="n">
        <f aca="false">Rho_moyen*(20000-Alt_rampe-pos_z)/(20000+Alt_rampe+pos_z)</f>
        <v>1.0908570398423</v>
      </c>
      <c r="W465" s="449" t="n">
        <f aca="false">1/2*Rho*Sref*Cx*vit_xz^2</f>
        <v>16.3772637058257</v>
      </c>
      <c r="X465" s="438"/>
      <c r="Y465" s="454" t="str">
        <f aca="false">IF(AND(pos_z&lt;=0,K464&gt;0),"Impact balistique","") &amp; IF(AND(H466&lt;0,vit_z&gt;=0),"Apogée","") &amp; IF(AND(Poussee=0,Q464&gt;0),"Fin de propulsion","") &amp; IF(AND(L466&gt;L_rampe,pos_xz&lt;=L_rampe),"Sortie de rampe","")</f>
        <v/>
      </c>
      <c r="Z465" s="455" t="str">
        <f aca="false">IF(ABS(t-T_para)&lt;pas/2,"Para","")</f>
        <v/>
      </c>
      <c r="AA465" s="456" t="str">
        <f aca="false">IF(ABS(t-T_satellite)&lt;pas/2,"Satellite","")</f>
        <v/>
      </c>
      <c r="AB465" s="444"/>
      <c r="AC465" s="452" t="e">
        <f aca="false">IF(ABS(t-ROUND(t,0))&lt;0.001,t,NA())</f>
        <v>#N/A</v>
      </c>
      <c r="AD465" s="457" t="e">
        <f aca="false">IF(ABS(t-ROUND(t,0))&lt;0.001,pos_x,NA())</f>
        <v>#N/A</v>
      </c>
      <c r="AE465" s="458" t="n">
        <f aca="false">IF(t&lt;T_para, pos_z, NA())</f>
        <v>1158.47358321248</v>
      </c>
      <c r="AF465" s="444"/>
      <c r="AG465" s="450" t="n">
        <f aca="false">IF(AND(L464&lt;L_rampe,Poussee&lt;Poids*SIN(M464)),0,(-W464+Poussee)/m-Poids*SIN(M464)/m)</f>
        <v>-10.9509793641689</v>
      </c>
      <c r="AH465" s="449" t="n">
        <f aca="false">IF(AND(L464&lt;L_rampe,Poussee&lt;Poids*SIN(M464)), g*SIN(M464), (-W464+Poussee)/m)</f>
        <v>-1.94511402390408</v>
      </c>
    </row>
    <row r="466" customFormat="false" ht="12" hidden="false" customHeight="false" outlineLevel="0" collapsed="false">
      <c r="A466" s="448" t="n">
        <f aca="false">IF(B465+0.01&lt;=T_ini+ROUNDUP(Temps_fin_propu,0), 0.01, IF(K465&gt;0, 0.1, 0.0001))</f>
        <v>0.1</v>
      </c>
      <c r="B466" s="449" t="n">
        <f aca="false">B465+pas</f>
        <v>10.1999999999999</v>
      </c>
      <c r="C466" s="432"/>
      <c r="D466" s="450" t="n">
        <f aca="false">IF(AND(L465&lt;L_rampe,Poussee&lt;Poids*SIN(M465)),0,(-W465+Poussee)/m*COS(M465)-U465/m*SIN(M465))</f>
        <v>-0.758772236152218</v>
      </c>
      <c r="E466" s="451" t="n">
        <f aca="false">IF(AND(L465&lt;L_rampe,Poussee&lt;Poids*SIN(M465)),0,(-W465+Poussee)/m*SIN(M465)+U465/m*COS(M465)-Poids/m)</f>
        <v>-11.5441534658987</v>
      </c>
      <c r="F466" s="449" t="n">
        <f aca="false">SQRT(acc_x^2+acc_z^2)</f>
        <v>11.5690628207551</v>
      </c>
      <c r="G466" s="450" t="n">
        <f aca="false">G465+acc_x*pas</f>
        <v>32.8627301403086</v>
      </c>
      <c r="H466" s="451" t="n">
        <f aca="false">H465+acc_z*pas</f>
        <v>74.1258827461404</v>
      </c>
      <c r="I466" s="449" t="n">
        <f aca="false">SQRT(vit_x^2+vit_z^2)</f>
        <v>81.0839412286384</v>
      </c>
      <c r="J466" s="450" t="n">
        <f aca="false">J465+0.5*(vit_x+G465)*pas*(K465&gt;=0)</f>
        <v>329.60165495051</v>
      </c>
      <c r="K466" s="451" t="n">
        <f aca="false">K465+0.5*(vit_z+H465)*pas</f>
        <v>1165.94389225442</v>
      </c>
      <c r="L466" s="449" t="n">
        <f aca="false">SQRT(pos_x^2+pos_z^2)</f>
        <v>1211.63625351485</v>
      </c>
      <c r="M466" s="450" t="n">
        <f aca="false">IF(AND(L465&gt;L_rampe,G466&gt;0),ATAN2(G466,H466),$M$4)</f>
        <v>1.15349733460727</v>
      </c>
      <c r="N466" s="449" t="n">
        <f aca="false">DEGREES(Beta)</f>
        <v>66.0905289525865</v>
      </c>
      <c r="O466" s="438"/>
      <c r="P466" s="452" t="n">
        <f aca="false">MATCH(t-pas/2-T_ini,CdP_t)</f>
        <v>23</v>
      </c>
      <c r="Q466" s="449" t="n">
        <f aca="false">(INDEX(CdP,2,i_P+1)-INDEX(CdP,2,i_P+0))/(INDEX(CdP,1,i_P+1)-INDEX(CdP,1,i_P+0))*(t-pas/2-T_ini-INDEX(CdP,1,i_P+0))+INDEX(CdP,2,i_P+0)</f>
        <v>0</v>
      </c>
      <c r="R466" s="450" t="n">
        <f aca="false">Poussee/(g*ISP)</f>
        <v>0</v>
      </c>
      <c r="S466" s="451" t="n">
        <f aca="false">S465-Débit*pas</f>
        <v>8.652</v>
      </c>
      <c r="T466" s="449" t="n">
        <f aca="false">m*g</f>
        <v>84.87612</v>
      </c>
      <c r="U466" s="453" t="n">
        <f aca="false">IF(pos_xz&lt;L_rampe,Poids*COS(Beta),0)</f>
        <v>0</v>
      </c>
      <c r="V466" s="450" t="n">
        <f aca="false">Rho_moyen*(20000-Alt_rampe-pos_z)/(20000+Alt_rampe+pos_z)</f>
        <v>1.09003968117062</v>
      </c>
      <c r="W466" s="449" t="n">
        <f aca="false">1/2*Rho*Sref*Cx*vit_xz^2</f>
        <v>15.9348597490462</v>
      </c>
      <c r="X466" s="438"/>
      <c r="Y466" s="454" t="str">
        <f aca="false">IF(AND(pos_z&lt;=0,K465&gt;0),"Impact balistique","") &amp; IF(AND(H467&lt;0,vit_z&gt;=0),"Apogée","") &amp; IF(AND(Poussee=0,Q465&gt;0),"Fin de propulsion","") &amp; IF(AND(L467&gt;L_rampe,pos_xz&lt;=L_rampe),"Sortie de rampe","")</f>
        <v/>
      </c>
      <c r="Z466" s="455" t="str">
        <f aca="false">IF(ABS(t-T_para)&lt;pas/2,"Para","")</f>
        <v/>
      </c>
      <c r="AA466" s="456" t="str">
        <f aca="false">IF(ABS(t-T_satellite)&lt;pas/2,"Satellite","")</f>
        <v/>
      </c>
      <c r="AB466" s="444"/>
      <c r="AC466" s="452" t="e">
        <f aca="false">IF(ABS(t-ROUND(t,0))&lt;0.001,t,NA())</f>
        <v>#N/A</v>
      </c>
      <c r="AD466" s="457" t="e">
        <f aca="false">IF(ABS(t-ROUND(t,0))&lt;0.001,pos_x,NA())</f>
        <v>#N/A</v>
      </c>
      <c r="AE466" s="458" t="n">
        <f aca="false">IF(t&lt;T_para, pos_z, NA())</f>
        <v>1165.94389225442</v>
      </c>
      <c r="AF466" s="444"/>
      <c r="AG466" s="450" t="n">
        <f aca="false">IF(AND(L465&lt;L_rampe,Poussee&lt;Poids*SIN(M465)),0,(-W465+Poussee)/m-Poids*SIN(M465)/m)</f>
        <v>-10.8802386419517</v>
      </c>
      <c r="AH466" s="449" t="n">
        <f aca="false">IF(AND(L465&lt;L_rampe,Poussee&lt;Poids*SIN(M465)), g*SIN(M465), (-W465+Poussee)/m)</f>
        <v>-1.89288762203256</v>
      </c>
    </row>
    <row r="467" customFormat="false" ht="12" hidden="false" customHeight="false" outlineLevel="0" collapsed="false">
      <c r="A467" s="448" t="n">
        <f aca="false">IF(B466+0.01&lt;=T_ini+ROUNDUP(Temps_fin_propu,0), 0.01, IF(K466&gt;0, 0.1, 0.0001))</f>
        <v>0.1</v>
      </c>
      <c r="B467" s="449" t="n">
        <f aca="false">B466+pas</f>
        <v>10.2999999999999</v>
      </c>
      <c r="C467" s="432"/>
      <c r="D467" s="450" t="n">
        <f aca="false">IF(AND(L466&lt;L_rampe,Poussee&lt;Poids*SIN(M466)),0,(-W466+Poussee)/m*COS(M466)-U466/m*SIN(M466))</f>
        <v>-0.746449660667398</v>
      </c>
      <c r="E467" s="451" t="n">
        <f aca="false">IF(AND(L466&lt;L_rampe,Poussee&lt;Poids*SIN(M466)),0,(-W466+Poussee)/m*SIN(M466)+U466/m*COS(M466)-Poids/m)</f>
        <v>-11.493707950809</v>
      </c>
      <c r="F467" s="449" t="n">
        <f aca="false">SQRT(acc_x^2+acc_z^2)</f>
        <v>11.5179212340769</v>
      </c>
      <c r="G467" s="450" t="n">
        <f aca="false">G466+acc_x*pas</f>
        <v>32.7880851742418</v>
      </c>
      <c r="H467" s="451" t="n">
        <f aca="false">H466+acc_z*pas</f>
        <v>72.9765119510595</v>
      </c>
      <c r="I467" s="449" t="n">
        <f aca="false">SQRT(vit_x^2+vit_z^2)</f>
        <v>80.0039363152618</v>
      </c>
      <c r="J467" s="450" t="n">
        <f aca="false">J466+0.5*(vit_x+G466)*pas*(K466&gt;=0)</f>
        <v>332.884195716238</v>
      </c>
      <c r="K467" s="451" t="n">
        <f aca="false">K466+0.5*(vit_z+H466)*pas</f>
        <v>1173.29901198928</v>
      </c>
      <c r="L467" s="449" t="n">
        <f aca="false">SQRT(pos_x^2+pos_z^2)</f>
        <v>1219.60750214676</v>
      </c>
      <c r="M467" s="450" t="n">
        <f aca="false">IF(AND(L466&gt;L_rampe,G467&gt;0),ATAN2(G467,H467),$M$4)</f>
        <v>1.14852765684188</v>
      </c>
      <c r="N467" s="449" t="n">
        <f aca="false">DEGREES(Beta)</f>
        <v>65.8057873910892</v>
      </c>
      <c r="O467" s="438"/>
      <c r="P467" s="452" t="n">
        <f aca="false">MATCH(t-pas/2-T_ini,CdP_t)</f>
        <v>23</v>
      </c>
      <c r="Q467" s="449" t="n">
        <f aca="false">(INDEX(CdP,2,i_P+1)-INDEX(CdP,2,i_P+0))/(INDEX(CdP,1,i_P+1)-INDEX(CdP,1,i_P+0))*(t-pas/2-T_ini-INDEX(CdP,1,i_P+0))+INDEX(CdP,2,i_P+0)</f>
        <v>0</v>
      </c>
      <c r="R467" s="450" t="n">
        <f aca="false">Poussee/(g*ISP)</f>
        <v>0</v>
      </c>
      <c r="S467" s="451" t="n">
        <f aca="false">S466-Débit*pas</f>
        <v>8.652</v>
      </c>
      <c r="T467" s="449" t="n">
        <f aca="false">m*g</f>
        <v>84.87612</v>
      </c>
      <c r="U467" s="453" t="n">
        <f aca="false">IF(pos_xz&lt;L_rampe,Poids*COS(Beta),0)</f>
        <v>0</v>
      </c>
      <c r="V467" s="450" t="n">
        <f aca="false">Rho_moyen*(20000-Alt_rampe-pos_z)/(20000+Alt_rampe+pos_z)</f>
        <v>1.08923548934221</v>
      </c>
      <c r="W467" s="449" t="n">
        <f aca="false">1/2*Rho*Sref*Cx*vit_xz^2</f>
        <v>15.5017500814552</v>
      </c>
      <c r="X467" s="438"/>
      <c r="Y467" s="454" t="str">
        <f aca="false">IF(AND(pos_z&lt;=0,K466&gt;0),"Impact balistique","") &amp; IF(AND(H468&lt;0,vit_z&gt;=0),"Apogée","") &amp; IF(AND(Poussee=0,Q466&gt;0),"Fin de propulsion","") &amp; IF(AND(L468&gt;L_rampe,pos_xz&lt;=L_rampe),"Sortie de rampe","")</f>
        <v/>
      </c>
      <c r="Z467" s="455" t="str">
        <f aca="false">IF(ABS(t-T_para)&lt;pas/2,"Para","")</f>
        <v/>
      </c>
      <c r="AA467" s="456" t="str">
        <f aca="false">IF(ABS(t-T_satellite)&lt;pas/2,"Satellite","")</f>
        <v/>
      </c>
      <c r="AB467" s="444"/>
      <c r="AC467" s="452" t="e">
        <f aca="false">IF(ABS(t-ROUND(t,0))&lt;0.001,t,NA())</f>
        <v>#N/A</v>
      </c>
      <c r="AD467" s="457" t="e">
        <f aca="false">IF(ABS(t-ROUND(t,0))&lt;0.001,pos_x,NA())</f>
        <v>#N/A</v>
      </c>
      <c r="AE467" s="458" t="n">
        <f aca="false">IF(t&lt;T_para, pos_z, NA())</f>
        <v>1173.29901198928</v>
      </c>
      <c r="AF467" s="444"/>
      <c r="AG467" s="450" t="n">
        <f aca="false">IF(AND(L466&lt;L_rampe,Poussee&lt;Poids*SIN(M466)),0,(-W466+Poussee)/m-Poids*SIN(M466)/m)</f>
        <v>-10.8099286783596</v>
      </c>
      <c r="AH467" s="449" t="n">
        <f aca="false">IF(AND(L466&lt;L_rampe,Poussee&lt;Poids*SIN(M466)), g*SIN(M466), (-W466+Poussee)/m)</f>
        <v>-1.841754478623</v>
      </c>
    </row>
    <row r="468" customFormat="false" ht="12" hidden="false" customHeight="false" outlineLevel="0" collapsed="false">
      <c r="A468" s="448" t="n">
        <f aca="false">IF(B467+0.01&lt;=T_ini+ROUNDUP(Temps_fin_propu,0), 0.01, IF(K467&gt;0, 0.1, 0.0001))</f>
        <v>0.1</v>
      </c>
      <c r="B468" s="449" t="n">
        <f aca="false">B467+pas</f>
        <v>10.3999999999999</v>
      </c>
      <c r="C468" s="432"/>
      <c r="D468" s="450" t="n">
        <f aca="false">IF(AND(L467&lt;L_rampe,Poussee&lt;Poids*SIN(M467)),0,(-W467+Poussee)/m*COS(M467)-U467/m*SIN(M467))</f>
        <v>-0.734292207338069</v>
      </c>
      <c r="E468" s="451" t="n">
        <f aca="false">IF(AND(L467&lt;L_rampe,Poussee&lt;Poids*SIN(M467)),0,(-W467+Poussee)/m*SIN(M467)+U467/m*COS(M467)-Poids/m)</f>
        <v>-11.444315750969</v>
      </c>
      <c r="F468" s="449" t="n">
        <f aca="false">SQRT(acc_x^2+acc_z^2)</f>
        <v>11.467848449192</v>
      </c>
      <c r="G468" s="450" t="n">
        <f aca="false">G467+acc_x*pas</f>
        <v>32.714655953508</v>
      </c>
      <c r="H468" s="451" t="n">
        <f aca="false">H467+acc_z*pas</f>
        <v>71.8320803759626</v>
      </c>
      <c r="I468" s="449" t="n">
        <f aca="false">SQRT(vit_x^2+vit_z^2)</f>
        <v>78.9309602456168</v>
      </c>
      <c r="J468" s="450" t="n">
        <f aca="false">J467+0.5*(vit_x+G467)*pas*(K467&gt;=0)</f>
        <v>336.159332772625</v>
      </c>
      <c r="K468" s="451" t="n">
        <f aca="false">K467+0.5*(vit_z+H467)*pas</f>
        <v>1180.53944160563</v>
      </c>
      <c r="L468" s="449" t="n">
        <f aca="false">SQRT(pos_x^2+pos_z^2)</f>
        <v>1227.46750270493</v>
      </c>
      <c r="M468" s="450" t="n">
        <f aca="false">IF(AND(L467&gt;L_rampe,G468&gt;0),ATAN2(G468,H468),$M$4)</f>
        <v>1.1434340174187</v>
      </c>
      <c r="N468" s="449" t="n">
        <f aca="false">DEGREES(Beta)</f>
        <v>65.5139433497797</v>
      </c>
      <c r="O468" s="438"/>
      <c r="P468" s="452" t="n">
        <f aca="false">MATCH(t-pas/2-T_ini,CdP_t)</f>
        <v>23</v>
      </c>
      <c r="Q468" s="449" t="n">
        <f aca="false">(INDEX(CdP,2,i_P+1)-INDEX(CdP,2,i_P+0))/(INDEX(CdP,1,i_P+1)-INDEX(CdP,1,i_P+0))*(t-pas/2-T_ini-INDEX(CdP,1,i_P+0))+INDEX(CdP,2,i_P+0)</f>
        <v>0</v>
      </c>
      <c r="R468" s="450" t="n">
        <f aca="false">Poussee/(g*ISP)</f>
        <v>0</v>
      </c>
      <c r="S468" s="451" t="n">
        <f aca="false">S467-Débit*pas</f>
        <v>8.652</v>
      </c>
      <c r="T468" s="449" t="n">
        <f aca="false">m*g</f>
        <v>84.87612</v>
      </c>
      <c r="U468" s="453" t="n">
        <f aca="false">IF(pos_xz&lt;L_rampe,Poids*COS(Beta),0)</f>
        <v>0</v>
      </c>
      <c r="V468" s="450" t="n">
        <f aca="false">Rho_moyen*(20000-Alt_rampe-pos_z)/(20000+Alt_rampe+pos_z)</f>
        <v>1.08844438299563</v>
      </c>
      <c r="W468" s="449" t="n">
        <f aca="false">1/2*Rho*Sref*Cx*vit_xz^2</f>
        <v>15.0777747871788</v>
      </c>
      <c r="X468" s="438"/>
      <c r="Y468" s="454" t="str">
        <f aca="false">IF(AND(pos_z&lt;=0,K467&gt;0),"Impact balistique","") &amp; IF(AND(H469&lt;0,vit_z&gt;=0),"Apogée","") &amp; IF(AND(Poussee=0,Q467&gt;0),"Fin de propulsion","") &amp; IF(AND(L469&gt;L_rampe,pos_xz&lt;=L_rampe),"Sortie de rampe","")</f>
        <v/>
      </c>
      <c r="Z468" s="455" t="str">
        <f aca="false">IF(ABS(t-T_para)&lt;pas/2,"Para","")</f>
        <v/>
      </c>
      <c r="AA468" s="456" t="str">
        <f aca="false">IF(ABS(t-T_satellite)&lt;pas/2,"Satellite","")</f>
        <v/>
      </c>
      <c r="AB468" s="444"/>
      <c r="AC468" s="452" t="e">
        <f aca="false">IF(ABS(t-ROUND(t,0))&lt;0.001,t,NA())</f>
        <v>#N/A</v>
      </c>
      <c r="AD468" s="457" t="e">
        <f aca="false">IF(ABS(t-ROUND(t,0))&lt;0.001,pos_x,NA())</f>
        <v>#N/A</v>
      </c>
      <c r="AE468" s="458" t="n">
        <f aca="false">IF(t&lt;T_para, pos_z, NA())</f>
        <v>1180.53944160563</v>
      </c>
      <c r="AF468" s="444"/>
      <c r="AG468" s="450" t="n">
        <f aca="false">IF(AND(L467&lt;L_rampe,Poussee&lt;Poids*SIN(M467)),0,(-W467+Poussee)/m-Poids*SIN(M467)/m)</f>
        <v>-10.7400000572892</v>
      </c>
      <c r="AH468" s="449" t="n">
        <f aca="false">IF(AND(L467&lt;L_rampe,Poussee&lt;Poids*SIN(M467)), g*SIN(M467), (-W467+Poussee)/m)</f>
        <v>-1.79169557113444</v>
      </c>
    </row>
    <row r="469" customFormat="false" ht="12" hidden="false" customHeight="false" outlineLevel="0" collapsed="false">
      <c r="A469" s="448" t="n">
        <f aca="false">IF(B468+0.01&lt;=T_ini+ROUNDUP(Temps_fin_propu,0), 0.01, IF(K468&gt;0, 0.1, 0.0001))</f>
        <v>0.1</v>
      </c>
      <c r="B469" s="449" t="n">
        <f aca="false">B468+pas</f>
        <v>10.4999999999999</v>
      </c>
      <c r="C469" s="432"/>
      <c r="D469" s="450" t="n">
        <f aca="false">IF(AND(L468&lt;L_rampe,Poussee&lt;Poids*SIN(M468)),0,(-W468+Poussee)/m*COS(M468)-U468/m*SIN(M468))</f>
        <v>-0.722296835864444</v>
      </c>
      <c r="E469" s="451" t="n">
        <f aca="false">IF(AND(L468&lt;L_rampe,Poussee&lt;Poids*SIN(M468)),0,(-W468+Poussee)/m*SIN(M468)+U468/m*COS(M468)-Poids/m)</f>
        <v>-11.3959584292389</v>
      </c>
      <c r="F469" s="449" t="n">
        <f aca="false">SQRT(acc_x^2+acc_z^2)</f>
        <v>11.418825738229</v>
      </c>
      <c r="G469" s="450" t="n">
        <f aca="false">G468+acc_x*pas</f>
        <v>32.6424262699216</v>
      </c>
      <c r="H469" s="451" t="n">
        <f aca="false">H468+acc_z*pas</f>
        <v>70.6924845330387</v>
      </c>
      <c r="I469" s="449" t="n">
        <f aca="false">SQRT(vit_x^2+vit_z^2)</f>
        <v>77.8649816171633</v>
      </c>
      <c r="J469" s="450" t="n">
        <f aca="false">J468+0.5*(vit_x+G468)*pas*(K468&gt;=0)</f>
        <v>339.427186883797</v>
      </c>
      <c r="K469" s="451" t="n">
        <f aca="false">K468+0.5*(vit_z+H468)*pas</f>
        <v>1187.66566985108</v>
      </c>
      <c r="L469" s="449" t="n">
        <f aca="false">SQRT(pos_x^2+pos_z^2)</f>
        <v>1235.21680628895</v>
      </c>
      <c r="M469" s="450" t="n">
        <f aca="false">IF(AND(L468&gt;L_rampe,G469&gt;0),ATAN2(G469,H469),$M$4)</f>
        <v>1.13821217494111</v>
      </c>
      <c r="N469" s="449" t="n">
        <f aca="false">DEGREES(Beta)</f>
        <v>65.2147538145319</v>
      </c>
      <c r="O469" s="438"/>
      <c r="P469" s="452" t="n">
        <f aca="false">MATCH(t-pas/2-T_ini,CdP_t)</f>
        <v>23</v>
      </c>
      <c r="Q469" s="449" t="n">
        <f aca="false">(INDEX(CdP,2,i_P+1)-INDEX(CdP,2,i_P+0))/(INDEX(CdP,1,i_P+1)-INDEX(CdP,1,i_P+0))*(t-pas/2-T_ini-INDEX(CdP,1,i_P+0))+INDEX(CdP,2,i_P+0)</f>
        <v>0</v>
      </c>
      <c r="R469" s="450" t="n">
        <f aca="false">Poussee/(g*ISP)</f>
        <v>0</v>
      </c>
      <c r="S469" s="451" t="n">
        <f aca="false">S468-Débit*pas</f>
        <v>8.652</v>
      </c>
      <c r="T469" s="449" t="n">
        <f aca="false">m*g</f>
        <v>84.87612</v>
      </c>
      <c r="U469" s="453" t="n">
        <f aca="false">IF(pos_xz&lt;L_rampe,Poids*COS(Beta),0)</f>
        <v>0</v>
      </c>
      <c r="V469" s="450" t="n">
        <f aca="false">Rho_moyen*(20000-Alt_rampe-pos_z)/(20000+Alt_rampe+pos_z)</f>
        <v>1.08766628252136</v>
      </c>
      <c r="W469" s="449" t="n">
        <f aca="false">1/2*Rho*Sref*Cx*vit_xz^2</f>
        <v>14.6627784801298</v>
      </c>
      <c r="X469" s="438"/>
      <c r="Y469" s="454" t="str">
        <f aca="false">IF(AND(pos_z&lt;=0,K468&gt;0),"Impact balistique","") &amp; IF(AND(H470&lt;0,vit_z&gt;=0),"Apogée","") &amp; IF(AND(Poussee=0,Q468&gt;0),"Fin de propulsion","") &amp; IF(AND(L470&gt;L_rampe,pos_xz&lt;=L_rampe),"Sortie de rampe","")</f>
        <v/>
      </c>
      <c r="Z469" s="455" t="str">
        <f aca="false">IF(ABS(t-T_para)&lt;pas/2,"Para","")</f>
        <v/>
      </c>
      <c r="AA469" s="456" t="str">
        <f aca="false">IF(ABS(t-T_satellite)&lt;pas/2,"Satellite","")</f>
        <v/>
      </c>
      <c r="AB469" s="444"/>
      <c r="AC469" s="452" t="e">
        <f aca="false">IF(ABS(t-ROUND(t,0))&lt;0.001,t,NA())</f>
        <v>#N/A</v>
      </c>
      <c r="AD469" s="457" t="e">
        <f aca="false">IF(ABS(t-ROUND(t,0))&lt;0.001,pos_x,NA())</f>
        <v>#N/A</v>
      </c>
      <c r="AE469" s="458" t="n">
        <f aca="false">IF(t&lt;T_para, pos_z, NA())</f>
        <v>1187.66566985108</v>
      </c>
      <c r="AF469" s="444"/>
      <c r="AG469" s="450" t="n">
        <f aca="false">IF(AND(L468&lt;L_rampe,Poussee&lt;Poids*SIN(M468)),0,(-W468+Poussee)/m-Poids*SIN(M468)/m)</f>
        <v>-10.6704022314058</v>
      </c>
      <c r="AH469" s="449" t="n">
        <f aca="false">IF(AND(L468&lt;L_rampe,Poussee&lt;Poids*SIN(M468)), g*SIN(M468), (-W468+Poussee)/m)</f>
        <v>-1.74269241645617</v>
      </c>
    </row>
    <row r="470" customFormat="false" ht="12" hidden="false" customHeight="false" outlineLevel="0" collapsed="false">
      <c r="A470" s="448" t="n">
        <f aca="false">IF(B469+0.01&lt;=T_ini+ROUNDUP(Temps_fin_propu,0), 0.01, IF(K469&gt;0, 0.1, 0.0001))</f>
        <v>0.1</v>
      </c>
      <c r="B470" s="449" t="n">
        <f aca="false">B469+pas</f>
        <v>10.5999999999999</v>
      </c>
      <c r="C470" s="432"/>
      <c r="D470" s="450" t="n">
        <f aca="false">IF(AND(L469&lt;L_rampe,Poussee&lt;Poids*SIN(M469)),0,(-W469+Poussee)/m*COS(M469)-U469/m*SIN(M469))</f>
        <v>-0.710460617758664</v>
      </c>
      <c r="E470" s="451" t="n">
        <f aca="false">IF(AND(L469&lt;L_rampe,Poussee&lt;Poids*SIN(M469)),0,(-W469+Poussee)/m*SIN(M469)+U469/m*COS(M469)-Poids/m)</f>
        <v>-11.348618049312</v>
      </c>
      <c r="F470" s="449" t="n">
        <f aca="false">SQRT(acc_x^2+acc_z^2)</f>
        <v>11.3708348822132</v>
      </c>
      <c r="G470" s="450" t="n">
        <f aca="false">G469+acc_x*pas</f>
        <v>32.5713802081457</v>
      </c>
      <c r="H470" s="451" t="n">
        <f aca="false">H469+acc_z*pas</f>
        <v>69.5576227281075</v>
      </c>
      <c r="I470" s="449" t="n">
        <f aca="false">SQRT(vit_x^2+vit_z^2)</f>
        <v>76.8059743005016</v>
      </c>
      <c r="J470" s="450" t="n">
        <f aca="false">J469+0.5*(vit_x+G469)*pas*(K469&gt;=0)</f>
        <v>342.6878772077</v>
      </c>
      <c r="K470" s="451" t="n">
        <f aca="false">K469+0.5*(vit_z+H469)*pas</f>
        <v>1194.67817521414</v>
      </c>
      <c r="L470" s="449" t="n">
        <f aca="false">SQRT(pos_x^2+pos_z^2)</f>
        <v>1242.85595445253</v>
      </c>
      <c r="M470" s="450" t="n">
        <f aca="false">IF(AND(L469&gt;L_rampe,G470&gt;0),ATAN2(G470,H470),$M$4)</f>
        <v>1.13285770695385</v>
      </c>
      <c r="N470" s="449" t="n">
        <f aca="false">DEGREES(Beta)</f>
        <v>64.9079653973238</v>
      </c>
      <c r="O470" s="438"/>
      <c r="P470" s="452" t="n">
        <f aca="false">MATCH(t-pas/2-T_ini,CdP_t)</f>
        <v>23</v>
      </c>
      <c r="Q470" s="449" t="n">
        <f aca="false">(INDEX(CdP,2,i_P+1)-INDEX(CdP,2,i_P+0))/(INDEX(CdP,1,i_P+1)-INDEX(CdP,1,i_P+0))*(t-pas/2-T_ini-INDEX(CdP,1,i_P+0))+INDEX(CdP,2,i_P+0)</f>
        <v>0</v>
      </c>
      <c r="R470" s="450" t="n">
        <f aca="false">Poussee/(g*ISP)</f>
        <v>0</v>
      </c>
      <c r="S470" s="451" t="n">
        <f aca="false">S469-Débit*pas</f>
        <v>8.652</v>
      </c>
      <c r="T470" s="449" t="n">
        <f aca="false">m*g</f>
        <v>84.87612</v>
      </c>
      <c r="U470" s="453" t="n">
        <f aca="false">IF(pos_xz&lt;L_rampe,Poids*COS(Beta),0)</f>
        <v>0</v>
      </c>
      <c r="V470" s="450" t="n">
        <f aca="false">Rho_moyen*(20000-Alt_rampe-pos_z)/(20000+Alt_rampe+pos_z)</f>
        <v>1.08690111002971</v>
      </c>
      <c r="W470" s="449" t="n">
        <f aca="false">1/2*Rho*Sref*Cx*vit_xz^2</f>
        <v>14.2566101717218</v>
      </c>
      <c r="X470" s="438"/>
      <c r="Y470" s="454" t="str">
        <f aca="false">IF(AND(pos_z&lt;=0,K469&gt;0),"Impact balistique","") &amp; IF(AND(H471&lt;0,vit_z&gt;=0),"Apogée","") &amp; IF(AND(Poussee=0,Q469&gt;0),"Fin de propulsion","") &amp; IF(AND(L471&gt;L_rampe,pos_xz&lt;=L_rampe),"Sortie de rampe","")</f>
        <v/>
      </c>
      <c r="Z470" s="455" t="str">
        <f aca="false">IF(ABS(t-T_para)&lt;pas/2,"Para","")</f>
        <v/>
      </c>
      <c r="AA470" s="456" t="str">
        <f aca="false">IF(ABS(t-T_satellite)&lt;pas/2,"Satellite","")</f>
        <v/>
      </c>
      <c r="AB470" s="444"/>
      <c r="AC470" s="452" t="e">
        <f aca="false">IF(ABS(t-ROUND(t,0))&lt;0.001,t,NA())</f>
        <v>#N/A</v>
      </c>
      <c r="AD470" s="457" t="e">
        <f aca="false">IF(ABS(t-ROUND(t,0))&lt;0.001,pos_x,NA())</f>
        <v>#N/A</v>
      </c>
      <c r="AE470" s="458" t="n">
        <f aca="false">IF(t&lt;T_para, pos_z, NA())</f>
        <v>1194.67817521414</v>
      </c>
      <c r="AF470" s="444"/>
      <c r="AG470" s="450" t="n">
        <f aca="false">IF(AND(L469&lt;L_rampe,Poussee&lt;Poids*SIN(M469)),0,(-W469+Poussee)/m-Poids*SIN(M469)/m)</f>
        <v>-10.6010834024685</v>
      </c>
      <c r="AH470" s="449" t="n">
        <f aca="false">IF(AND(L469&lt;L_rampe,Poussee&lt;Poids*SIN(M469)), g*SIN(M469), (-W469+Poussee)/m)</f>
        <v>-1.69472705503119</v>
      </c>
    </row>
    <row r="471" customFormat="false" ht="12" hidden="false" customHeight="false" outlineLevel="0" collapsed="false">
      <c r="A471" s="448" t="n">
        <f aca="false">IF(B470+0.01&lt;=T_ini+ROUNDUP(Temps_fin_propu,0), 0.01, IF(K470&gt;0, 0.1, 0.0001))</f>
        <v>0.1</v>
      </c>
      <c r="B471" s="449" t="n">
        <f aca="false">B470+pas</f>
        <v>10.6999999999999</v>
      </c>
      <c r="C471" s="432"/>
      <c r="D471" s="450" t="n">
        <f aca="false">IF(AND(L470&lt;L_rampe,Poussee&lt;Poids*SIN(M470)),0,(-W470+Poussee)/m*COS(M470)-U470/m*SIN(M470))</f>
        <v>-0.698780735084562</v>
      </c>
      <c r="E471" s="451" t="n">
        <f aca="false">IF(AND(L470&lt;L_rampe,Poussee&lt;Poids*SIN(M470)),0,(-W470+Poussee)/m*SIN(M470)+U470/m*COS(M470)-Poids/m)</f>
        <v>-11.3022771595821</v>
      </c>
      <c r="F471" s="449" t="n">
        <f aca="false">SQRT(acc_x^2+acc_z^2)</f>
        <v>11.3238581546988</v>
      </c>
      <c r="G471" s="450" t="n">
        <f aca="false">G470+acc_x*pas</f>
        <v>32.5015021346372</v>
      </c>
      <c r="H471" s="451" t="n">
        <f aca="false">H470+acc_z*pas</f>
        <v>68.4273950121492</v>
      </c>
      <c r="I471" s="449" t="n">
        <f aca="false">SQRT(vit_x^2+vit_z^2)</f>
        <v>75.7539175828982</v>
      </c>
      <c r="J471" s="450" t="n">
        <f aca="false">J470+0.5*(vit_x+G470)*pas*(K470&gt;=0)</f>
        <v>345.941521324839</v>
      </c>
      <c r="K471" s="451" t="n">
        <f aca="false">K470+0.5*(vit_z+H470)*pas</f>
        <v>1201.57742610115</v>
      </c>
      <c r="L471" s="449" t="n">
        <f aca="false">SQRT(pos_x^2+pos_z^2)</f>
        <v>1250.38547939922</v>
      </c>
      <c r="M471" s="450" t="n">
        <f aca="false">IF(AND(L470&gt;L_rampe,G471&gt;0),ATAN2(G471,H471),$M$4)</f>
        <v>1.12736600128762</v>
      </c>
      <c r="N471" s="449" t="n">
        <f aca="false">DEGREES(Beta)</f>
        <v>64.5933138403206</v>
      </c>
      <c r="O471" s="438"/>
      <c r="P471" s="452" t="n">
        <f aca="false">MATCH(t-pas/2-T_ini,CdP_t)</f>
        <v>23</v>
      </c>
      <c r="Q471" s="449" t="n">
        <f aca="false">(INDEX(CdP,2,i_P+1)-INDEX(CdP,2,i_P+0))/(INDEX(CdP,1,i_P+1)-INDEX(CdP,1,i_P+0))*(t-pas/2-T_ini-INDEX(CdP,1,i_P+0))+INDEX(CdP,2,i_P+0)</f>
        <v>0</v>
      </c>
      <c r="R471" s="450" t="n">
        <f aca="false">Poussee/(g*ISP)</f>
        <v>0</v>
      </c>
      <c r="S471" s="451" t="n">
        <f aca="false">S470-Débit*pas</f>
        <v>8.652</v>
      </c>
      <c r="T471" s="449" t="n">
        <f aca="false">m*g</f>
        <v>84.87612</v>
      </c>
      <c r="U471" s="453" t="n">
        <f aca="false">IF(pos_xz&lt;L_rampe,Poids*COS(Beta),0)</f>
        <v>0</v>
      </c>
      <c r="V471" s="450" t="n">
        <f aca="false">Rho_moyen*(20000-Alt_rampe-pos_z)/(20000+Alt_rampe+pos_z)</f>
        <v>1.08614878931963</v>
      </c>
      <c r="W471" s="449" t="n">
        <f aca="false">1/2*Rho*Sref*Cx*vit_xz^2</f>
        <v>13.8591231434537</v>
      </c>
      <c r="X471" s="438"/>
      <c r="Y471" s="454" t="str">
        <f aca="false">IF(AND(pos_z&lt;=0,K470&gt;0),"Impact balistique","") &amp; IF(AND(H472&lt;0,vit_z&gt;=0),"Apogée","") &amp; IF(AND(Poussee=0,Q470&gt;0),"Fin de propulsion","") &amp; IF(AND(L472&gt;L_rampe,pos_xz&lt;=L_rampe),"Sortie de rampe","")</f>
        <v/>
      </c>
      <c r="Z471" s="455" t="str">
        <f aca="false">IF(ABS(t-T_para)&lt;pas/2,"Para","")</f>
        <v/>
      </c>
      <c r="AA471" s="456" t="str">
        <f aca="false">IF(ABS(t-T_satellite)&lt;pas/2,"Satellite","")</f>
        <v/>
      </c>
      <c r="AB471" s="444"/>
      <c r="AC471" s="452" t="e">
        <f aca="false">IF(ABS(t-ROUND(t,0))&lt;0.001,t,NA())</f>
        <v>#N/A</v>
      </c>
      <c r="AD471" s="457" t="e">
        <f aca="false">IF(ABS(t-ROUND(t,0))&lt;0.001,pos_x,NA())</f>
        <v>#N/A</v>
      </c>
      <c r="AE471" s="458" t="n">
        <f aca="false">IF(t&lt;T_para, pos_z, NA())</f>
        <v>1201.57742610115</v>
      </c>
      <c r="AF471" s="444"/>
      <c r="AG471" s="450" t="n">
        <f aca="false">IF(AND(L470&lt;L_rampe,Poussee&lt;Poids*SIN(M470)),0,(-W470+Poussee)/m-Poids*SIN(M470)/m)</f>
        <v>-10.5319903953618</v>
      </c>
      <c r="AH471" s="449" t="n">
        <f aca="false">IF(AND(L470&lt;L_rampe,Poussee&lt;Poids*SIN(M470)), g*SIN(M470), (-W470+Poussee)/m)</f>
        <v>-1.64778203556655</v>
      </c>
    </row>
    <row r="472" customFormat="false" ht="12" hidden="false" customHeight="false" outlineLevel="0" collapsed="false">
      <c r="A472" s="448" t="n">
        <f aca="false">IF(B471+0.01&lt;=T_ini+ROUNDUP(Temps_fin_propu,0), 0.01, IF(K471&gt;0, 0.1, 0.0001))</f>
        <v>0.1</v>
      </c>
      <c r="B472" s="449" t="n">
        <f aca="false">B471+pas</f>
        <v>10.7999999999999</v>
      </c>
      <c r="C472" s="432"/>
      <c r="D472" s="450" t="n">
        <f aca="false">IF(AND(L471&lt;L_rampe,Poussee&lt;Poids*SIN(M471)),0,(-W471+Poussee)/m*COS(M471)-U471/m*SIN(M471))</f>
        <v>-0.687254479386428</v>
      </c>
      <c r="E472" s="451" t="n">
        <f aca="false">IF(AND(L471&lt;L_rampe,Poussee&lt;Poids*SIN(M471)),0,(-W471+Poussee)/m*SIN(M471)+U471/m*COS(M471)-Poids/m)</f>
        <v>-11.2569187774779</v>
      </c>
      <c r="F472" s="449" t="n">
        <f aca="false">SQRT(acc_x^2+acc_z^2)</f>
        <v>11.277878305877</v>
      </c>
      <c r="G472" s="450" t="n">
        <f aca="false">G471+acc_x*pas</f>
        <v>32.4327766866986</v>
      </c>
      <c r="H472" s="451" t="n">
        <f aca="false">H471+acc_z*pas</f>
        <v>67.3017031344015</v>
      </c>
      <c r="I472" s="449" t="n">
        <f aca="false">SQRT(vit_x^2+vit_z^2)</f>
        <v>74.7087963254687</v>
      </c>
      <c r="J472" s="450" t="n">
        <f aca="false">J471+0.5*(vit_x+G471)*pas*(K471&gt;=0)</f>
        <v>349.188235265906</v>
      </c>
      <c r="K472" s="451" t="n">
        <f aca="false">K471+0.5*(vit_z+H471)*pas</f>
        <v>1208.36388100848</v>
      </c>
      <c r="L472" s="449" t="n">
        <f aca="false">SQRT(pos_x^2+pos_z^2)</f>
        <v>1257.80590417361</v>
      </c>
      <c r="M472" s="450" t="n">
        <f aca="false">IF(AND(L471&gt;L_rampe,G472&gt;0),ATAN2(G472,H472),$M$4)</f>
        <v>1.12173224699852</v>
      </c>
      <c r="N472" s="449" t="n">
        <f aca="false">DEGREES(Beta)</f>
        <v>64.2705234967414</v>
      </c>
      <c r="O472" s="438"/>
      <c r="P472" s="452" t="n">
        <f aca="false">MATCH(t-pas/2-T_ini,CdP_t)</f>
        <v>23</v>
      </c>
      <c r="Q472" s="449" t="n">
        <f aca="false">(INDEX(CdP,2,i_P+1)-INDEX(CdP,2,i_P+0))/(INDEX(CdP,1,i_P+1)-INDEX(CdP,1,i_P+0))*(t-pas/2-T_ini-INDEX(CdP,1,i_P+0))+INDEX(CdP,2,i_P+0)</f>
        <v>0</v>
      </c>
      <c r="R472" s="450" t="n">
        <f aca="false">Poussee/(g*ISP)</f>
        <v>0</v>
      </c>
      <c r="S472" s="451" t="n">
        <f aca="false">S471-Débit*pas</f>
        <v>8.652</v>
      </c>
      <c r="T472" s="449" t="n">
        <f aca="false">m*g</f>
        <v>84.87612</v>
      </c>
      <c r="U472" s="453" t="n">
        <f aca="false">IF(pos_xz&lt;L_rampe,Poids*COS(Beta),0)</f>
        <v>0</v>
      </c>
      <c r="V472" s="450" t="n">
        <f aca="false">Rho_moyen*(20000-Alt_rampe-pos_z)/(20000+Alt_rampe+pos_z)</f>
        <v>1.08540924584844</v>
      </c>
      <c r="W472" s="449" t="n">
        <f aca="false">1/2*Rho*Sref*Cx*vit_xz^2</f>
        <v>13.4701748241655</v>
      </c>
      <c r="X472" s="438"/>
      <c r="Y472" s="454" t="str">
        <f aca="false">IF(AND(pos_z&lt;=0,K471&gt;0),"Impact balistique","") &amp; IF(AND(H473&lt;0,vit_z&gt;=0),"Apogée","") &amp; IF(AND(Poussee=0,Q471&gt;0),"Fin de propulsion","") &amp; IF(AND(L473&gt;L_rampe,pos_xz&lt;=L_rampe),"Sortie de rampe","")</f>
        <v/>
      </c>
      <c r="Z472" s="455" t="str">
        <f aca="false">IF(ABS(t-T_para)&lt;pas/2,"Para","")</f>
        <v/>
      </c>
      <c r="AA472" s="456" t="str">
        <f aca="false">IF(ABS(t-T_satellite)&lt;pas/2,"Satellite","")</f>
        <v/>
      </c>
      <c r="AB472" s="444"/>
      <c r="AC472" s="452" t="e">
        <f aca="false">IF(ABS(t-ROUND(t,0))&lt;0.001,t,NA())</f>
        <v>#N/A</v>
      </c>
      <c r="AD472" s="457" t="e">
        <f aca="false">IF(ABS(t-ROUND(t,0))&lt;0.001,pos_x,NA())</f>
        <v>#N/A</v>
      </c>
      <c r="AE472" s="458" t="n">
        <f aca="false">IF(t&lt;T_para, pos_z, NA())</f>
        <v>1208.36388100848</v>
      </c>
      <c r="AF472" s="444"/>
      <c r="AG472" s="450" t="n">
        <f aca="false">IF(AND(L471&lt;L_rampe,Poussee&lt;Poids*SIN(M471)),0,(-W471+Poussee)/m-Poids*SIN(M471)/m)</f>
        <v>-10.4630685253684</v>
      </c>
      <c r="AH472" s="449" t="n">
        <f aca="false">IF(AND(L471&lt;L_rampe,Poussee&lt;Poids*SIN(M471)), g*SIN(M471), (-W471+Poussee)/m)</f>
        <v>-1.60184040030672</v>
      </c>
    </row>
    <row r="473" customFormat="false" ht="12" hidden="false" customHeight="false" outlineLevel="0" collapsed="false">
      <c r="A473" s="448" t="n">
        <f aca="false">IF(B472+0.01&lt;=T_ini+ROUNDUP(Temps_fin_propu,0), 0.01, IF(K472&gt;0, 0.1, 0.0001))</f>
        <v>0.1</v>
      </c>
      <c r="B473" s="449" t="n">
        <f aca="false">B472+pas</f>
        <v>10.8999999999999</v>
      </c>
      <c r="C473" s="432"/>
      <c r="D473" s="450" t="n">
        <f aca="false">IF(AND(L472&lt;L_rampe,Poussee&lt;Poids*SIN(M472)),0,(-W472+Poussee)/m*COS(M472)-U472/m*SIN(M472))</f>
        <v>-0.675879250808887</v>
      </c>
      <c r="E473" s="451" t="n">
        <f aca="false">IF(AND(L472&lt;L_rampe,Poussee&lt;Poids*SIN(M472)),0,(-W472+Poussee)/m*SIN(M472)+U472/m*COS(M472)-Poids/m)</f>
        <v>-11.2125263742311</v>
      </c>
      <c r="F473" s="449" t="n">
        <f aca="false">SQRT(acc_x^2+acc_z^2)</f>
        <v>11.2328785471268</v>
      </c>
      <c r="G473" s="450" t="n">
        <f aca="false">G472+acc_x*pas</f>
        <v>32.3651887616177</v>
      </c>
      <c r="H473" s="451" t="n">
        <f aca="false">H472+acc_z*pas</f>
        <v>66.1804504969783</v>
      </c>
      <c r="I473" s="449" t="n">
        <f aca="false">SQRT(vit_x^2+vit_z^2)</f>
        <v>73.6706011347685</v>
      </c>
      <c r="J473" s="450" t="n">
        <f aca="false">J472+0.5*(vit_x+G472)*pas*(K472&gt;=0)</f>
        <v>352.428133538322</v>
      </c>
      <c r="K473" s="451" t="n">
        <f aca="false">K472+0.5*(vit_z+H472)*pas</f>
        <v>1215.03798869005</v>
      </c>
      <c r="L473" s="449" t="n">
        <f aca="false">SQRT(pos_x^2+pos_z^2)</f>
        <v>1265.11774284818</v>
      </c>
      <c r="M473" s="450" t="n">
        <f aca="false">IF(AND(L472&gt;L_rampe,G473&gt;0),ATAN2(G473,H473),$M$4)</f>
        <v>1.11595142489077</v>
      </c>
      <c r="N473" s="449" t="n">
        <f aca="false">DEGREES(Beta)</f>
        <v>63.9393067878515</v>
      </c>
      <c r="O473" s="438"/>
      <c r="P473" s="452" t="n">
        <f aca="false">MATCH(t-pas/2-T_ini,CdP_t)</f>
        <v>23</v>
      </c>
      <c r="Q473" s="449" t="n">
        <f aca="false">(INDEX(CdP,2,i_P+1)-INDEX(CdP,2,i_P+0))/(INDEX(CdP,1,i_P+1)-INDEX(CdP,1,i_P+0))*(t-pas/2-T_ini-INDEX(CdP,1,i_P+0))+INDEX(CdP,2,i_P+0)</f>
        <v>0</v>
      </c>
      <c r="R473" s="450" t="n">
        <f aca="false">Poussee/(g*ISP)</f>
        <v>0</v>
      </c>
      <c r="S473" s="451" t="n">
        <f aca="false">S472-Débit*pas</f>
        <v>8.652</v>
      </c>
      <c r="T473" s="449" t="n">
        <f aca="false">m*g</f>
        <v>84.87612</v>
      </c>
      <c r="U473" s="453" t="n">
        <f aca="false">IF(pos_xz&lt;L_rampe,Poids*COS(Beta),0)</f>
        <v>0</v>
      </c>
      <c r="V473" s="450" t="n">
        <f aca="false">Rho_moyen*(20000-Alt_rampe-pos_z)/(20000+Alt_rampe+pos_z)</f>
        <v>1.08468240670238</v>
      </c>
      <c r="W473" s="449" t="n">
        <f aca="false">1/2*Rho*Sref*Cx*vit_xz^2</f>
        <v>13.0896266717745</v>
      </c>
      <c r="X473" s="438"/>
      <c r="Y473" s="454" t="str">
        <f aca="false">IF(AND(pos_z&lt;=0,K472&gt;0),"Impact balistique","") &amp; IF(AND(H474&lt;0,vit_z&gt;=0),"Apogée","") &amp; IF(AND(Poussee=0,Q472&gt;0),"Fin de propulsion","") &amp; IF(AND(L474&gt;L_rampe,pos_xz&lt;=L_rampe),"Sortie de rampe","")</f>
        <v/>
      </c>
      <c r="Z473" s="455" t="str">
        <f aca="false">IF(ABS(t-T_para)&lt;pas/2,"Para","")</f>
        <v/>
      </c>
      <c r="AA473" s="456" t="str">
        <f aca="false">IF(ABS(t-T_satellite)&lt;pas/2,"Satellite","")</f>
        <v/>
      </c>
      <c r="AB473" s="444"/>
      <c r="AC473" s="452" t="e">
        <f aca="false">IF(ABS(t-ROUND(t,0))&lt;0.001,t,NA())</f>
        <v>#N/A</v>
      </c>
      <c r="AD473" s="457" t="e">
        <f aca="false">IF(ABS(t-ROUND(t,0))&lt;0.001,pos_x,NA())</f>
        <v>#N/A</v>
      </c>
      <c r="AE473" s="458" t="n">
        <f aca="false">IF(t&lt;T_para, pos_z, NA())</f>
        <v>1215.03798869005</v>
      </c>
      <c r="AF473" s="444"/>
      <c r="AG473" s="450" t="n">
        <f aca="false">IF(AND(L472&lt;L_rampe,Poussee&lt;Poids*SIN(M472)),0,(-W472+Poussee)/m-Poids*SIN(M472)/m)</f>
        <v>-10.3942614581929</v>
      </c>
      <c r="AH473" s="449" t="n">
        <f aca="false">IF(AND(L472&lt;L_rampe,Poussee&lt;Poids*SIN(M472)), g*SIN(M472), (-W472+Poussee)/m)</f>
        <v>-1.55688567084669</v>
      </c>
    </row>
    <row r="474" customFormat="false" ht="12" hidden="false" customHeight="false" outlineLevel="0" collapsed="false">
      <c r="A474" s="448" t="n">
        <f aca="false">IF(B473+0.01&lt;=T_ini+ROUNDUP(Temps_fin_propu,0), 0.01, IF(K473&gt;0, 0.1, 0.0001))</f>
        <v>0.1</v>
      </c>
      <c r="B474" s="449" t="n">
        <f aca="false">B473+pas</f>
        <v>10.9999999999999</v>
      </c>
      <c r="C474" s="432"/>
      <c r="D474" s="450" t="n">
        <f aca="false">IF(AND(L473&lt;L_rampe,Poussee&lt;Poids*SIN(M473)),0,(-W473+Poussee)/m*COS(M473)-U473/m*SIN(M473))</f>
        <v>-0.664652557410532</v>
      </c>
      <c r="E474" s="451" t="n">
        <f aca="false">IF(AND(L473&lt;L_rampe,Poussee&lt;Poids*SIN(M473)),0,(-W473+Poussee)/m*SIN(M473)+U473/m*COS(M473)-Poids/m)</f>
        <v>-11.1690838600504</v>
      </c>
      <c r="F474" s="449" t="n">
        <f aca="false">SQRT(acc_x^2+acc_z^2)</f>
        <v>11.188842535978</v>
      </c>
      <c r="G474" s="450" t="n">
        <f aca="false">G473+acc_x*pas</f>
        <v>32.2987235058767</v>
      </c>
      <c r="H474" s="451" t="n">
        <f aca="false">H473+acc_z*pas</f>
        <v>65.0635421109733</v>
      </c>
      <c r="I474" s="449" t="n">
        <f aca="false">SQRT(vit_x^2+vit_z^2)</f>
        <v>72.6393285495913</v>
      </c>
      <c r="J474" s="450" t="n">
        <f aca="false">J473+0.5*(vit_x+G473)*pas*(K473&gt;=0)</f>
        <v>355.661329151697</v>
      </c>
      <c r="K474" s="451" t="n">
        <f aca="false">K473+0.5*(vit_z+H473)*pas</f>
        <v>1221.60018832045</v>
      </c>
      <c r="L474" s="449" t="n">
        <f aca="false">SQRT(pos_x^2+pos_z^2)</f>
        <v>1272.32150070589</v>
      </c>
      <c r="M474" s="450" t="n">
        <f aca="false">IF(AND(L473&gt;L_rampe,G474&gt;0),ATAN2(G474,H474),$M$4)</f>
        <v>1.11001829761264</v>
      </c>
      <c r="N474" s="449" t="n">
        <f aca="false">DEGREES(Beta)</f>
        <v>63.5993636355009</v>
      </c>
      <c r="O474" s="438"/>
      <c r="P474" s="452" t="n">
        <f aca="false">MATCH(t-pas/2-T_ini,CdP_t)</f>
        <v>23</v>
      </c>
      <c r="Q474" s="449" t="n">
        <f aca="false">(INDEX(CdP,2,i_P+1)-INDEX(CdP,2,i_P+0))/(INDEX(CdP,1,i_P+1)-INDEX(CdP,1,i_P+0))*(t-pas/2-T_ini-INDEX(CdP,1,i_P+0))+INDEX(CdP,2,i_P+0)</f>
        <v>0</v>
      </c>
      <c r="R474" s="450" t="n">
        <f aca="false">Poussee/(g*ISP)</f>
        <v>0</v>
      </c>
      <c r="S474" s="451" t="n">
        <f aca="false">S473-Débit*pas</f>
        <v>8.652</v>
      </c>
      <c r="T474" s="449" t="n">
        <f aca="false">m*g</f>
        <v>84.87612</v>
      </c>
      <c r="U474" s="453" t="n">
        <f aca="false">IF(pos_xz&lt;L_rampe,Poids*COS(Beta),0)</f>
        <v>0</v>
      </c>
      <c r="V474" s="450" t="n">
        <f aca="false">Rho_moyen*(20000-Alt_rampe-pos_z)/(20000+Alt_rampe+pos_z)</f>
        <v>1.08396820056801</v>
      </c>
      <c r="W474" s="449" t="n">
        <f aca="false">1/2*Rho*Sref*Cx*vit_xz^2</f>
        <v>12.7173440593115</v>
      </c>
      <c r="X474" s="438"/>
      <c r="Y474" s="454" t="str">
        <f aca="false">IF(AND(pos_z&lt;=0,K473&gt;0),"Impact balistique","") &amp; IF(AND(H475&lt;0,vit_z&gt;=0),"Apogée","") &amp; IF(AND(Poussee=0,Q473&gt;0),"Fin de propulsion","") &amp; IF(AND(L475&gt;L_rampe,pos_xz&lt;=L_rampe),"Sortie de rampe","")</f>
        <v/>
      </c>
      <c r="Z474" s="455" t="str">
        <f aca="false">IF(ABS(t-T_para)&lt;pas/2,"Para","")</f>
        <v/>
      </c>
      <c r="AA474" s="456" t="str">
        <f aca="false">IF(ABS(t-T_satellite)&lt;pas/2,"Satellite","")</f>
        <v/>
      </c>
      <c r="AB474" s="444"/>
      <c r="AC474" s="452" t="n">
        <f aca="false">IF(ABS(t-ROUND(t,0))&lt;0.001,t,NA())</f>
        <v>10.9999999999999</v>
      </c>
      <c r="AD474" s="457" t="n">
        <f aca="false">IF(ABS(t-ROUND(t,0))&lt;0.001,pos_x,NA())</f>
        <v>355.661329151697</v>
      </c>
      <c r="AE474" s="458" t="n">
        <f aca="false">IF(t&lt;T_para, pos_z, NA())</f>
        <v>1221.60018832045</v>
      </c>
      <c r="AF474" s="444"/>
      <c r="AG474" s="450" t="n">
        <f aca="false">IF(AND(L473&lt;L_rampe,Poussee&lt;Poids*SIN(M473)),0,(-W473+Poussee)/m-Poids*SIN(M473)/m)</f>
        <v>-10.3255110622295</v>
      </c>
      <c r="AH474" s="449" t="n">
        <f aca="false">IF(AND(L473&lt;L_rampe,Poussee&lt;Poids*SIN(M473)), g*SIN(M473), (-W473+Poussee)/m)</f>
        <v>-1.51290183446307</v>
      </c>
    </row>
    <row r="475" customFormat="false" ht="12" hidden="false" customHeight="false" outlineLevel="0" collapsed="false">
      <c r="A475" s="448" t="n">
        <f aca="false">IF(B474+0.01&lt;=T_ini+ROUNDUP(Temps_fin_propu,0), 0.01, IF(K474&gt;0, 0.1, 0.0001))</f>
        <v>0.1</v>
      </c>
      <c r="B475" s="449" t="n">
        <f aca="false">B474+pas</f>
        <v>11.0999999999999</v>
      </c>
      <c r="C475" s="432"/>
      <c r="D475" s="450" t="n">
        <f aca="false">IF(AND(L474&lt;L_rampe,Poussee&lt;Poids*SIN(M474)),0,(-W474+Poussee)/m*COS(M474)-U474/m*SIN(M474))</f>
        <v>-0.653572014674547</v>
      </c>
      <c r="E475" s="451" t="n">
        <f aca="false">IF(AND(L474&lt;L_rampe,Poussee&lt;Poids*SIN(M474)),0,(-W474+Poussee)/m*SIN(M474)+U474/m*COS(M474)-Poids/m)</f>
        <v>-11.126575569669</v>
      </c>
      <c r="F475" s="449" t="n">
        <f aca="false">SQRT(acc_x^2+acc_z^2)</f>
        <v>11.1457543614562</v>
      </c>
      <c r="G475" s="450" t="n">
        <f aca="false">G474+acc_x*pas</f>
        <v>32.2333663044092</v>
      </c>
      <c r="H475" s="451" t="n">
        <f aca="false">H474+acc_z*pas</f>
        <v>63.9508845540064</v>
      </c>
      <c r="I475" s="449" t="n">
        <f aca="false">SQRT(vit_x^2+vit_z^2)</f>
        <v>71.6149812438297</v>
      </c>
      <c r="J475" s="450" t="n">
        <f aca="false">J474+0.5*(vit_x+G474)*pas*(K474&gt;=0)</f>
        <v>358.887933642211</v>
      </c>
      <c r="K475" s="451" t="n">
        <f aca="false">K474+0.5*(vit_z+H474)*pas</f>
        <v>1228.05090965369</v>
      </c>
      <c r="L475" s="449" t="n">
        <f aca="false">SQRT(pos_x^2+pos_z^2)</f>
        <v>1279.41767441881</v>
      </c>
      <c r="M475" s="450" t="n">
        <f aca="false">IF(AND(L474&gt;L_rampe,G475&gt;0),ATAN2(G475,H475),$M$4)</f>
        <v>1.10392739931715</v>
      </c>
      <c r="N475" s="449" t="n">
        <f aca="false">DEGREES(Beta)</f>
        <v>63.250380869726</v>
      </c>
      <c r="O475" s="438"/>
      <c r="P475" s="452" t="n">
        <f aca="false">MATCH(t-pas/2-T_ini,CdP_t)</f>
        <v>23</v>
      </c>
      <c r="Q475" s="449" t="n">
        <f aca="false">(INDEX(CdP,2,i_P+1)-INDEX(CdP,2,i_P+0))/(INDEX(CdP,1,i_P+1)-INDEX(CdP,1,i_P+0))*(t-pas/2-T_ini-INDEX(CdP,1,i_P+0))+INDEX(CdP,2,i_P+0)</f>
        <v>0</v>
      </c>
      <c r="R475" s="450" t="n">
        <f aca="false">Poussee/(g*ISP)</f>
        <v>0</v>
      </c>
      <c r="S475" s="451" t="n">
        <f aca="false">S474-Débit*pas</f>
        <v>8.652</v>
      </c>
      <c r="T475" s="449" t="n">
        <f aca="false">m*g</f>
        <v>84.87612</v>
      </c>
      <c r="U475" s="453" t="n">
        <f aca="false">IF(pos_xz&lt;L_rampe,Poids*COS(Beta),0)</f>
        <v>0</v>
      </c>
      <c r="V475" s="450" t="n">
        <f aca="false">Rho_moyen*(20000-Alt_rampe-pos_z)/(20000+Alt_rampe+pos_z)</f>
        <v>1.0832665577044</v>
      </c>
      <c r="W475" s="449" t="n">
        <f aca="false">1/2*Rho*Sref*Cx*vit_xz^2</f>
        <v>12.3531961650826</v>
      </c>
      <c r="X475" s="438"/>
      <c r="Y475" s="454" t="str">
        <f aca="false">IF(AND(pos_z&lt;=0,K474&gt;0),"Impact balistique","") &amp; IF(AND(H476&lt;0,vit_z&gt;=0),"Apogée","") &amp; IF(AND(Poussee=0,Q474&gt;0),"Fin de propulsion","") &amp; IF(AND(L476&gt;L_rampe,pos_xz&lt;=L_rampe),"Sortie de rampe","")</f>
        <v/>
      </c>
      <c r="Z475" s="455" t="str">
        <f aca="false">IF(ABS(t-T_para)&lt;pas/2,"Para","")</f>
        <v/>
      </c>
      <c r="AA475" s="456" t="str">
        <f aca="false">IF(ABS(t-T_satellite)&lt;pas/2,"Satellite","")</f>
        <v/>
      </c>
      <c r="AB475" s="444"/>
      <c r="AC475" s="452" t="e">
        <f aca="false">IF(ABS(t-ROUND(t,0))&lt;0.001,t,NA())</f>
        <v>#N/A</v>
      </c>
      <c r="AD475" s="457" t="e">
        <f aca="false">IF(ABS(t-ROUND(t,0))&lt;0.001,pos_x,NA())</f>
        <v>#N/A</v>
      </c>
      <c r="AE475" s="458" t="n">
        <f aca="false">IF(t&lt;T_para, pos_z, NA())</f>
        <v>1228.05090965369</v>
      </c>
      <c r="AF475" s="444"/>
      <c r="AG475" s="450" t="n">
        <f aca="false">IF(AND(L474&lt;L_rampe,Poussee&lt;Poids*SIN(M474)),0,(-W474+Poussee)/m-Poids*SIN(M474)/m)</f>
        <v>-10.256757252548</v>
      </c>
      <c r="AH475" s="449" t="n">
        <f aca="false">IF(AND(L474&lt;L_rampe,Poussee&lt;Poids*SIN(M474)), g*SIN(M474), (-W474+Poussee)/m)</f>
        <v>-1.46987333094216</v>
      </c>
    </row>
    <row r="476" customFormat="false" ht="12" hidden="false" customHeight="false" outlineLevel="0" collapsed="false">
      <c r="A476" s="448" t="n">
        <f aca="false">IF(B475+0.01&lt;=T_ini+ROUNDUP(Temps_fin_propu,0), 0.01, IF(K475&gt;0, 0.1, 0.0001))</f>
        <v>0.1</v>
      </c>
      <c r="B476" s="449" t="n">
        <f aca="false">B475+pas</f>
        <v>11.1999999999999</v>
      </c>
      <c r="C476" s="432"/>
      <c r="D476" s="450" t="n">
        <f aca="false">IF(AND(L475&lt;L_rampe,Poussee&lt;Poids*SIN(M475)),0,(-W475+Poussee)/m*COS(M475)-U475/m*SIN(M475))</f>
        <v>-0.642635345220105</v>
      </c>
      <c r="E476" s="451" t="n">
        <f aca="false">IF(AND(L475&lt;L_rampe,Poussee&lt;Poids*SIN(M475)),0,(-W475+Poussee)/m*SIN(M475)+U475/m*COS(M475)-Poids/m)</f>
        <v>-11.0849862482366</v>
      </c>
      <c r="F476" s="449" t="n">
        <f aca="false">SQRT(acc_x^2+acc_z^2)</f>
        <v>11.1035985297795</v>
      </c>
      <c r="G476" s="450" t="n">
        <f aca="false">G475+acc_x*pas</f>
        <v>32.1691027698872</v>
      </c>
      <c r="H476" s="451" t="n">
        <f aca="false">H475+acc_z*pas</f>
        <v>62.8423859291827</v>
      </c>
      <c r="I476" s="449" t="n">
        <f aca="false">SQRT(vit_x^2+vit_z^2)</f>
        <v>70.5975682463065</v>
      </c>
      <c r="J476" s="450" t="n">
        <f aca="false">J475+0.5*(vit_x+G475)*pas*(K475&gt;=0)</f>
        <v>362.108057095926</v>
      </c>
      <c r="K476" s="451" t="n">
        <f aca="false">K475+0.5*(vit_z+H475)*pas</f>
        <v>1234.39057317785</v>
      </c>
      <c r="L476" s="449" t="n">
        <f aca="false">SQRT(pos_x^2+pos_z^2)</f>
        <v>1286.40675222269</v>
      </c>
      <c r="M476" s="450" t="n">
        <f aca="false">IF(AND(L475&gt;L_rampe,G476&gt;0),ATAN2(G476,H476),$M$4)</f>
        <v>1.09767302488135</v>
      </c>
      <c r="N476" s="449" t="n">
        <f aca="false">DEGREES(Beta)</f>
        <v>62.8920316110602</v>
      </c>
      <c r="O476" s="438"/>
      <c r="P476" s="452" t="n">
        <f aca="false">MATCH(t-pas/2-T_ini,CdP_t)</f>
        <v>23</v>
      </c>
      <c r="Q476" s="449" t="n">
        <f aca="false">(INDEX(CdP,2,i_P+1)-INDEX(CdP,2,i_P+0))/(INDEX(CdP,1,i_P+1)-INDEX(CdP,1,i_P+0))*(t-pas/2-T_ini-INDEX(CdP,1,i_P+0))+INDEX(CdP,2,i_P+0)</f>
        <v>0</v>
      </c>
      <c r="R476" s="450" t="n">
        <f aca="false">Poussee/(g*ISP)</f>
        <v>0</v>
      </c>
      <c r="S476" s="451" t="n">
        <f aca="false">S475-Débit*pas</f>
        <v>8.652</v>
      </c>
      <c r="T476" s="449" t="n">
        <f aca="false">m*g</f>
        <v>84.87612</v>
      </c>
      <c r="U476" s="453" t="n">
        <f aca="false">IF(pos_xz&lt;L_rampe,Poids*COS(Beta),0)</f>
        <v>0</v>
      </c>
      <c r="V476" s="450" t="n">
        <f aca="false">Rho_moyen*(20000-Alt_rampe-pos_z)/(20000+Alt_rampe+pos_z)</f>
        <v>1.08257740991607</v>
      </c>
      <c r="W476" s="449" t="n">
        <f aca="false">1/2*Rho*Sref*Cx*vit_xz^2</f>
        <v>11.997055866791</v>
      </c>
      <c r="X476" s="438"/>
      <c r="Y476" s="454" t="str">
        <f aca="false">IF(AND(pos_z&lt;=0,K475&gt;0),"Impact balistique","") &amp; IF(AND(H477&lt;0,vit_z&gt;=0),"Apogée","") &amp; IF(AND(Poussee=0,Q475&gt;0),"Fin de propulsion","") &amp; IF(AND(L477&gt;L_rampe,pos_xz&lt;=L_rampe),"Sortie de rampe","")</f>
        <v/>
      </c>
      <c r="Z476" s="455" t="str">
        <f aca="false">IF(ABS(t-T_para)&lt;pas/2,"Para","")</f>
        <v/>
      </c>
      <c r="AA476" s="456" t="str">
        <f aca="false">IF(ABS(t-T_satellite)&lt;pas/2,"Satellite","")</f>
        <v/>
      </c>
      <c r="AB476" s="444"/>
      <c r="AC476" s="452" t="e">
        <f aca="false">IF(ABS(t-ROUND(t,0))&lt;0.001,t,NA())</f>
        <v>#N/A</v>
      </c>
      <c r="AD476" s="457" t="e">
        <f aca="false">IF(ABS(t-ROUND(t,0))&lt;0.001,pos_x,NA())</f>
        <v>#N/A</v>
      </c>
      <c r="AE476" s="458" t="n">
        <f aca="false">IF(t&lt;T_para, pos_z, NA())</f>
        <v>1234.39057317785</v>
      </c>
      <c r="AF476" s="444"/>
      <c r="AG476" s="450" t="n">
        <f aca="false">IF(AND(L475&lt;L_rampe,Poussee&lt;Poids*SIN(M475)),0,(-W475+Poussee)/m-Poids*SIN(M475)/m)</f>
        <v>-10.1879378260569</v>
      </c>
      <c r="AH476" s="449" t="n">
        <f aca="false">IF(AND(L475&lt;L_rampe,Poussee&lt;Poids*SIN(M475)), g*SIN(M475), (-W475+Poussee)/m)</f>
        <v>-1.42778503988473</v>
      </c>
    </row>
    <row r="477" customFormat="false" ht="12" hidden="false" customHeight="false" outlineLevel="0" collapsed="false">
      <c r="A477" s="448" t="n">
        <f aca="false">IF(B476+0.01&lt;=T_ini+ROUNDUP(Temps_fin_propu,0), 0.01, IF(K476&gt;0, 0.1, 0.0001))</f>
        <v>0.1</v>
      </c>
      <c r="B477" s="449" t="n">
        <f aca="false">B476+pas</f>
        <v>11.2999999999999</v>
      </c>
      <c r="C477" s="432"/>
      <c r="D477" s="450" t="n">
        <f aca="false">IF(AND(L476&lt;L_rampe,Poussee&lt;Poids*SIN(M476)),0,(-W476+Poussee)/m*COS(M476)-U476/m*SIN(M476))</f>
        <v>-0.631840378718945</v>
      </c>
      <c r="E477" s="451" t="n">
        <f aca="false">IF(AND(L476&lt;L_rampe,Poussee&lt;Poids*SIN(M476)),0,(-W476+Poussee)/m*SIN(M476)+U476/m*COS(M476)-Poids/m)</f>
        <v>-11.0443010375243</v>
      </c>
      <c r="F477" s="449" t="n">
        <f aca="false">SQRT(acc_x^2+acc_z^2)</f>
        <v>11.062359950374</v>
      </c>
      <c r="G477" s="450" t="n">
        <f aca="false">G476+acc_x*pas</f>
        <v>32.1059187320153</v>
      </c>
      <c r="H477" s="451" t="n">
        <f aca="false">H476+acc_z*pas</f>
        <v>61.7379558254303</v>
      </c>
      <c r="I477" s="449" t="n">
        <f aca="false">SQRT(vit_x^2+vit_z^2)</f>
        <v>69.5871051785426</v>
      </c>
      <c r="J477" s="450" t="n">
        <f aca="false">J476+0.5*(vit_x+G476)*pas*(K476&gt;=0)</f>
        <v>365.321808171021</v>
      </c>
      <c r="K477" s="451" t="n">
        <f aca="false">K476+0.5*(vit_z+H476)*pas</f>
        <v>1240.61959026558</v>
      </c>
      <c r="L477" s="449" t="n">
        <f aca="false">SQRT(pos_x^2+pos_z^2)</f>
        <v>1293.2892140879</v>
      </c>
      <c r="M477" s="450" t="n">
        <f aca="false">IF(AND(L476&gt;L_rampe,G477&gt;0),ATAN2(G477,H477),$M$4)</f>
        <v>1.0912492186808</v>
      </c>
      <c r="N477" s="449" t="n">
        <f aca="false">DEGREES(Beta)</f>
        <v>62.5239746273587</v>
      </c>
      <c r="O477" s="438"/>
      <c r="P477" s="452" t="n">
        <f aca="false">MATCH(t-pas/2-T_ini,CdP_t)</f>
        <v>23</v>
      </c>
      <c r="Q477" s="449" t="n">
        <f aca="false">(INDEX(CdP,2,i_P+1)-INDEX(CdP,2,i_P+0))/(INDEX(CdP,1,i_P+1)-INDEX(CdP,1,i_P+0))*(t-pas/2-T_ini-INDEX(CdP,1,i_P+0))+INDEX(CdP,2,i_P+0)</f>
        <v>0</v>
      </c>
      <c r="R477" s="450" t="n">
        <f aca="false">Poussee/(g*ISP)</f>
        <v>0</v>
      </c>
      <c r="S477" s="451" t="n">
        <f aca="false">S476-Débit*pas</f>
        <v>8.652</v>
      </c>
      <c r="T477" s="449" t="n">
        <f aca="false">m*g</f>
        <v>84.87612</v>
      </c>
      <c r="U477" s="453" t="n">
        <f aca="false">IF(pos_xz&lt;L_rampe,Poids*COS(Beta),0)</f>
        <v>0</v>
      </c>
      <c r="V477" s="450" t="n">
        <f aca="false">Rho_moyen*(20000-Alt_rampe-pos_z)/(20000+Alt_rampe+pos_z)</f>
        <v>1.08190069052676</v>
      </c>
      <c r="W477" s="449" t="n">
        <f aca="false">1/2*Rho*Sref*Cx*vit_xz^2</f>
        <v>11.6487996394598</v>
      </c>
      <c r="X477" s="438"/>
      <c r="Y477" s="454" t="str">
        <f aca="false">IF(AND(pos_z&lt;=0,K476&gt;0),"Impact balistique","") &amp; IF(AND(H478&lt;0,vit_z&gt;=0),"Apogée","") &amp; IF(AND(Poussee=0,Q476&gt;0),"Fin de propulsion","") &amp; IF(AND(L478&gt;L_rampe,pos_xz&lt;=L_rampe),"Sortie de rampe","")</f>
        <v/>
      </c>
      <c r="Z477" s="455" t="str">
        <f aca="false">IF(ABS(t-T_para)&lt;pas/2,"Para","")</f>
        <v/>
      </c>
      <c r="AA477" s="456" t="str">
        <f aca="false">IF(ABS(t-T_satellite)&lt;pas/2,"Satellite","")</f>
        <v/>
      </c>
      <c r="AB477" s="444"/>
      <c r="AC477" s="452" t="e">
        <f aca="false">IF(ABS(t-ROUND(t,0))&lt;0.001,t,NA())</f>
        <v>#N/A</v>
      </c>
      <c r="AD477" s="457" t="e">
        <f aca="false">IF(ABS(t-ROUND(t,0))&lt;0.001,pos_x,NA())</f>
        <v>#N/A</v>
      </c>
      <c r="AE477" s="458" t="n">
        <f aca="false">IF(t&lt;T_para, pos_z, NA())</f>
        <v>1240.61959026558</v>
      </c>
      <c r="AF477" s="444"/>
      <c r="AG477" s="450" t="n">
        <f aca="false">IF(AND(L476&lt;L_rampe,Poussee&lt;Poids*SIN(M476)),0,(-W476+Poussee)/m-Poids*SIN(M476)/m)</f>
        <v>-10.1189882872874</v>
      </c>
      <c r="AH477" s="449" t="n">
        <f aca="false">IF(AND(L476&lt;L_rampe,Poussee&lt;Poids*SIN(M476)), g*SIN(M476), (-W476+Poussee)/m)</f>
        <v>-1.38662226846867</v>
      </c>
    </row>
    <row r="478" customFormat="false" ht="12" hidden="false" customHeight="false" outlineLevel="0" collapsed="false">
      <c r="A478" s="448" t="n">
        <f aca="false">IF(B477+0.01&lt;=T_ini+ROUNDUP(Temps_fin_propu,0), 0.01, IF(K477&gt;0, 0.1, 0.0001))</f>
        <v>0.1</v>
      </c>
      <c r="B478" s="449" t="n">
        <f aca="false">B477+pas</f>
        <v>11.3999999999999</v>
      </c>
      <c r="C478" s="432"/>
      <c r="D478" s="450" t="n">
        <f aca="false">IF(AND(L477&lt;L_rampe,Poussee&lt;Poids*SIN(M477)),0,(-W477+Poussee)/m*COS(M477)-U477/m*SIN(M477))</f>
        <v>-0.621185052022036</v>
      </c>
      <c r="E478" s="451" t="n">
        <f aca="false">IF(AND(L477&lt;L_rampe,Poussee&lt;Poids*SIN(M477)),0,(-W477+Poussee)/m*SIN(M477)+U477/m*COS(M477)-Poids/m)</f>
        <v>-11.0045054624122</v>
      </c>
      <c r="F478" s="449" t="n">
        <f aca="false">SQRT(acc_x^2+acc_z^2)</f>
        <v>11.0220239221803</v>
      </c>
      <c r="G478" s="450" t="n">
        <f aca="false">G477+acc_x*pas</f>
        <v>32.0438002268131</v>
      </c>
      <c r="H478" s="451" t="n">
        <f aca="false">H477+acc_z*pas</f>
        <v>60.6375052791891</v>
      </c>
      <c r="I478" s="449" t="n">
        <f aca="false">SQRT(vit_x^2+vit_z^2)</f>
        <v>68.5836145114822</v>
      </c>
      <c r="J478" s="450" t="n">
        <f aca="false">J477+0.5*(vit_x+G477)*pas*(K477&gt;=0)</f>
        <v>368.529294118962</v>
      </c>
      <c r="K478" s="451" t="n">
        <f aca="false">K477+0.5*(vit_z+H477)*pas</f>
        <v>1246.73836332082</v>
      </c>
      <c r="L478" s="449" t="n">
        <f aca="false">SQRT(pos_x^2+pos_z^2)</f>
        <v>1300.06553188664</v>
      </c>
      <c r="M478" s="450" t="n">
        <f aca="false">IF(AND(L477&gt;L_rampe,G478&gt;0),ATAN2(G478,H478),$M$4)</f>
        <v>1.08464976291928</v>
      </c>
      <c r="N478" s="449" t="n">
        <f aca="false">DEGREES(Beta)</f>
        <v>62.1458536651402</v>
      </c>
      <c r="O478" s="438"/>
      <c r="P478" s="452" t="n">
        <f aca="false">MATCH(t-pas/2-T_ini,CdP_t)</f>
        <v>23</v>
      </c>
      <c r="Q478" s="449" t="n">
        <f aca="false">(INDEX(CdP,2,i_P+1)-INDEX(CdP,2,i_P+0))/(INDEX(CdP,1,i_P+1)-INDEX(CdP,1,i_P+0))*(t-pas/2-T_ini-INDEX(CdP,1,i_P+0))+INDEX(CdP,2,i_P+0)</f>
        <v>0</v>
      </c>
      <c r="R478" s="450" t="n">
        <f aca="false">Poussee/(g*ISP)</f>
        <v>0</v>
      </c>
      <c r="S478" s="451" t="n">
        <f aca="false">S477-Débit*pas</f>
        <v>8.652</v>
      </c>
      <c r="T478" s="449" t="n">
        <f aca="false">m*g</f>
        <v>84.87612</v>
      </c>
      <c r="U478" s="453" t="n">
        <f aca="false">IF(pos_xz&lt;L_rampe,Poids*COS(Beta),0)</f>
        <v>0</v>
      </c>
      <c r="V478" s="450" t="n">
        <f aca="false">Rho_moyen*(20000-Alt_rampe-pos_z)/(20000+Alt_rampe+pos_z)</f>
        <v>1.08123633435384</v>
      </c>
      <c r="W478" s="449" t="n">
        <f aca="false">1/2*Rho*Sref*Cx*vit_xz^2</f>
        <v>11.3083074570051</v>
      </c>
      <c r="X478" s="438"/>
      <c r="Y478" s="454" t="str">
        <f aca="false">IF(AND(pos_z&lt;=0,K477&gt;0),"Impact balistique","") &amp; IF(AND(H479&lt;0,vit_z&gt;=0),"Apogée","") &amp; IF(AND(Poussee=0,Q477&gt;0),"Fin de propulsion","") &amp; IF(AND(L479&gt;L_rampe,pos_xz&lt;=L_rampe),"Sortie de rampe","")</f>
        <v/>
      </c>
      <c r="Z478" s="455" t="str">
        <f aca="false">IF(ABS(t-T_para)&lt;pas/2,"Para","")</f>
        <v/>
      </c>
      <c r="AA478" s="456" t="str">
        <f aca="false">IF(ABS(t-T_satellite)&lt;pas/2,"Satellite","")</f>
        <v/>
      </c>
      <c r="AB478" s="444"/>
      <c r="AC478" s="452" t="e">
        <f aca="false">IF(ABS(t-ROUND(t,0))&lt;0.001,t,NA())</f>
        <v>#N/A</v>
      </c>
      <c r="AD478" s="457" t="e">
        <f aca="false">IF(ABS(t-ROUND(t,0))&lt;0.001,pos_x,NA())</f>
        <v>#N/A</v>
      </c>
      <c r="AE478" s="458" t="n">
        <f aca="false">IF(t&lt;T_para, pos_z, NA())</f>
        <v>1246.73836332082</v>
      </c>
      <c r="AF478" s="444"/>
      <c r="AG478" s="450" t="n">
        <f aca="false">IF(AND(L477&lt;L_rampe,Poussee&lt;Poids*SIN(M477)),0,(-W477+Poussee)/m-Poids*SIN(M477)/m)</f>
        <v>-10.0498416642357</v>
      </c>
      <c r="AH478" s="449" t="n">
        <f aca="false">IF(AND(L477&lt;L_rampe,Poussee&lt;Poids*SIN(M477)), g*SIN(M477), (-W477+Poussee)/m)</f>
        <v>-1.34637073965093</v>
      </c>
    </row>
    <row r="479" customFormat="false" ht="12" hidden="false" customHeight="false" outlineLevel="0" collapsed="false">
      <c r="A479" s="448" t="n">
        <f aca="false">IF(B478+0.01&lt;=T_ini+ROUNDUP(Temps_fin_propu,0), 0.01, IF(K478&gt;0, 0.1, 0.0001))</f>
        <v>0.1</v>
      </c>
      <c r="B479" s="449" t="n">
        <f aca="false">B478+pas</f>
        <v>11.4999999999999</v>
      </c>
      <c r="C479" s="432"/>
      <c r="D479" s="450" t="n">
        <f aca="false">IF(AND(L478&lt;L_rampe,Poussee&lt;Poids*SIN(M478)),0,(-W478+Poussee)/m*COS(M478)-U478/m*SIN(M478))</f>
        <v>-0.610667409501908</v>
      </c>
      <c r="E479" s="451" t="n">
        <f aca="false">IF(AND(L478&lt;L_rampe,Poussee&lt;Poids*SIN(M478)),0,(-W478+Poussee)/m*SIN(M478)+U478/m*COS(M478)-Poids/m)</f>
        <v>-10.9655854176283</v>
      </c>
      <c r="F479" s="449" t="n">
        <f aca="false">SQRT(acc_x^2+acc_z^2)</f>
        <v>10.9825761202156</v>
      </c>
      <c r="G479" s="450" t="n">
        <f aca="false">G478+acc_x*pas</f>
        <v>31.9827334858629</v>
      </c>
      <c r="H479" s="451" t="n">
        <f aca="false">H478+acc_z*pas</f>
        <v>59.5409467374263</v>
      </c>
      <c r="I479" s="449" t="n">
        <f aca="false">SQRT(vit_x^2+vit_z^2)</f>
        <v>67.5871258422547</v>
      </c>
      <c r="J479" s="450" t="n">
        <f aca="false">J478+0.5*(vit_x+G478)*pas*(K478&gt;=0)</f>
        <v>371.730620804596</v>
      </c>
      <c r="K479" s="451" t="n">
        <f aca="false">K478+0.5*(vit_z+H478)*pas</f>
        <v>1252.74728592165</v>
      </c>
      <c r="L479" s="449" t="n">
        <f aca="false">SQRT(pos_x^2+pos_z^2)</f>
        <v>1306.73616955674</v>
      </c>
      <c r="M479" s="450" t="n">
        <f aca="false">IF(AND(L478&gt;L_rampe,G479&gt;0),ATAN2(G479,H479),$M$4)</f>
        <v>1.07786816551803</v>
      </c>
      <c r="N479" s="449" t="n">
        <f aca="false">DEGREES(Beta)</f>
        <v>61.7572967556916</v>
      </c>
      <c r="O479" s="438"/>
      <c r="P479" s="452" t="n">
        <f aca="false">MATCH(t-pas/2-T_ini,CdP_t)</f>
        <v>23</v>
      </c>
      <c r="Q479" s="449" t="n">
        <f aca="false">(INDEX(CdP,2,i_P+1)-INDEX(CdP,2,i_P+0))/(INDEX(CdP,1,i_P+1)-INDEX(CdP,1,i_P+0))*(t-pas/2-T_ini-INDEX(CdP,1,i_P+0))+INDEX(CdP,2,i_P+0)</f>
        <v>0</v>
      </c>
      <c r="R479" s="450" t="n">
        <f aca="false">Poussee/(g*ISP)</f>
        <v>0</v>
      </c>
      <c r="S479" s="451" t="n">
        <f aca="false">S478-Débit*pas</f>
        <v>8.652</v>
      </c>
      <c r="T479" s="449" t="n">
        <f aca="false">m*g</f>
        <v>84.87612</v>
      </c>
      <c r="U479" s="453" t="n">
        <f aca="false">IF(pos_xz&lt;L_rampe,Poids*COS(Beta),0)</f>
        <v>0</v>
      </c>
      <c r="V479" s="450" t="n">
        <f aca="false">Rho_moyen*(20000-Alt_rampe-pos_z)/(20000+Alt_rampe+pos_z)</f>
        <v>1.08058427768342</v>
      </c>
      <c r="W479" s="449" t="n">
        <f aca="false">1/2*Rho*Sref*Cx*vit_xz^2</f>
        <v>10.9754626973119</v>
      </c>
      <c r="X479" s="438"/>
      <c r="Y479" s="454" t="str">
        <f aca="false">IF(AND(pos_z&lt;=0,K478&gt;0),"Impact balistique","") &amp; IF(AND(H480&lt;0,vit_z&gt;=0),"Apogée","") &amp; IF(AND(Poussee=0,Q478&gt;0),"Fin de propulsion","") &amp; IF(AND(L480&gt;L_rampe,pos_xz&lt;=L_rampe),"Sortie de rampe","")</f>
        <v/>
      </c>
      <c r="Z479" s="455" t="str">
        <f aca="false">IF(ABS(t-T_para)&lt;pas/2,"Para","")</f>
        <v/>
      </c>
      <c r="AA479" s="456" t="str">
        <f aca="false">IF(ABS(t-T_satellite)&lt;pas/2,"Satellite","")</f>
        <v/>
      </c>
      <c r="AB479" s="444"/>
      <c r="AC479" s="452" t="e">
        <f aca="false">IF(ABS(t-ROUND(t,0))&lt;0.001,t,NA())</f>
        <v>#N/A</v>
      </c>
      <c r="AD479" s="457" t="e">
        <f aca="false">IF(ABS(t-ROUND(t,0))&lt;0.001,pos_x,NA())</f>
        <v>#N/A</v>
      </c>
      <c r="AE479" s="458" t="n">
        <f aca="false">IF(t&lt;T_para, pos_z, NA())</f>
        <v>1252.74728592165</v>
      </c>
      <c r="AF479" s="444"/>
      <c r="AG479" s="450" t="n">
        <f aca="false">IF(AND(L478&lt;L_rampe,Poussee&lt;Poids*SIN(M478)),0,(-W478+Poussee)/m-Poids*SIN(M478)/m)</f>
        <v>-9.98042831369502</v>
      </c>
      <c r="AH479" s="449" t="n">
        <f aca="false">IF(AND(L478&lt;L_rampe,Poussee&lt;Poids*SIN(M478)), g*SIN(M478), (-W478+Poussee)/m)</f>
        <v>-1.30701658079116</v>
      </c>
    </row>
    <row r="480" customFormat="false" ht="12" hidden="false" customHeight="false" outlineLevel="0" collapsed="false">
      <c r="A480" s="448" t="n">
        <f aca="false">IF(B479+0.01&lt;=T_ini+ROUNDUP(Temps_fin_propu,0), 0.01, IF(K479&gt;0, 0.1, 0.0001))</f>
        <v>0.1</v>
      </c>
      <c r="B480" s="449" t="n">
        <f aca="false">B479+pas</f>
        <v>11.5999999999999</v>
      </c>
      <c r="C480" s="432"/>
      <c r="D480" s="450" t="n">
        <f aca="false">IF(AND(L479&lt;L_rampe,Poussee&lt;Poids*SIN(M479)),0,(-W479+Poussee)/m*COS(M479)-U479/m*SIN(M479))</f>
        <v>-0.600285603616693</v>
      </c>
      <c r="E480" s="451" t="n">
        <f aca="false">IF(AND(L479&lt;L_rampe,Poussee&lt;Poids*SIN(M479)),0,(-W479+Poussee)/m*SIN(M479)+U479/m*COS(M479)-Poids/m)</f>
        <v>-10.9275271547063</v>
      </c>
      <c r="F480" s="449" t="n">
        <f aca="false">SQRT(acc_x^2+acc_z^2)</f>
        <v>10.9440025823623</v>
      </c>
      <c r="G480" s="450" t="n">
        <f aca="false">G479+acc_x*pas</f>
        <v>31.9227049255012</v>
      </c>
      <c r="H480" s="451" t="n">
        <f aca="false">H479+acc_z*pas</f>
        <v>58.4481940219556</v>
      </c>
      <c r="I480" s="449" t="n">
        <f aca="false">SQRT(vit_x^2+vit_z^2)</f>
        <v>66.5976761921074</v>
      </c>
      <c r="J480" s="450" t="n">
        <f aca="false">J479+0.5*(vit_x+G479)*pas*(K479&gt;=0)</f>
        <v>374.925892725164</v>
      </c>
      <c r="K480" s="451" t="n">
        <f aca="false">K479+0.5*(vit_z+H479)*pas</f>
        <v>1258.64674295962</v>
      </c>
      <c r="L480" s="449" t="n">
        <f aca="false">SQRT(pos_x^2+pos_z^2)</f>
        <v>1313.30158326205</v>
      </c>
      <c r="M480" s="450" t="n">
        <f aca="false">IF(AND(L479&gt;L_rampe,G480&gt;0),ATAN2(G480,H480),$M$4)</f>
        <v>1.07089764757401</v>
      </c>
      <c r="N480" s="449" t="n">
        <f aca="false">DEGREES(Beta)</f>
        <v>61.3579154964789</v>
      </c>
      <c r="O480" s="438"/>
      <c r="P480" s="452" t="n">
        <f aca="false">MATCH(t-pas/2-T_ini,CdP_t)</f>
        <v>23</v>
      </c>
      <c r="Q480" s="449" t="n">
        <f aca="false">(INDEX(CdP,2,i_P+1)-INDEX(CdP,2,i_P+0))/(INDEX(CdP,1,i_P+1)-INDEX(CdP,1,i_P+0))*(t-pas/2-T_ini-INDEX(CdP,1,i_P+0))+INDEX(CdP,2,i_P+0)</f>
        <v>0</v>
      </c>
      <c r="R480" s="450" t="n">
        <f aca="false">Poussee/(g*ISP)</f>
        <v>0</v>
      </c>
      <c r="S480" s="451" t="n">
        <f aca="false">S479-Débit*pas</f>
        <v>8.652</v>
      </c>
      <c r="T480" s="449" t="n">
        <f aca="false">m*g</f>
        <v>84.87612</v>
      </c>
      <c r="U480" s="453" t="n">
        <f aca="false">IF(pos_xz&lt;L_rampe,Poids*COS(Beta),0)</f>
        <v>0</v>
      </c>
      <c r="V480" s="450" t="n">
        <f aca="false">Rho_moyen*(20000-Alt_rampe-pos_z)/(20000+Alt_rampe+pos_z)</f>
        <v>1.07994445824628</v>
      </c>
      <c r="W480" s="449" t="n">
        <f aca="false">1/2*Rho*Sref*Cx*vit_xz^2</f>
        <v>10.6501520506749</v>
      </c>
      <c r="X480" s="438"/>
      <c r="Y480" s="454" t="str">
        <f aca="false">IF(AND(pos_z&lt;=0,K479&gt;0),"Impact balistique","") &amp; IF(AND(H481&lt;0,vit_z&gt;=0),"Apogée","") &amp; IF(AND(Poussee=0,Q479&gt;0),"Fin de propulsion","") &amp; IF(AND(L481&gt;L_rampe,pos_xz&lt;=L_rampe),"Sortie de rampe","")</f>
        <v/>
      </c>
      <c r="Z480" s="455" t="str">
        <f aca="false">IF(ABS(t-T_para)&lt;pas/2,"Para","")</f>
        <v/>
      </c>
      <c r="AA480" s="456" t="str">
        <f aca="false">IF(ABS(t-T_satellite)&lt;pas/2,"Satellite","")</f>
        <v/>
      </c>
      <c r="AB480" s="444"/>
      <c r="AC480" s="452" t="e">
        <f aca="false">IF(ABS(t-ROUND(t,0))&lt;0.001,t,NA())</f>
        <v>#N/A</v>
      </c>
      <c r="AD480" s="457" t="e">
        <f aca="false">IF(ABS(t-ROUND(t,0))&lt;0.001,pos_x,NA())</f>
        <v>#N/A</v>
      </c>
      <c r="AE480" s="458" t="n">
        <f aca="false">IF(t&lt;T_para, pos_z, NA())</f>
        <v>1258.64674295962</v>
      </c>
      <c r="AF480" s="444"/>
      <c r="AG480" s="450" t="n">
        <f aca="false">IF(AND(L479&lt;L_rampe,Poussee&lt;Poids*SIN(M479)),0,(-W479+Poussee)/m-Poids*SIN(M479)/m)</f>
        <v>-9.91067571551099</v>
      </c>
      <c r="AH480" s="449" t="n">
        <f aca="false">IF(AND(L479&lt;L_rampe,Poussee&lt;Poids*SIN(M479)), g*SIN(M479), (-W479+Poussee)/m)</f>
        <v>-1.26854631268052</v>
      </c>
    </row>
    <row r="481" customFormat="false" ht="12" hidden="false" customHeight="false" outlineLevel="0" collapsed="false">
      <c r="A481" s="448" t="n">
        <f aca="false">IF(B480+0.01&lt;=T_ini+ROUNDUP(Temps_fin_propu,0), 0.01, IF(K480&gt;0, 0.1, 0.0001))</f>
        <v>0.1</v>
      </c>
      <c r="B481" s="449" t="n">
        <f aca="false">B480+pas</f>
        <v>11.6999999999999</v>
      </c>
      <c r="C481" s="432"/>
      <c r="D481" s="450" t="n">
        <f aca="false">IF(AND(L480&lt;L_rampe,Poussee&lt;Poids*SIN(M480)),0,(-W480+Poussee)/m*COS(M480)-U480/m*SIN(M480))</f>
        <v>-0.590037895702577</v>
      </c>
      <c r="E481" s="451" t="n">
        <f aca="false">IF(AND(L480&lt;L_rampe,Poussee&lt;Poids*SIN(M480)),0,(-W480+Poussee)/m*SIN(M480)+U480/m*COS(M480)-Poids/m)</f>
        <v>-10.8903172691291</v>
      </c>
      <c r="F481" s="449" t="n">
        <f aca="false">SQRT(acc_x^2+acc_z^2)</f>
        <v>10.9062896963475</v>
      </c>
      <c r="G481" s="450" t="n">
        <f aca="false">G480+acc_x*pas</f>
        <v>31.863701135931</v>
      </c>
      <c r="H481" s="451" t="n">
        <f aca="false">H480+acc_z*pas</f>
        <v>57.3591622950427</v>
      </c>
      <c r="I481" s="449" t="n">
        <f aca="false">SQRT(vit_x^2+vit_z^2)</f>
        <v>65.6153103266988</v>
      </c>
      <c r="J481" s="450" t="n">
        <f aca="false">J480+0.5*(vit_x+G480)*pas*(K480&gt;=0)</f>
        <v>378.115213028236</v>
      </c>
      <c r="K481" s="451" t="n">
        <f aca="false">K480+0.5*(vit_z+H480)*pas</f>
        <v>1264.43711077547</v>
      </c>
      <c r="L481" s="449" t="n">
        <f aca="false">SQRT(pos_x^2+pos_z^2)</f>
        <v>1319.76222154962</v>
      </c>
      <c r="M481" s="450" t="n">
        <f aca="false">IF(AND(L480&gt;L_rampe,G481&gt;0),ATAN2(G481,H481),$M$4)</f>
        <v>1.06373113040292</v>
      </c>
      <c r="N481" s="449" t="n">
        <f aca="false">DEGREES(Beta)</f>
        <v>60.9473043087672</v>
      </c>
      <c r="O481" s="438"/>
      <c r="P481" s="452" t="n">
        <f aca="false">MATCH(t-pas/2-T_ini,CdP_t)</f>
        <v>23</v>
      </c>
      <c r="Q481" s="449" t="n">
        <f aca="false">(INDEX(CdP,2,i_P+1)-INDEX(CdP,2,i_P+0))/(INDEX(CdP,1,i_P+1)-INDEX(CdP,1,i_P+0))*(t-pas/2-T_ini-INDEX(CdP,1,i_P+0))+INDEX(CdP,2,i_P+0)</f>
        <v>0</v>
      </c>
      <c r="R481" s="450" t="n">
        <f aca="false">Poussee/(g*ISP)</f>
        <v>0</v>
      </c>
      <c r="S481" s="451" t="n">
        <f aca="false">S480-Débit*pas</f>
        <v>8.652</v>
      </c>
      <c r="T481" s="449" t="n">
        <f aca="false">m*g</f>
        <v>84.87612</v>
      </c>
      <c r="U481" s="453" t="n">
        <f aca="false">IF(pos_xz&lt;L_rampe,Poids*COS(Beta),0)</f>
        <v>0</v>
      </c>
      <c r="V481" s="450" t="n">
        <f aca="false">Rho_moyen*(20000-Alt_rampe-pos_z)/(20000+Alt_rampe+pos_z)</f>
        <v>1.07931681519422</v>
      </c>
      <c r="W481" s="449" t="n">
        <f aca="false">1/2*Rho*Sref*Cx*vit_xz^2</f>
        <v>10.3322654314706</v>
      </c>
      <c r="X481" s="438"/>
      <c r="Y481" s="454" t="str">
        <f aca="false">IF(AND(pos_z&lt;=0,K480&gt;0),"Impact balistique","") &amp; IF(AND(H482&lt;0,vit_z&gt;=0),"Apogée","") &amp; IF(AND(Poussee=0,Q480&gt;0),"Fin de propulsion","") &amp; IF(AND(L482&gt;L_rampe,pos_xz&lt;=L_rampe),"Sortie de rampe","")</f>
        <v/>
      </c>
      <c r="Z481" s="455" t="str">
        <f aca="false">IF(ABS(t-T_para)&lt;pas/2,"Para","")</f>
        <v/>
      </c>
      <c r="AA481" s="456" t="str">
        <f aca="false">IF(ABS(t-T_satellite)&lt;pas/2,"Satellite","")</f>
        <v/>
      </c>
      <c r="AB481" s="444"/>
      <c r="AC481" s="452" t="e">
        <f aca="false">IF(ABS(t-ROUND(t,0))&lt;0.001,t,NA())</f>
        <v>#N/A</v>
      </c>
      <c r="AD481" s="457" t="e">
        <f aca="false">IF(ABS(t-ROUND(t,0))&lt;0.001,pos_x,NA())</f>
        <v>#N/A</v>
      </c>
      <c r="AE481" s="458" t="n">
        <f aca="false">IF(t&lt;T_para, pos_z, NA())</f>
        <v>1264.43711077547</v>
      </c>
      <c r="AF481" s="444"/>
      <c r="AG481" s="450" t="n">
        <f aca="false">IF(AND(L480&lt;L_rampe,Poussee&lt;Poids*SIN(M480)),0,(-W480+Poussee)/m-Poids*SIN(M480)/m)</f>
        <v>-9.84050825520777</v>
      </c>
      <c r="AH481" s="449" t="n">
        <f aca="false">IF(AND(L480&lt;L_rampe,Poussee&lt;Poids*SIN(M480)), g*SIN(M480), (-W480+Poussee)/m)</f>
        <v>-1.23094683895919</v>
      </c>
    </row>
    <row r="482" customFormat="false" ht="12" hidden="false" customHeight="false" outlineLevel="0" collapsed="false">
      <c r="A482" s="448" t="n">
        <f aca="false">IF(B481+0.01&lt;=T_ini+ROUNDUP(Temps_fin_propu,0), 0.01, IF(K481&gt;0, 0.1, 0.0001))</f>
        <v>0.1</v>
      </c>
      <c r="B482" s="449" t="n">
        <f aca="false">B481+pas</f>
        <v>11.7999999999999</v>
      </c>
      <c r="C482" s="432"/>
      <c r="D482" s="450" t="n">
        <f aca="false">IF(AND(L481&lt;L_rampe,Poussee&lt;Poids*SIN(M481)),0,(-W481+Poussee)/m*COS(M481)-U481/m*SIN(M481))</f>
        <v>-0.579922657001798</v>
      </c>
      <c r="E482" s="451" t="n">
        <f aca="false">IF(AND(L481&lt;L_rampe,Poussee&lt;Poids*SIN(M481)),0,(-W481+Poussee)/m*SIN(M481)+U481/m*COS(M481)-Poids/m)</f>
        <v>-10.8539426876255</v>
      </c>
      <c r="F482" s="449" t="n">
        <f aca="false">SQRT(acc_x^2+acc_z^2)</f>
        <v>10.8694241868814</v>
      </c>
      <c r="G482" s="450" t="n">
        <f aca="false">G481+acc_x*pas</f>
        <v>31.8057088702308</v>
      </c>
      <c r="H482" s="451" t="n">
        <f aca="false">H481+acc_z*pas</f>
        <v>56.2737680262802</v>
      </c>
      <c r="I482" s="449" t="n">
        <f aca="false">SQRT(vit_x^2+vit_z^2)</f>
        <v>64.6400810999915</v>
      </c>
      <c r="J482" s="450" t="n">
        <f aca="false">J481+0.5*(vit_x+G481)*pas*(K481&gt;=0)</f>
        <v>381.298683528544</v>
      </c>
      <c r="K482" s="451" t="n">
        <f aca="false">K481+0.5*(vit_z+H481)*pas</f>
        <v>1270.11875729153</v>
      </c>
      <c r="L482" s="449" t="n">
        <f aca="false">SQRT(pos_x^2+pos_z^2)</f>
        <v>1326.1185255038</v>
      </c>
      <c r="M482" s="450" t="n">
        <f aca="false">IF(AND(L481&gt;L_rampe,G482&gt;0),ATAN2(G482,H482),$M$4)</f>
        <v>1.05636122219021</v>
      </c>
      <c r="N482" s="449" t="n">
        <f aca="false">DEGREES(Beta)</f>
        <v>60.5250396727804</v>
      </c>
      <c r="O482" s="438"/>
      <c r="P482" s="452" t="n">
        <f aca="false">MATCH(t-pas/2-T_ini,CdP_t)</f>
        <v>23</v>
      </c>
      <c r="Q482" s="449" t="n">
        <f aca="false">(INDEX(CdP,2,i_P+1)-INDEX(CdP,2,i_P+0))/(INDEX(CdP,1,i_P+1)-INDEX(CdP,1,i_P+0))*(t-pas/2-T_ini-INDEX(CdP,1,i_P+0))+INDEX(CdP,2,i_P+0)</f>
        <v>0</v>
      </c>
      <c r="R482" s="450" t="n">
        <f aca="false">Poussee/(g*ISP)</f>
        <v>0</v>
      </c>
      <c r="S482" s="451" t="n">
        <f aca="false">S481-Débit*pas</f>
        <v>8.652</v>
      </c>
      <c r="T482" s="449" t="n">
        <f aca="false">m*g</f>
        <v>84.87612</v>
      </c>
      <c r="U482" s="453" t="n">
        <f aca="false">IF(pos_xz&lt;L_rampe,Poids*COS(Beta),0)</f>
        <v>0</v>
      </c>
      <c r="V482" s="450" t="n">
        <f aca="false">Rho_moyen*(20000-Alt_rampe-pos_z)/(20000+Alt_rampe+pos_z)</f>
        <v>1.07870128907731</v>
      </c>
      <c r="W482" s="449" t="n">
        <f aca="false">1/2*Rho*Sref*Cx*vit_xz^2</f>
        <v>10.0216958929312</v>
      </c>
      <c r="X482" s="438"/>
      <c r="Y482" s="454" t="str">
        <f aca="false">IF(AND(pos_z&lt;=0,K481&gt;0),"Impact balistique","") &amp; IF(AND(H483&lt;0,vit_z&gt;=0),"Apogée","") &amp; IF(AND(Poussee=0,Q481&gt;0),"Fin de propulsion","") &amp; IF(AND(L483&gt;L_rampe,pos_xz&lt;=L_rampe),"Sortie de rampe","")</f>
        <v/>
      </c>
      <c r="Z482" s="455" t="str">
        <f aca="false">IF(ABS(t-T_para)&lt;pas/2,"Para","")</f>
        <v/>
      </c>
      <c r="AA482" s="456" t="str">
        <f aca="false">IF(ABS(t-T_satellite)&lt;pas/2,"Satellite","")</f>
        <v/>
      </c>
      <c r="AB482" s="444"/>
      <c r="AC482" s="452" t="e">
        <f aca="false">IF(ABS(t-ROUND(t,0))&lt;0.001,t,NA())</f>
        <v>#N/A</v>
      </c>
      <c r="AD482" s="457" t="e">
        <f aca="false">IF(ABS(t-ROUND(t,0))&lt;0.001,pos_x,NA())</f>
        <v>#N/A</v>
      </c>
      <c r="AE482" s="458" t="n">
        <f aca="false">IF(t&lt;T_para, pos_z, NA())</f>
        <v>1270.11875729153</v>
      </c>
      <c r="AF482" s="444"/>
      <c r="AG482" s="450" t="n">
        <f aca="false">IF(AND(L481&lt;L_rampe,Poussee&lt;Poids*SIN(M481)),0,(-W481+Poussee)/m-Poids*SIN(M481)/m)</f>
        <v>-9.76984699445092</v>
      </c>
      <c r="AH482" s="449" t="n">
        <f aca="false">IF(AND(L481&lt;L_rampe,Poussee&lt;Poids*SIN(M481)), g*SIN(M481), (-W481+Poussee)/m)</f>
        <v>-1.19420543590737</v>
      </c>
    </row>
    <row r="483" customFormat="false" ht="12" hidden="false" customHeight="false" outlineLevel="0" collapsed="false">
      <c r="A483" s="448" t="n">
        <f aca="false">IF(B482+0.01&lt;=T_ini+ROUNDUP(Temps_fin_propu,0), 0.01, IF(K482&gt;0, 0.1, 0.0001))</f>
        <v>0.1</v>
      </c>
      <c r="B483" s="449" t="n">
        <f aca="false">B482+pas</f>
        <v>11.8999999999999</v>
      </c>
      <c r="C483" s="432"/>
      <c r="D483" s="450" t="n">
        <f aca="false">IF(AND(L482&lt;L_rampe,Poussee&lt;Poids*SIN(M482)),0,(-W482+Poussee)/m*COS(M482)-U482/m*SIN(M482))</f>
        <v>-0.569938369933926</v>
      </c>
      <c r="E483" s="451" t="n">
        <f aca="false">IF(AND(L482&lt;L_rampe,Poussee&lt;Poids*SIN(M482)),0,(-W482+Poussee)/m*SIN(M482)+U482/m*COS(M482)-Poids/m)</f>
        <v>-10.8183906555831</v>
      </c>
      <c r="F483" s="449" t="n">
        <f aca="false">SQRT(acc_x^2+acc_z^2)</f>
        <v>10.8333931029171</v>
      </c>
      <c r="G483" s="450" t="n">
        <f aca="false">G482+acc_x*pas</f>
        <v>31.7487150332374</v>
      </c>
      <c r="H483" s="451" t="n">
        <f aca="false">H482+acc_z*pas</f>
        <v>55.1919289607219</v>
      </c>
      <c r="I483" s="449" t="n">
        <f aca="false">SQRT(vit_x^2+vit_z^2)</f>
        <v>63.6720498230353</v>
      </c>
      <c r="J483" s="450" t="n">
        <f aca="false">J482+0.5*(vit_x+G482)*pas*(K482&gt;=0)</f>
        <v>384.476404723717</v>
      </c>
      <c r="K483" s="451" t="n">
        <f aca="false">K482+0.5*(vit_z+H482)*pas</f>
        <v>1275.69204214088</v>
      </c>
      <c r="L483" s="449" t="n">
        <f aca="false">SQRT(pos_x^2+pos_z^2)</f>
        <v>1332.37092889737</v>
      </c>
      <c r="M483" s="450" t="n">
        <f aca="false">IF(AND(L482&gt;L_rampe,G483&gt;0),ATAN2(G483,H483),$M$4)</f>
        <v>1.04878020428241</v>
      </c>
      <c r="N483" s="449" t="n">
        <f aca="false">DEGREES(Beta)</f>
        <v>60.0906793422507</v>
      </c>
      <c r="O483" s="438"/>
      <c r="P483" s="452" t="n">
        <f aca="false">MATCH(t-pas/2-T_ini,CdP_t)</f>
        <v>23</v>
      </c>
      <c r="Q483" s="449" t="n">
        <f aca="false">(INDEX(CdP,2,i_P+1)-INDEX(CdP,2,i_P+0))/(INDEX(CdP,1,i_P+1)-INDEX(CdP,1,i_P+0))*(t-pas/2-T_ini-INDEX(CdP,1,i_P+0))+INDEX(CdP,2,i_P+0)</f>
        <v>0</v>
      </c>
      <c r="R483" s="450" t="n">
        <f aca="false">Poussee/(g*ISP)</f>
        <v>0</v>
      </c>
      <c r="S483" s="451" t="n">
        <f aca="false">S482-Débit*pas</f>
        <v>8.652</v>
      </c>
      <c r="T483" s="449" t="n">
        <f aca="false">m*g</f>
        <v>84.87612</v>
      </c>
      <c r="U483" s="453" t="n">
        <f aca="false">IF(pos_xz&lt;L_rampe,Poids*COS(Beta),0)</f>
        <v>0</v>
      </c>
      <c r="V483" s="450" t="n">
        <f aca="false">Rho_moyen*(20000-Alt_rampe-pos_z)/(20000+Alt_rampe+pos_z)</f>
        <v>1.07809782182151</v>
      </c>
      <c r="W483" s="449" t="n">
        <f aca="false">1/2*Rho*Sref*Cx*vit_xz^2</f>
        <v>9.7183395448987</v>
      </c>
      <c r="X483" s="438"/>
      <c r="Y483" s="454" t="str">
        <f aca="false">IF(AND(pos_z&lt;=0,K482&gt;0),"Impact balistique","") &amp; IF(AND(H484&lt;0,vit_z&gt;=0),"Apogée","") &amp; IF(AND(Poussee=0,Q482&gt;0),"Fin de propulsion","") &amp; IF(AND(L484&gt;L_rampe,pos_xz&lt;=L_rampe),"Sortie de rampe","")</f>
        <v/>
      </c>
      <c r="Z483" s="455" t="str">
        <f aca="false">IF(ABS(t-T_para)&lt;pas/2,"Para","")</f>
        <v/>
      </c>
      <c r="AA483" s="456" t="str">
        <f aca="false">IF(ABS(t-T_satellite)&lt;pas/2,"Satellite","")</f>
        <v/>
      </c>
      <c r="AB483" s="444"/>
      <c r="AC483" s="452" t="e">
        <f aca="false">IF(ABS(t-ROUND(t,0))&lt;0.001,t,NA())</f>
        <v>#N/A</v>
      </c>
      <c r="AD483" s="457" t="e">
        <f aca="false">IF(ABS(t-ROUND(t,0))&lt;0.001,pos_x,NA())</f>
        <v>#N/A</v>
      </c>
      <c r="AE483" s="458" t="n">
        <f aca="false">IF(t&lt;T_para, pos_z, NA())</f>
        <v>1275.69204214088</v>
      </c>
      <c r="AF483" s="444"/>
      <c r="AG483" s="450" t="n">
        <f aca="false">IF(AND(L482&lt;L_rampe,Poussee&lt;Poids*SIN(M482)),0,(-W482+Poussee)/m-Poids*SIN(M482)/m)</f>
        <v>-9.69860942885075</v>
      </c>
      <c r="AH483" s="449" t="n">
        <f aca="false">IF(AND(L482&lt;L_rampe,Poussee&lt;Poids*SIN(M482)), g*SIN(M482), (-W482+Poussee)/m)</f>
        <v>-1.15830974259492</v>
      </c>
    </row>
    <row r="484" customFormat="false" ht="12" hidden="false" customHeight="false" outlineLevel="0" collapsed="false">
      <c r="A484" s="448" t="n">
        <f aca="false">IF(B483+0.01&lt;=T_ini+ROUNDUP(Temps_fin_propu,0), 0.01, IF(K483&gt;0, 0.1, 0.0001))</f>
        <v>0.1</v>
      </c>
      <c r="B484" s="449" t="n">
        <f aca="false">B483+pas</f>
        <v>11.9999999999999</v>
      </c>
      <c r="C484" s="432"/>
      <c r="D484" s="450" t="n">
        <f aca="false">IF(AND(L483&lt;L_rampe,Poussee&lt;Poids*SIN(M483)),0,(-W483+Poussee)/m*COS(M483)-U483/m*SIN(M483))</f>
        <v>-0.560083629618533</v>
      </c>
      <c r="E484" s="451" t="n">
        <f aca="false">IF(AND(L483&lt;L_rampe,Poussee&lt;Poids*SIN(M483)),0,(-W483+Poussee)/m*SIN(M483)+U483/m*COS(M483)-Poids/m)</f>
        <v>-10.7836487245423</v>
      </c>
      <c r="F484" s="449" t="n">
        <f aca="false">SQRT(acc_x^2+acc_z^2)</f>
        <v>10.7981838049966</v>
      </c>
      <c r="G484" s="450" t="n">
        <f aca="false">G483+acc_x*pas</f>
        <v>31.6927066702755</v>
      </c>
      <c r="H484" s="451" t="n">
        <f aca="false">H483+acc_z*pas</f>
        <v>54.1135640882676</v>
      </c>
      <c r="I484" s="449" t="n">
        <f aca="false">SQRT(vit_x^2+vit_z^2)</f>
        <v>62.7112866589674</v>
      </c>
      <c r="J484" s="450" t="n">
        <f aca="false">J483+0.5*(vit_x+G483)*pas*(K483&gt;=0)</f>
        <v>387.648475808893</v>
      </c>
      <c r="K484" s="451" t="n">
        <f aca="false">K483+0.5*(vit_z+H483)*pas</f>
        <v>1281.15731679333</v>
      </c>
      <c r="L484" s="449" t="n">
        <f aca="false">SQRT(pos_x^2+pos_z^2)</f>
        <v>1338.51985833982</v>
      </c>
      <c r="M484" s="450" t="n">
        <f aca="false">IF(AND(L483&gt;L_rampe,G484&gt;0),ATAN2(G484,H484),$M$4)</f>
        <v>1.04098001716164</v>
      </c>
      <c r="N484" s="449" t="n">
        <f aca="false">DEGREES(Beta)</f>
        <v>59.6437615408179</v>
      </c>
      <c r="O484" s="438"/>
      <c r="P484" s="452" t="n">
        <f aca="false">MATCH(t-pas/2-T_ini,CdP_t)</f>
        <v>23</v>
      </c>
      <c r="Q484" s="449" t="n">
        <f aca="false">(INDEX(CdP,2,i_P+1)-INDEX(CdP,2,i_P+0))/(INDEX(CdP,1,i_P+1)-INDEX(CdP,1,i_P+0))*(t-pas/2-T_ini-INDEX(CdP,1,i_P+0))+INDEX(CdP,2,i_P+0)</f>
        <v>0</v>
      </c>
      <c r="R484" s="450" t="n">
        <f aca="false">Poussee/(g*ISP)</f>
        <v>0</v>
      </c>
      <c r="S484" s="451" t="n">
        <f aca="false">S483-Débit*pas</f>
        <v>8.652</v>
      </c>
      <c r="T484" s="449" t="n">
        <f aca="false">m*g</f>
        <v>84.87612</v>
      </c>
      <c r="U484" s="453" t="n">
        <f aca="false">IF(pos_xz&lt;L_rampe,Poids*COS(Beta),0)</f>
        <v>0</v>
      </c>
      <c r="V484" s="450" t="n">
        <f aca="false">Rho_moyen*(20000-Alt_rampe-pos_z)/(20000+Alt_rampe+pos_z)</f>
        <v>1.07750635670708</v>
      </c>
      <c r="W484" s="449" t="n">
        <f aca="false">1/2*Rho*Sref*Cx*vit_xz^2</f>
        <v>9.42209547443918</v>
      </c>
      <c r="X484" s="438"/>
      <c r="Y484" s="454" t="str">
        <f aca="false">IF(AND(pos_z&lt;=0,K483&gt;0),"Impact balistique","") &amp; IF(AND(H485&lt;0,vit_z&gt;=0),"Apogée","") &amp; IF(AND(Poussee=0,Q483&gt;0),"Fin de propulsion","") &amp; IF(AND(L485&gt;L_rampe,pos_xz&lt;=L_rampe),"Sortie de rampe","")</f>
        <v/>
      </c>
      <c r="Z484" s="455" t="str">
        <f aca="false">IF(ABS(t-T_para)&lt;pas/2,"Para","")</f>
        <v/>
      </c>
      <c r="AA484" s="456" t="str">
        <f aca="false">IF(ABS(t-T_satellite)&lt;pas/2,"Satellite","")</f>
        <v/>
      </c>
      <c r="AB484" s="444"/>
      <c r="AC484" s="452" t="n">
        <f aca="false">IF(ABS(t-ROUND(t,0))&lt;0.001,t,NA())</f>
        <v>11.9999999999999</v>
      </c>
      <c r="AD484" s="457" t="n">
        <f aca="false">IF(ABS(t-ROUND(t,0))&lt;0.001,pos_x,NA())</f>
        <v>387.648475808893</v>
      </c>
      <c r="AE484" s="458" t="n">
        <f aca="false">IF(t&lt;T_para, pos_z, NA())</f>
        <v>1281.15731679333</v>
      </c>
      <c r="AF484" s="444"/>
      <c r="AG484" s="450" t="n">
        <f aca="false">IF(AND(L483&lt;L_rampe,Poussee&lt;Poids*SIN(M483)),0,(-W483+Poussee)/m-Poids*SIN(M483)/m)</f>
        <v>-9.62670923266091</v>
      </c>
      <c r="AH484" s="449" t="n">
        <f aca="false">IF(AND(L483&lt;L_rampe,Poussee&lt;Poids*SIN(M483)), g*SIN(M483), (-W483+Poussee)/m)</f>
        <v>-1.12324775137525</v>
      </c>
    </row>
    <row r="485" customFormat="false" ht="12" hidden="false" customHeight="false" outlineLevel="0" collapsed="false">
      <c r="A485" s="448" t="n">
        <f aca="false">IF(B484+0.01&lt;=T_ini+ROUNDUP(Temps_fin_propu,0), 0.01, IF(K484&gt;0, 0.1, 0.0001))</f>
        <v>0.1</v>
      </c>
      <c r="B485" s="449" t="n">
        <f aca="false">B484+pas</f>
        <v>12.0999999999999</v>
      </c>
      <c r="C485" s="432"/>
      <c r="D485" s="450" t="n">
        <f aca="false">IF(AND(L484&lt;L_rampe,Poussee&lt;Poids*SIN(M484)),0,(-W484+Poussee)/m*COS(M484)-U484/m*SIN(M484))</f>
        <v>-0.550357145657834</v>
      </c>
      <c r="E485" s="451" t="n">
        <f aca="false">IF(AND(L484&lt;L_rampe,Poussee&lt;Poids*SIN(M484)),0,(-W484+Poussee)/m*SIN(M484)+U484/m*COS(M484)-Poids/m)</f>
        <v>-10.7497047397319</v>
      </c>
      <c r="F485" s="449" t="n">
        <f aca="false">SQRT(acc_x^2+acc_z^2)</f>
        <v>10.7637839526438</v>
      </c>
      <c r="G485" s="450" t="n">
        <f aca="false">G484+acc_x*pas</f>
        <v>31.6376709557098</v>
      </c>
      <c r="H485" s="451" t="n">
        <f aca="false">H484+acc_z*pas</f>
        <v>53.0385936142945</v>
      </c>
      <c r="I485" s="449" t="n">
        <f aca="false">SQRT(vit_x^2+vit_z^2)</f>
        <v>61.7578710455925</v>
      </c>
      <c r="J485" s="450" t="n">
        <f aca="false">J484+0.5*(vit_x+G484)*pas*(K484&gt;=0)</f>
        <v>390.814994690192</v>
      </c>
      <c r="K485" s="451" t="n">
        <f aca="false">K484+0.5*(vit_z+H484)*pas</f>
        <v>1286.51492467846</v>
      </c>
      <c r="L485" s="449" t="n">
        <f aca="false">SQRT(pos_x^2+pos_z^2)</f>
        <v>1344.56573342292</v>
      </c>
      <c r="M485" s="450" t="n">
        <f aca="false">IF(AND(L484&gt;L_rampe,G485&gt;0),ATAN2(G485,H485),$M$4)</f>
        <v>1.03295224615895</v>
      </c>
      <c r="N485" s="449" t="n">
        <f aca="false">DEGREES(Beta)</f>
        <v>59.1838041434665</v>
      </c>
      <c r="O485" s="438"/>
      <c r="P485" s="452" t="n">
        <f aca="false">MATCH(t-pas/2-T_ini,CdP_t)</f>
        <v>23</v>
      </c>
      <c r="Q485" s="449" t="n">
        <f aca="false">(INDEX(CdP,2,i_P+1)-INDEX(CdP,2,i_P+0))/(INDEX(CdP,1,i_P+1)-INDEX(CdP,1,i_P+0))*(t-pas/2-T_ini-INDEX(CdP,1,i_P+0))+INDEX(CdP,2,i_P+0)</f>
        <v>0</v>
      </c>
      <c r="R485" s="450" t="n">
        <f aca="false">Poussee/(g*ISP)</f>
        <v>0</v>
      </c>
      <c r="S485" s="451" t="n">
        <f aca="false">S484-Débit*pas</f>
        <v>8.652</v>
      </c>
      <c r="T485" s="449" t="n">
        <f aca="false">m*g</f>
        <v>84.87612</v>
      </c>
      <c r="U485" s="453" t="n">
        <f aca="false">IF(pos_xz&lt;L_rampe,Poids*COS(Beta),0)</f>
        <v>0</v>
      </c>
      <c r="V485" s="450" t="n">
        <f aca="false">Rho_moyen*(20000-Alt_rampe-pos_z)/(20000+Alt_rampe+pos_z)</f>
        <v>1.07692683834741</v>
      </c>
      <c r="W485" s="449" t="n">
        <f aca="false">1/2*Rho*Sref*Cx*vit_xz^2</f>
        <v>9.13286566920494</v>
      </c>
      <c r="X485" s="438"/>
      <c r="Y485" s="454" t="str">
        <f aca="false">IF(AND(pos_z&lt;=0,K484&gt;0),"Impact balistique","") &amp; IF(AND(H486&lt;0,vit_z&gt;=0),"Apogée","") &amp; IF(AND(Poussee=0,Q484&gt;0),"Fin de propulsion","") &amp; IF(AND(L486&gt;L_rampe,pos_xz&lt;=L_rampe),"Sortie de rampe","")</f>
        <v/>
      </c>
      <c r="Z485" s="455" t="str">
        <f aca="false">IF(ABS(t-T_para)&lt;pas/2,"Para","")</f>
        <v/>
      </c>
      <c r="AA485" s="456" t="str">
        <f aca="false">IF(ABS(t-T_satellite)&lt;pas/2,"Satellite","")</f>
        <v/>
      </c>
      <c r="AB485" s="444"/>
      <c r="AC485" s="452" t="e">
        <f aca="false">IF(ABS(t-ROUND(t,0))&lt;0.001,t,NA())</f>
        <v>#N/A</v>
      </c>
      <c r="AD485" s="457" t="e">
        <f aca="false">IF(ABS(t-ROUND(t,0))&lt;0.001,pos_x,NA())</f>
        <v>#N/A</v>
      </c>
      <c r="AE485" s="458" t="n">
        <f aca="false">IF(t&lt;T_para, pos_z, NA())</f>
        <v>1286.51492467846</v>
      </c>
      <c r="AF485" s="444"/>
      <c r="AG485" s="450" t="n">
        <f aca="false">IF(AND(L484&lt;L_rampe,Poussee&lt;Poids*SIN(M484)),0,(-W484+Poussee)/m-Poids*SIN(M484)/m)</f>
        <v>-9.55405598999916</v>
      </c>
      <c r="AH485" s="449" t="n">
        <f aca="false">IF(AND(L484&lt;L_rampe,Poussee&lt;Poids*SIN(M484)), g*SIN(M484), (-W484+Poussee)/m)</f>
        <v>-1.08900779871003</v>
      </c>
    </row>
    <row r="486" customFormat="false" ht="12" hidden="false" customHeight="false" outlineLevel="0" collapsed="false">
      <c r="A486" s="448" t="n">
        <f aca="false">IF(B485+0.01&lt;=T_ini+ROUNDUP(Temps_fin_propu,0), 0.01, IF(K485&gt;0, 0.1, 0.0001))</f>
        <v>0.1</v>
      </c>
      <c r="B486" s="449" t="n">
        <f aca="false">B485+pas</f>
        <v>12.1999999999999</v>
      </c>
      <c r="C486" s="432"/>
      <c r="D486" s="450" t="n">
        <f aca="false">IF(AND(L485&lt;L_rampe,Poussee&lt;Poids*SIN(M485)),0,(-W485+Poussee)/m*COS(M485)-U485/m*SIN(M485))</f>
        <v>-0.54075774418817</v>
      </c>
      <c r="E486" s="451" t="n">
        <f aca="false">IF(AND(L485&lt;L_rampe,Poussee&lt;Poids*SIN(M485)),0,(-W485+Poussee)/m*SIN(M485)+U485/m*COS(M485)-Poids/m)</f>
        <v>-10.7165468276072</v>
      </c>
      <c r="F486" s="449" t="n">
        <f aca="false">SQRT(acc_x^2+acc_z^2)</f>
        <v>10.7301814917641</v>
      </c>
      <c r="G486" s="450" t="n">
        <f aca="false">G485+acc_x*pas</f>
        <v>31.5835951812909</v>
      </c>
      <c r="H486" s="451" t="n">
        <f aca="false">H485+acc_z*pas</f>
        <v>51.9669389315337</v>
      </c>
      <c r="I486" s="449" t="n">
        <f aca="false">SQRT(vit_x^2+vit_z^2)</f>
        <v>60.8118921469265</v>
      </c>
      <c r="J486" s="450" t="n">
        <f aca="false">J485+0.5*(vit_x+G485)*pas*(K485&gt;=0)</f>
        <v>393.976057997042</v>
      </c>
      <c r="K486" s="451" t="n">
        <f aca="false">K485+0.5*(vit_z+H485)*pas</f>
        <v>1291.76520130575</v>
      </c>
      <c r="L486" s="449" t="n">
        <f aca="false">SQRT(pos_x^2+pos_z^2)</f>
        <v>1350.50896686374</v>
      </c>
      <c r="M486" s="450" t="n">
        <f aca="false">IF(AND(L485&gt;L_rampe,G486&gt;0),ATAN2(G486,H486),$M$4)</f>
        <v>1.02468810697717</v>
      </c>
      <c r="N486" s="449" t="n">
        <f aca="false">DEGREES(Beta)</f>
        <v>58.7103038470417</v>
      </c>
      <c r="O486" s="438"/>
      <c r="P486" s="452" t="n">
        <f aca="false">MATCH(t-pas/2-T_ini,CdP_t)</f>
        <v>23</v>
      </c>
      <c r="Q486" s="449" t="n">
        <f aca="false">(INDEX(CdP,2,i_P+1)-INDEX(CdP,2,i_P+0))/(INDEX(CdP,1,i_P+1)-INDEX(CdP,1,i_P+0))*(t-pas/2-T_ini-INDEX(CdP,1,i_P+0))+INDEX(CdP,2,i_P+0)</f>
        <v>0</v>
      </c>
      <c r="R486" s="450" t="n">
        <f aca="false">Poussee/(g*ISP)</f>
        <v>0</v>
      </c>
      <c r="S486" s="451" t="n">
        <f aca="false">S485-Débit*pas</f>
        <v>8.652</v>
      </c>
      <c r="T486" s="449" t="n">
        <f aca="false">m*g</f>
        <v>84.87612</v>
      </c>
      <c r="U486" s="453" t="n">
        <f aca="false">IF(pos_xz&lt;L_rampe,Poids*COS(Beta),0)</f>
        <v>0</v>
      </c>
      <c r="V486" s="450" t="n">
        <f aca="false">Rho_moyen*(20000-Alt_rampe-pos_z)/(20000+Alt_rampe+pos_z)</f>
        <v>1.07635921266852</v>
      </c>
      <c r="W486" s="449" t="n">
        <f aca="false">1/2*Rho*Sref*Cx*vit_xz^2</f>
        <v>8.85055494343359</v>
      </c>
      <c r="X486" s="438"/>
      <c r="Y486" s="454" t="str">
        <f aca="false">IF(AND(pos_z&lt;=0,K485&gt;0),"Impact balistique","") &amp; IF(AND(H487&lt;0,vit_z&gt;=0),"Apogée","") &amp; IF(AND(Poussee=0,Q485&gt;0),"Fin de propulsion","") &amp; IF(AND(L487&gt;L_rampe,pos_xz&lt;=L_rampe),"Sortie de rampe","")</f>
        <v/>
      </c>
      <c r="Z486" s="455" t="str">
        <f aca="false">IF(ABS(t-T_para)&lt;pas/2,"Para","")</f>
        <v/>
      </c>
      <c r="AA486" s="456" t="str">
        <f aca="false">IF(ABS(t-T_satellite)&lt;pas/2,"Satellite","")</f>
        <v/>
      </c>
      <c r="AB486" s="444"/>
      <c r="AC486" s="452" t="e">
        <f aca="false">IF(ABS(t-ROUND(t,0))&lt;0.001,t,NA())</f>
        <v>#N/A</v>
      </c>
      <c r="AD486" s="457" t="e">
        <f aca="false">IF(ABS(t-ROUND(t,0))&lt;0.001,pos_x,NA())</f>
        <v>#N/A</v>
      </c>
      <c r="AE486" s="458" t="n">
        <f aca="false">IF(t&lt;T_para, pos_z, NA())</f>
        <v>1291.76520130575</v>
      </c>
      <c r="AF486" s="444"/>
      <c r="AG486" s="450" t="n">
        <f aca="false">IF(AND(L485&lt;L_rampe,Poussee&lt;Poids*SIN(M485)),0,(-W485+Poussee)/m-Poids*SIN(M485)/m)</f>
        <v>-9.48055491231472</v>
      </c>
      <c r="AH486" s="449" t="n">
        <f aca="false">IF(AND(L485&lt;L_rampe,Poussee&lt;Poids*SIN(M485)), g*SIN(M485), (-W485+Poussee)/m)</f>
        <v>-1.05557855631125</v>
      </c>
    </row>
    <row r="487" customFormat="false" ht="12" hidden="false" customHeight="false" outlineLevel="0" collapsed="false">
      <c r="A487" s="448" t="n">
        <f aca="false">IF(B486+0.01&lt;=T_ini+ROUNDUP(Temps_fin_propu,0), 0.01, IF(K486&gt;0, 0.1, 0.0001))</f>
        <v>0.1</v>
      </c>
      <c r="B487" s="449" t="n">
        <f aca="false">B486+pas</f>
        <v>12.2999999999999</v>
      </c>
      <c r="C487" s="432"/>
      <c r="D487" s="450" t="n">
        <f aca="false">IF(AND(L486&lt;L_rampe,Poussee&lt;Poids*SIN(M486)),0,(-W486+Poussee)/m*COS(M486)-U486/m*SIN(M486))</f>
        <v>-0.531284370209448</v>
      </c>
      <c r="E487" s="451" t="n">
        <f aca="false">IF(AND(L486&lt;L_rampe,Poussee&lt;Poids*SIN(M486)),0,(-W486+Poussee)/m*SIN(M486)+U486/m*COS(M486)-Poids/m)</f>
        <v>-10.6841633833474</v>
      </c>
      <c r="F487" s="449" t="n">
        <f aca="false">SQRT(acc_x^2+acc_z^2)</f>
        <v>10.6973646420084</v>
      </c>
      <c r="G487" s="450" t="n">
        <f aca="false">G486+acc_x*pas</f>
        <v>31.53046674427</v>
      </c>
      <c r="H487" s="451" t="n">
        <f aca="false">H486+acc_z*pas</f>
        <v>50.898522593199</v>
      </c>
      <c r="I487" s="449" t="n">
        <f aca="false">SQRT(vit_x^2+vit_z^2)</f>
        <v>59.8734493350926</v>
      </c>
      <c r="J487" s="450" t="n">
        <f aca="false">J486+0.5*(vit_x+G486)*pas*(K486&gt;=0)</f>
        <v>397.13176109332</v>
      </c>
      <c r="K487" s="451" t="n">
        <f aca="false">K486+0.5*(vit_z+H486)*pas</f>
        <v>1296.90847438199</v>
      </c>
      <c r="L487" s="449" t="n">
        <f aca="false">SQRT(pos_x^2+pos_z^2)</f>
        <v>1356.34996464515</v>
      </c>
      <c r="M487" s="450" t="n">
        <f aca="false">IF(AND(L486&gt;L_rampe,G487&gt;0),ATAN2(G487,H487),$M$4)</f>
        <v>1.01617843111117</v>
      </c>
      <c r="N487" s="449" t="n">
        <f aca="false">DEGREES(Beta)</f>
        <v>58.2227353348953</v>
      </c>
      <c r="O487" s="438"/>
      <c r="P487" s="452" t="n">
        <f aca="false">MATCH(t-pas/2-T_ini,CdP_t)</f>
        <v>23</v>
      </c>
      <c r="Q487" s="449" t="n">
        <f aca="false">(INDEX(CdP,2,i_P+1)-INDEX(CdP,2,i_P+0))/(INDEX(CdP,1,i_P+1)-INDEX(CdP,1,i_P+0))*(t-pas/2-T_ini-INDEX(CdP,1,i_P+0))+INDEX(CdP,2,i_P+0)</f>
        <v>0</v>
      </c>
      <c r="R487" s="450" t="n">
        <f aca="false">Poussee/(g*ISP)</f>
        <v>0</v>
      </c>
      <c r="S487" s="451" t="n">
        <f aca="false">S486-Débit*pas</f>
        <v>8.652</v>
      </c>
      <c r="T487" s="449" t="n">
        <f aca="false">m*g</f>
        <v>84.87612</v>
      </c>
      <c r="U487" s="453" t="n">
        <f aca="false">IF(pos_xz&lt;L_rampe,Poids*COS(Beta),0)</f>
        <v>0</v>
      </c>
      <c r="V487" s="450" t="n">
        <f aca="false">Rho_moyen*(20000-Alt_rampe-pos_z)/(20000+Alt_rampe+pos_z)</f>
        <v>1.07580342688903</v>
      </c>
      <c r="W487" s="449" t="n">
        <f aca="false">1/2*Rho*Sref*Cx*vit_xz^2</f>
        <v>8.57507086647892</v>
      </c>
      <c r="X487" s="438"/>
      <c r="Y487" s="454" t="str">
        <f aca="false">IF(AND(pos_z&lt;=0,K486&gt;0),"Impact balistique","") &amp; IF(AND(H488&lt;0,vit_z&gt;=0),"Apogée","") &amp; IF(AND(Poussee=0,Q486&gt;0),"Fin de propulsion","") &amp; IF(AND(L488&gt;L_rampe,pos_xz&lt;=L_rampe),"Sortie de rampe","")</f>
        <v/>
      </c>
      <c r="Z487" s="455" t="str">
        <f aca="false">IF(ABS(t-T_para)&lt;pas/2,"Para","")</f>
        <v/>
      </c>
      <c r="AA487" s="456" t="str">
        <f aca="false">IF(ABS(t-T_satellite)&lt;pas/2,"Satellite","")</f>
        <v/>
      </c>
      <c r="AB487" s="444"/>
      <c r="AC487" s="452" t="e">
        <f aca="false">IF(ABS(t-ROUND(t,0))&lt;0.001,t,NA())</f>
        <v>#N/A</v>
      </c>
      <c r="AD487" s="457" t="e">
        <f aca="false">IF(ABS(t-ROUND(t,0))&lt;0.001,pos_x,NA())</f>
        <v>#N/A</v>
      </c>
      <c r="AE487" s="458" t="n">
        <f aca="false">IF(t&lt;T_para, pos_z, NA())</f>
        <v>1296.90847438199</v>
      </c>
      <c r="AF487" s="444"/>
      <c r="AG487" s="450" t="n">
        <f aca="false">IF(AND(L486&lt;L_rampe,Poussee&lt;Poids*SIN(M486)),0,(-W486+Poussee)/m-Poids*SIN(M486)/m)</f>
        <v>-9.40610654195368</v>
      </c>
      <c r="AH487" s="449" t="n">
        <f aca="false">IF(AND(L486&lt;L_rampe,Poussee&lt;Poids*SIN(M486)), g*SIN(M486), (-W486+Poussee)/m)</f>
        <v>-1.02294902258826</v>
      </c>
    </row>
    <row r="488" customFormat="false" ht="12" hidden="false" customHeight="false" outlineLevel="0" collapsed="false">
      <c r="A488" s="448" t="n">
        <f aca="false">IF(B487+0.01&lt;=T_ini+ROUNDUP(Temps_fin_propu,0), 0.01, IF(K487&gt;0, 0.1, 0.0001))</f>
        <v>0.1</v>
      </c>
      <c r="B488" s="449" t="n">
        <f aca="false">B487+pas</f>
        <v>12.3999999999999</v>
      </c>
      <c r="C488" s="432"/>
      <c r="D488" s="450" t="n">
        <f aca="false">IF(AND(L487&lt;L_rampe,Poussee&lt;Poids*SIN(M487)),0,(-W487+Poussee)/m*COS(M487)-U487/m*SIN(M487))</f>
        <v>-0.521936090201764</v>
      </c>
      <c r="E488" s="451" t="n">
        <f aca="false">IF(AND(L487&lt;L_rampe,Poussee&lt;Poids*SIN(M487)),0,(-W487+Poussee)/m*SIN(M487)+U487/m*COS(M487)-Poids/m)</f>
        <v>-10.6525430582682</v>
      </c>
      <c r="F488" s="449" t="n">
        <f aca="false">SQRT(acc_x^2+acc_z^2)</f>
        <v>10.6653218840555</v>
      </c>
      <c r="G488" s="450" t="n">
        <f aca="false">G487+acc_x*pas</f>
        <v>31.4782731352498</v>
      </c>
      <c r="H488" s="451" t="n">
        <f aca="false">H487+acc_z*pas</f>
        <v>49.8332682873722</v>
      </c>
      <c r="I488" s="449" t="n">
        <f aca="false">SQRT(vit_x^2+vit_z^2)</f>
        <v>58.9426527039512</v>
      </c>
      <c r="J488" s="450" t="n">
        <f aca="false">J487+0.5*(vit_x+G487)*pas*(K487&gt;=0)</f>
        <v>400.282198087296</v>
      </c>
      <c r="K488" s="451" t="n">
        <f aca="false">K487+0.5*(vit_z+H487)*pas</f>
        <v>1301.94506392602</v>
      </c>
      <c r="L488" s="449" t="n">
        <f aca="false">SQRT(pos_x^2+pos_z^2)</f>
        <v>1362.08912615398</v>
      </c>
      <c r="M488" s="450" t="n">
        <f aca="false">IF(AND(L487&gt;L_rampe,G488&gt;0),ATAN2(G488,H488),$M$4)</f>
        <v>1.00741365127436</v>
      </c>
      <c r="N488" s="449" t="n">
        <f aca="false">DEGREES(Beta)</f>
        <v>57.7205504418847</v>
      </c>
      <c r="O488" s="438"/>
      <c r="P488" s="452" t="n">
        <f aca="false">MATCH(t-pas/2-T_ini,CdP_t)</f>
        <v>23</v>
      </c>
      <c r="Q488" s="449" t="n">
        <f aca="false">(INDEX(CdP,2,i_P+1)-INDEX(CdP,2,i_P+0))/(INDEX(CdP,1,i_P+1)-INDEX(CdP,1,i_P+0))*(t-pas/2-T_ini-INDEX(CdP,1,i_P+0))+INDEX(CdP,2,i_P+0)</f>
        <v>0</v>
      </c>
      <c r="R488" s="450" t="n">
        <f aca="false">Poussee/(g*ISP)</f>
        <v>0</v>
      </c>
      <c r="S488" s="451" t="n">
        <f aca="false">S487-Débit*pas</f>
        <v>8.652</v>
      </c>
      <c r="T488" s="449" t="n">
        <f aca="false">m*g</f>
        <v>84.87612</v>
      </c>
      <c r="U488" s="453" t="n">
        <f aca="false">IF(pos_xz&lt;L_rampe,Poids*COS(Beta),0)</f>
        <v>0</v>
      </c>
      <c r="V488" s="450" t="n">
        <f aca="false">Rho_moyen*(20000-Alt_rampe-pos_z)/(20000+Alt_rampe+pos_z)</f>
        <v>1.07525942950062</v>
      </c>
      <c r="W488" s="449" t="n">
        <f aca="false">1/2*Rho*Sref*Cx*vit_xz^2</f>
        <v>8.30632369377118</v>
      </c>
      <c r="X488" s="438"/>
      <c r="Y488" s="454" t="str">
        <f aca="false">IF(AND(pos_z&lt;=0,K487&gt;0),"Impact balistique","") &amp; IF(AND(H489&lt;0,vit_z&gt;=0),"Apogée","") &amp; IF(AND(Poussee=0,Q487&gt;0),"Fin de propulsion","") &amp; IF(AND(L489&gt;L_rampe,pos_xz&lt;=L_rampe),"Sortie de rampe","")</f>
        <v/>
      </c>
      <c r="Z488" s="455" t="str">
        <f aca="false">IF(ABS(t-T_para)&lt;pas/2,"Para","")</f>
        <v/>
      </c>
      <c r="AA488" s="456" t="str">
        <f aca="false">IF(ABS(t-T_satellite)&lt;pas/2,"Satellite","")</f>
        <v/>
      </c>
      <c r="AB488" s="444"/>
      <c r="AC488" s="452" t="e">
        <f aca="false">IF(ABS(t-ROUND(t,0))&lt;0.001,t,NA())</f>
        <v>#N/A</v>
      </c>
      <c r="AD488" s="457" t="e">
        <f aca="false">IF(ABS(t-ROUND(t,0))&lt;0.001,pos_x,NA())</f>
        <v>#N/A</v>
      </c>
      <c r="AE488" s="458" t="n">
        <f aca="false">IF(t&lt;T_para, pos_z, NA())</f>
        <v>1301.94506392602</v>
      </c>
      <c r="AF488" s="444"/>
      <c r="AG488" s="450" t="n">
        <f aca="false">IF(AND(L487&lt;L_rampe,Poussee&lt;Poids*SIN(M487)),0,(-W487+Poussee)/m-Poids*SIN(M487)/m)</f>
        <v>-9.33060644183721</v>
      </c>
      <c r="AH488" s="449" t="n">
        <f aca="false">IF(AND(L487&lt;L_rampe,Poussee&lt;Poids*SIN(M487)), g*SIN(M487), (-W487+Poussee)/m)</f>
        <v>-0.991108514387301</v>
      </c>
    </row>
    <row r="489" customFormat="false" ht="12" hidden="false" customHeight="false" outlineLevel="0" collapsed="false">
      <c r="A489" s="448" t="n">
        <f aca="false">IF(B488+0.01&lt;=T_ini+ROUNDUP(Temps_fin_propu,0), 0.01, IF(K488&gt;0, 0.1, 0.0001))</f>
        <v>0.1</v>
      </c>
      <c r="B489" s="449" t="n">
        <f aca="false">B488+pas</f>
        <v>12.4999999999999</v>
      </c>
      <c r="C489" s="432"/>
      <c r="D489" s="450" t="n">
        <f aca="false">IF(AND(L488&lt;L_rampe,Poussee&lt;Poids*SIN(M488)),0,(-W488+Poussee)/m*COS(M488)-U488/m*SIN(M488))</f>
        <v>-0.512712095038363</v>
      </c>
      <c r="E489" s="451" t="n">
        <f aca="false">IF(AND(L488&lt;L_rampe,Poussee&lt;Poids*SIN(M488)),0,(-W488+Poussee)/m*SIN(M488)+U488/m*COS(M488)-Poids/m)</f>
        <v>-10.6216747471009</v>
      </c>
      <c r="F489" s="449" t="n">
        <f aca="false">SQRT(acc_x^2+acc_z^2)</f>
        <v>10.634041946767</v>
      </c>
      <c r="G489" s="450" t="n">
        <f aca="false">G488+acc_x*pas</f>
        <v>31.427001925746</v>
      </c>
      <c r="H489" s="451" t="n">
        <f aca="false">H488+acc_z*pas</f>
        <v>48.7711008126621</v>
      </c>
      <c r="I489" s="449" t="n">
        <f aca="false">SQRT(vit_x^2+vit_z^2)</f>
        <v>58.0196236158051</v>
      </c>
      <c r="J489" s="450" t="n">
        <f aca="false">J488+0.5*(vit_x+G488)*pas*(K488&gt;=0)</f>
        <v>403.427461840346</v>
      </c>
      <c r="K489" s="451" t="n">
        <f aca="false">K488+0.5*(vit_z+H488)*pas</f>
        <v>1306.87528238102</v>
      </c>
      <c r="L489" s="449" t="n">
        <f aca="false">SQRT(pos_x^2+pos_z^2)</f>
        <v>1367.72684431703</v>
      </c>
      <c r="M489" s="450" t="n">
        <f aca="false">IF(AND(L488&gt;L_rampe,G489&gt;0),ATAN2(G489,H489),$M$4)</f>
        <v>0.998383786963983</v>
      </c>
      <c r="N489" s="449" t="n">
        <f aca="false">DEGREES(Beta)</f>
        <v>57.2031773273245</v>
      </c>
      <c r="O489" s="438"/>
      <c r="P489" s="452" t="n">
        <f aca="false">MATCH(t-pas/2-T_ini,CdP_t)</f>
        <v>23</v>
      </c>
      <c r="Q489" s="449" t="n">
        <f aca="false">(INDEX(CdP,2,i_P+1)-INDEX(CdP,2,i_P+0))/(INDEX(CdP,1,i_P+1)-INDEX(CdP,1,i_P+0))*(t-pas/2-T_ini-INDEX(CdP,1,i_P+0))+INDEX(CdP,2,i_P+0)</f>
        <v>0</v>
      </c>
      <c r="R489" s="450" t="n">
        <f aca="false">Poussee/(g*ISP)</f>
        <v>0</v>
      </c>
      <c r="S489" s="451" t="n">
        <f aca="false">S488-Débit*pas</f>
        <v>8.652</v>
      </c>
      <c r="T489" s="449" t="n">
        <f aca="false">m*g</f>
        <v>84.87612</v>
      </c>
      <c r="U489" s="453" t="n">
        <f aca="false">IF(pos_xz&lt;L_rampe,Poids*COS(Beta),0)</f>
        <v>0</v>
      </c>
      <c r="V489" s="450" t="n">
        <f aca="false">Rho_moyen*(20000-Alt_rampe-pos_z)/(20000+Alt_rampe+pos_z)</f>
        <v>1.07472717024907</v>
      </c>
      <c r="W489" s="449" t="n">
        <f aca="false">1/2*Rho*Sref*Cx*vit_xz^2</f>
        <v>8.04422630010803</v>
      </c>
      <c r="X489" s="438"/>
      <c r="Y489" s="454" t="str">
        <f aca="false">IF(AND(pos_z&lt;=0,K488&gt;0),"Impact balistique","") &amp; IF(AND(H490&lt;0,vit_z&gt;=0),"Apogée","") &amp; IF(AND(Poussee=0,Q488&gt;0),"Fin de propulsion","") &amp; IF(AND(L490&gt;L_rampe,pos_xz&lt;=L_rampe),"Sortie de rampe","")</f>
        <v/>
      </c>
      <c r="Z489" s="455" t="str">
        <f aca="false">IF(ABS(t-T_para)&lt;pas/2,"Para","")</f>
        <v/>
      </c>
      <c r="AA489" s="456" t="str">
        <f aca="false">IF(ABS(t-T_satellite)&lt;pas/2,"Satellite","")</f>
        <v/>
      </c>
      <c r="AB489" s="444"/>
      <c r="AC489" s="452" t="e">
        <f aca="false">IF(ABS(t-ROUND(t,0))&lt;0.001,t,NA())</f>
        <v>#N/A</v>
      </c>
      <c r="AD489" s="457" t="e">
        <f aca="false">IF(ABS(t-ROUND(t,0))&lt;0.001,pos_x,NA())</f>
        <v>#N/A</v>
      </c>
      <c r="AE489" s="458" t="n">
        <f aca="false">IF(t&lt;T_para, pos_z, NA())</f>
        <v>1306.87528238102</v>
      </c>
      <c r="AF489" s="444"/>
      <c r="AG489" s="450" t="n">
        <f aca="false">IF(AND(L488&lt;L_rampe,Poussee&lt;Poids*SIN(M488)),0,(-W488+Poussee)/m-Poids*SIN(M488)/m)</f>
        <v>-9.2539448714748</v>
      </c>
      <c r="AH489" s="449" t="n">
        <f aca="false">IF(AND(L488&lt;L_rampe,Poussee&lt;Poids*SIN(M488)), g*SIN(M488), (-W488+Poussee)/m)</f>
        <v>-0.960046659011925</v>
      </c>
    </row>
    <row r="490" customFormat="false" ht="12" hidden="false" customHeight="false" outlineLevel="0" collapsed="false">
      <c r="A490" s="448" t="n">
        <f aca="false">IF(B489+0.01&lt;=T_ini+ROUNDUP(Temps_fin_propu,0), 0.01, IF(K489&gt;0, 0.1, 0.0001))</f>
        <v>0.1</v>
      </c>
      <c r="B490" s="449" t="n">
        <f aca="false">B489+pas</f>
        <v>12.5999999999999</v>
      </c>
      <c r="C490" s="432"/>
      <c r="D490" s="450" t="n">
        <f aca="false">IF(AND(L489&lt;L_rampe,Poussee&lt;Poids*SIN(M489)),0,(-W489+Poussee)/m*COS(M489)-U489/m*SIN(M489))</f>
        <v>-0.503611703203886</v>
      </c>
      <c r="E490" s="451" t="n">
        <f aca="false">IF(AND(L489&lt;L_rampe,Poussee&lt;Poids*SIN(M489)),0,(-W489+Poussee)/m*SIN(M489)+U489/m*COS(M489)-Poids/m)</f>
        <v>-10.5915475750893</v>
      </c>
      <c r="F490" s="449" t="n">
        <f aca="false">SQRT(acc_x^2+acc_z^2)</f>
        <v>10.603513794162</v>
      </c>
      <c r="G490" s="450" t="n">
        <f aca="false">G489+acc_x*pas</f>
        <v>31.3766407554256</v>
      </c>
      <c r="H490" s="451" t="n">
        <f aca="false">H489+acc_z*pas</f>
        <v>47.7119460551532</v>
      </c>
      <c r="I490" s="449" t="n">
        <f aca="false">SQRT(vit_x^2+vit_z^2)</f>
        <v>57.1044952824634</v>
      </c>
      <c r="J490" s="450" t="n">
        <f aca="false">J489+0.5*(vit_x+G489)*pas*(K489&gt;=0)</f>
        <v>406.567643974405</v>
      </c>
      <c r="K490" s="451" t="n">
        <f aca="false">K489+0.5*(vit_z+H489)*pas</f>
        <v>1311.69943472441</v>
      </c>
      <c r="L490" s="449" t="n">
        <f aca="false">SQRT(pos_x^2+pos_z^2)</f>
        <v>1373.26350573487</v>
      </c>
      <c r="M490" s="450" t="n">
        <f aca="false">IF(AND(L489&gt;L_rampe,G490&gt;0),ATAN2(G490,H490),$M$4)</f>
        <v>0.98907843032563</v>
      </c>
      <c r="N490" s="449" t="n">
        <f aca="false">DEGREES(Beta)</f>
        <v>56.6700196650828</v>
      </c>
      <c r="O490" s="438"/>
      <c r="P490" s="452" t="n">
        <f aca="false">MATCH(t-pas/2-T_ini,CdP_t)</f>
        <v>23</v>
      </c>
      <c r="Q490" s="449" t="n">
        <f aca="false">(INDEX(CdP,2,i_P+1)-INDEX(CdP,2,i_P+0))/(INDEX(CdP,1,i_P+1)-INDEX(CdP,1,i_P+0))*(t-pas/2-T_ini-INDEX(CdP,1,i_P+0))+INDEX(CdP,2,i_P+0)</f>
        <v>0</v>
      </c>
      <c r="R490" s="450" t="n">
        <f aca="false">Poussee/(g*ISP)</f>
        <v>0</v>
      </c>
      <c r="S490" s="451" t="n">
        <f aca="false">S489-Débit*pas</f>
        <v>8.652</v>
      </c>
      <c r="T490" s="449" t="n">
        <f aca="false">m*g</f>
        <v>84.87612</v>
      </c>
      <c r="U490" s="453" t="n">
        <f aca="false">IF(pos_xz&lt;L_rampe,Poids*COS(Beta),0)</f>
        <v>0</v>
      </c>
      <c r="V490" s="450" t="n">
        <f aca="false">Rho_moyen*(20000-Alt_rampe-pos_z)/(20000+Alt_rampe+pos_z)</f>
        <v>1.07420660011568</v>
      </c>
      <c r="W490" s="449" t="n">
        <f aca="false">1/2*Rho*Sref*Cx*vit_xz^2</f>
        <v>7.78869411518065</v>
      </c>
      <c r="X490" s="438"/>
      <c r="Y490" s="454" t="str">
        <f aca="false">IF(AND(pos_z&lt;=0,K489&gt;0),"Impact balistique","") &amp; IF(AND(H491&lt;0,vit_z&gt;=0),"Apogée","") &amp; IF(AND(Poussee=0,Q489&gt;0),"Fin de propulsion","") &amp; IF(AND(L491&gt;L_rampe,pos_xz&lt;=L_rampe),"Sortie de rampe","")</f>
        <v/>
      </c>
      <c r="Z490" s="455" t="str">
        <f aca="false">IF(ABS(t-T_para)&lt;pas/2,"Para","")</f>
        <v/>
      </c>
      <c r="AA490" s="456" t="str">
        <f aca="false">IF(ABS(t-T_satellite)&lt;pas/2,"Satellite","")</f>
        <v/>
      </c>
      <c r="AB490" s="444"/>
      <c r="AC490" s="452" t="e">
        <f aca="false">IF(ABS(t-ROUND(t,0))&lt;0.001,t,NA())</f>
        <v>#N/A</v>
      </c>
      <c r="AD490" s="457" t="e">
        <f aca="false">IF(ABS(t-ROUND(t,0))&lt;0.001,pos_x,NA())</f>
        <v>#N/A</v>
      </c>
      <c r="AE490" s="458" t="n">
        <f aca="false">IF(t&lt;T_para, pos_z, NA())</f>
        <v>1311.69943472441</v>
      </c>
      <c r="AF490" s="444"/>
      <c r="AG490" s="450" t="n">
        <f aca="false">IF(AND(L489&lt;L_rampe,Poussee&lt;Poids*SIN(M489)),0,(-W489+Poussee)/m-Poids*SIN(M489)/m)</f>
        <v>-9.17600644979323</v>
      </c>
      <c r="AH490" s="449" t="n">
        <f aca="false">IF(AND(L489&lt;L_rampe,Poussee&lt;Poids*SIN(M489)), g*SIN(M489), (-W489+Poussee)/m)</f>
        <v>-0.929753386512717</v>
      </c>
    </row>
    <row r="491" customFormat="false" ht="12" hidden="false" customHeight="false" outlineLevel="0" collapsed="false">
      <c r="A491" s="448" t="n">
        <f aca="false">IF(B490+0.01&lt;=T_ini+ROUNDUP(Temps_fin_propu,0), 0.01, IF(K490&gt;0, 0.1, 0.0001))</f>
        <v>0.1</v>
      </c>
      <c r="B491" s="449" t="n">
        <f aca="false">B490+pas</f>
        <v>12.6999999999999</v>
      </c>
      <c r="C491" s="432"/>
      <c r="D491" s="450" t="n">
        <f aca="false">IF(AND(L490&lt;L_rampe,Poussee&lt;Poids*SIN(M490)),0,(-W490+Poussee)/m*COS(M490)-U490/m*SIN(M490))</f>
        <v>-0.494634364326318</v>
      </c>
      <c r="E491" s="451" t="n">
        <f aca="false">IF(AND(L490&lt;L_rampe,Poussee&lt;Poids*SIN(M490)),0,(-W490+Poussee)/m*SIN(M490)+U490/m*COS(M490)-Poids/m)</f>
        <v>-10.5621508848484</v>
      </c>
      <c r="F491" s="449" t="n">
        <f aca="false">SQRT(acc_x^2+acc_z^2)</f>
        <v>10.5737266121588</v>
      </c>
      <c r="G491" s="450" t="n">
        <f aca="false">G490+acc_x*pas</f>
        <v>31.327177318993</v>
      </c>
      <c r="H491" s="451" t="n">
        <f aca="false">H490+acc_z*pas</f>
        <v>46.6557309666683</v>
      </c>
      <c r="I491" s="449" t="n">
        <f aca="false">SQRT(vit_x^2+vit_z^2)</f>
        <v>56.1974133818431</v>
      </c>
      <c r="J491" s="450" t="n">
        <f aca="false">J490+0.5*(vit_x+G490)*pas*(K490&gt;=0)</f>
        <v>409.702834878126</v>
      </c>
      <c r="K491" s="451" t="n">
        <f aca="false">K490+0.5*(vit_z+H490)*pas</f>
        <v>1316.4178185755</v>
      </c>
      <c r="L491" s="449" t="n">
        <f aca="false">SQRT(pos_x^2+pos_z^2)</f>
        <v>1378.69949081381</v>
      </c>
      <c r="M491" s="450" t="n">
        <f aca="false">IF(AND(L490&gt;L_rampe,G491&gt;0),ATAN2(G491,H491),$M$4)</f>
        <v>0.979486732509612</v>
      </c>
      <c r="N491" s="449" t="n">
        <f aca="false">DEGREES(Beta)</f>
        <v>56.1204558618602</v>
      </c>
      <c r="O491" s="438"/>
      <c r="P491" s="452" t="n">
        <f aca="false">MATCH(t-pas/2-T_ini,CdP_t)</f>
        <v>23</v>
      </c>
      <c r="Q491" s="449" t="n">
        <f aca="false">(INDEX(CdP,2,i_P+1)-INDEX(CdP,2,i_P+0))/(INDEX(CdP,1,i_P+1)-INDEX(CdP,1,i_P+0))*(t-pas/2-T_ini-INDEX(CdP,1,i_P+0))+INDEX(CdP,2,i_P+0)</f>
        <v>0</v>
      </c>
      <c r="R491" s="450" t="n">
        <f aca="false">Poussee/(g*ISP)</f>
        <v>0</v>
      </c>
      <c r="S491" s="451" t="n">
        <f aca="false">S490-Débit*pas</f>
        <v>8.652</v>
      </c>
      <c r="T491" s="449" t="n">
        <f aca="false">m*g</f>
        <v>84.87612</v>
      </c>
      <c r="U491" s="453" t="n">
        <f aca="false">IF(pos_xz&lt;L_rampe,Poids*COS(Beta),0)</f>
        <v>0</v>
      </c>
      <c r="V491" s="450" t="n">
        <f aca="false">Rho_moyen*(20000-Alt_rampe-pos_z)/(20000+Alt_rampe+pos_z)</f>
        <v>1.07369767129919</v>
      </c>
      <c r="W491" s="449" t="n">
        <f aca="false">1/2*Rho*Sref*Cx*vit_xz^2</f>
        <v>7.53964506124205</v>
      </c>
      <c r="X491" s="438"/>
      <c r="Y491" s="454" t="str">
        <f aca="false">IF(AND(pos_z&lt;=0,K490&gt;0),"Impact balistique","") &amp; IF(AND(H492&lt;0,vit_z&gt;=0),"Apogée","") &amp; IF(AND(Poussee=0,Q490&gt;0),"Fin de propulsion","") &amp; IF(AND(L492&gt;L_rampe,pos_xz&lt;=L_rampe),"Sortie de rampe","")</f>
        <v/>
      </c>
      <c r="Z491" s="455" t="str">
        <f aca="false">IF(ABS(t-T_para)&lt;pas/2,"Para","")</f>
        <v/>
      </c>
      <c r="AA491" s="456" t="str">
        <f aca="false">IF(ABS(t-T_satellite)&lt;pas/2,"Satellite","")</f>
        <v/>
      </c>
      <c r="AB491" s="444"/>
      <c r="AC491" s="452" t="e">
        <f aca="false">IF(ABS(t-ROUND(t,0))&lt;0.001,t,NA())</f>
        <v>#N/A</v>
      </c>
      <c r="AD491" s="457" t="e">
        <f aca="false">IF(ABS(t-ROUND(t,0))&lt;0.001,pos_x,NA())</f>
        <v>#N/A</v>
      </c>
      <c r="AE491" s="458" t="n">
        <f aca="false">IF(t&lt;T_para, pos_z, NA())</f>
        <v>1316.4178185755</v>
      </c>
      <c r="AF491" s="444"/>
      <c r="AG491" s="450" t="n">
        <f aca="false">IF(AND(L490&lt;L_rampe,Poussee&lt;Poids*SIN(M490)),0,(-W490+Poussee)/m-Poids*SIN(M490)/m)</f>
        <v>-9.09666980558277</v>
      </c>
      <c r="AH491" s="449" t="n">
        <f aca="false">IF(AND(L490&lt;L_rampe,Poussee&lt;Poids*SIN(M490)), g*SIN(M490), (-W490+Poussee)/m)</f>
        <v>-0.900218922235397</v>
      </c>
    </row>
    <row r="492" customFormat="false" ht="12" hidden="false" customHeight="false" outlineLevel="0" collapsed="false">
      <c r="A492" s="448" t="n">
        <f aca="false">IF(B491+0.01&lt;=T_ini+ROUNDUP(Temps_fin_propu,0), 0.01, IF(K491&gt;0, 0.1, 0.0001))</f>
        <v>0.1</v>
      </c>
      <c r="B492" s="449" t="n">
        <f aca="false">B491+pas</f>
        <v>12.7999999999999</v>
      </c>
      <c r="C492" s="432"/>
      <c r="D492" s="450" t="n">
        <f aca="false">IF(AND(L491&lt;L_rampe,Poussee&lt;Poids*SIN(M491)),0,(-W491+Poussee)/m*COS(M491)-U491/m*SIN(M491))</f>
        <v>-0.485779663030308</v>
      </c>
      <c r="E492" s="451" t="n">
        <f aca="false">IF(AND(L491&lt;L_rampe,Poussee&lt;Poids*SIN(M491)),0,(-W491+Poussee)/m*SIN(M491)+U491/m*COS(M491)-Poids/m)</f>
        <v>-10.5334742229291</v>
      </c>
      <c r="F492" s="449" t="n">
        <f aca="false">SQRT(acc_x^2+acc_z^2)</f>
        <v>10.5446697950256</v>
      </c>
      <c r="G492" s="450" t="n">
        <f aca="false">G491+acc_x*pas</f>
        <v>31.2785993526899</v>
      </c>
      <c r="H492" s="451" t="n">
        <f aca="false">H491+acc_z*pas</f>
        <v>45.6023835443754</v>
      </c>
      <c r="I492" s="449" t="n">
        <f aca="false">SQRT(vit_x^2+vit_z^2)</f>
        <v>55.2985367111501</v>
      </c>
      <c r="J492" s="450" t="n">
        <f aca="false">J491+0.5*(vit_x+G491)*pas*(K491&gt;=0)</f>
        <v>412.83312371171</v>
      </c>
      <c r="K492" s="451" t="n">
        <f aca="false">K491+0.5*(vit_z+H491)*pas</f>
        <v>1321.03072430105</v>
      </c>
      <c r="L492" s="449" t="n">
        <f aca="false">SQRT(pos_x^2+pos_z^2)</f>
        <v>1384.03517389586</v>
      </c>
      <c r="M492" s="450" t="n">
        <f aca="false">IF(AND(L491&gt;L_rampe,G492&gt;0),ATAN2(G492,H492),$M$4)</f>
        <v>0.969597390749073</v>
      </c>
      <c r="N492" s="449" t="n">
        <f aca="false">DEGREES(Beta)</f>
        <v>55.5538383168188</v>
      </c>
      <c r="O492" s="438"/>
      <c r="P492" s="452" t="n">
        <f aca="false">MATCH(t-pas/2-T_ini,CdP_t)</f>
        <v>23</v>
      </c>
      <c r="Q492" s="449" t="n">
        <f aca="false">(INDEX(CdP,2,i_P+1)-INDEX(CdP,2,i_P+0))/(INDEX(CdP,1,i_P+1)-INDEX(CdP,1,i_P+0))*(t-pas/2-T_ini-INDEX(CdP,1,i_P+0))+INDEX(CdP,2,i_P+0)</f>
        <v>0</v>
      </c>
      <c r="R492" s="450" t="n">
        <f aca="false">Poussee/(g*ISP)</f>
        <v>0</v>
      </c>
      <c r="S492" s="451" t="n">
        <f aca="false">S491-Débit*pas</f>
        <v>8.652</v>
      </c>
      <c r="T492" s="449" t="n">
        <f aca="false">m*g</f>
        <v>84.87612</v>
      </c>
      <c r="U492" s="453" t="n">
        <f aca="false">IF(pos_xz&lt;L_rampe,Poids*COS(Beta),0)</f>
        <v>0</v>
      </c>
      <c r="V492" s="450" t="n">
        <f aca="false">Rho_moyen*(20000-Alt_rampe-pos_z)/(20000+Alt_rampe+pos_z)</f>
        <v>1.07320033719811</v>
      </c>
      <c r="W492" s="449" t="n">
        <f aca="false">1/2*Rho*Sref*Cx*vit_xz^2</f>
        <v>7.29699949282741</v>
      </c>
      <c r="X492" s="438"/>
      <c r="Y492" s="454" t="str">
        <f aca="false">IF(AND(pos_z&lt;=0,K491&gt;0),"Impact balistique","") &amp; IF(AND(H493&lt;0,vit_z&gt;=0),"Apogée","") &amp; IF(AND(Poussee=0,Q491&gt;0),"Fin de propulsion","") &amp; IF(AND(L493&gt;L_rampe,pos_xz&lt;=L_rampe),"Sortie de rampe","")</f>
        <v/>
      </c>
      <c r="Z492" s="455" t="str">
        <f aca="false">IF(ABS(t-T_para)&lt;pas/2,"Para","")</f>
        <v/>
      </c>
      <c r="AA492" s="456" t="str">
        <f aca="false">IF(ABS(t-T_satellite)&lt;pas/2,"Satellite","")</f>
        <v/>
      </c>
      <c r="AB492" s="444"/>
      <c r="AC492" s="452" t="e">
        <f aca="false">IF(ABS(t-ROUND(t,0))&lt;0.001,t,NA())</f>
        <v>#N/A</v>
      </c>
      <c r="AD492" s="457" t="e">
        <f aca="false">IF(ABS(t-ROUND(t,0))&lt;0.001,pos_x,NA())</f>
        <v>#N/A</v>
      </c>
      <c r="AE492" s="458" t="n">
        <f aca="false">IF(t&lt;T_para, pos_z, NA())</f>
        <v>1321.03072430105</v>
      </c>
      <c r="AF492" s="444"/>
      <c r="AG492" s="450" t="n">
        <f aca="false">IF(AND(L491&lt;L_rampe,Poussee&lt;Poids*SIN(M491)),0,(-W491+Poussee)/m-Poids*SIN(M491)/m)</f>
        <v>-9.01580721675575</v>
      </c>
      <c r="AH492" s="449" t="n">
        <f aca="false">IF(AND(L491&lt;L_rampe,Poussee&lt;Poids*SIN(M491)), g*SIN(M491), (-W491+Poussee)/m)</f>
        <v>-0.87143377961651</v>
      </c>
    </row>
    <row r="493" customFormat="false" ht="12" hidden="false" customHeight="false" outlineLevel="0" collapsed="false">
      <c r="A493" s="448" t="n">
        <f aca="false">IF(B492+0.01&lt;=T_ini+ROUNDUP(Temps_fin_propu,0), 0.01, IF(K492&gt;0, 0.1, 0.0001))</f>
        <v>0.1</v>
      </c>
      <c r="B493" s="449" t="n">
        <f aca="false">B492+pas</f>
        <v>12.8999999999999</v>
      </c>
      <c r="C493" s="432"/>
      <c r="D493" s="450" t="n">
        <f aca="false">IF(AND(L492&lt;L_rampe,Poussee&lt;Poids*SIN(M492)),0,(-W492+Poussee)/m*COS(M492)-U492/m*SIN(M492))</f>
        <v>-0.477047323118374</v>
      </c>
      <c r="E493" s="451" t="n">
        <f aca="false">IF(AND(L492&lt;L_rampe,Poussee&lt;Poids*SIN(M492)),0,(-W492+Poussee)/m*SIN(M492)+U492/m*COS(M492)-Poids/m)</f>
        <v>-10.5055073260271</v>
      </c>
      <c r="F493" s="449" t="n">
        <f aca="false">SQRT(acc_x^2+acc_z^2)</f>
        <v>10.5163329314787</v>
      </c>
      <c r="G493" s="450" t="n">
        <f aca="false">G492+acc_x*pas</f>
        <v>31.2308946203781</v>
      </c>
      <c r="H493" s="451" t="n">
        <f aca="false">H492+acc_z*pas</f>
        <v>44.5518328117727</v>
      </c>
      <c r="I493" s="449" t="n">
        <f aca="false">SQRT(vit_x^2+vit_z^2)</f>
        <v>54.4080378774801</v>
      </c>
      <c r="J493" s="450" t="n">
        <f aca="false">J492+0.5*(vit_x+G492)*pas*(K492&gt;=0)</f>
        <v>415.958598410363</v>
      </c>
      <c r="K493" s="451" t="n">
        <f aca="false">K492+0.5*(vit_z+H492)*pas</f>
        <v>1325.53843511886</v>
      </c>
      <c r="L493" s="449" t="n">
        <f aca="false">SQRT(pos_x^2+pos_z^2)</f>
        <v>1389.27092338711</v>
      </c>
      <c r="M493" s="450" t="n">
        <f aca="false">IF(AND(L492&gt;L_rampe,G493&gt;0),ATAN2(G493,H493),$M$4)</f>
        <v>0.959398636432245</v>
      </c>
      <c r="N493" s="449" t="n">
        <f aca="false">DEGREES(Beta)</f>
        <v>54.9694927381738</v>
      </c>
      <c r="O493" s="438"/>
      <c r="P493" s="452" t="n">
        <f aca="false">MATCH(t-pas/2-T_ini,CdP_t)</f>
        <v>23</v>
      </c>
      <c r="Q493" s="449" t="n">
        <f aca="false">(INDEX(CdP,2,i_P+1)-INDEX(CdP,2,i_P+0))/(INDEX(CdP,1,i_P+1)-INDEX(CdP,1,i_P+0))*(t-pas/2-T_ini-INDEX(CdP,1,i_P+0))+INDEX(CdP,2,i_P+0)</f>
        <v>0</v>
      </c>
      <c r="R493" s="450" t="n">
        <f aca="false">Poussee/(g*ISP)</f>
        <v>0</v>
      </c>
      <c r="S493" s="451" t="n">
        <f aca="false">S492-Débit*pas</f>
        <v>8.652</v>
      </c>
      <c r="T493" s="449" t="n">
        <f aca="false">m*g</f>
        <v>84.87612</v>
      </c>
      <c r="U493" s="453" t="n">
        <f aca="false">IF(pos_xz&lt;L_rampe,Poids*COS(Beta),0)</f>
        <v>0</v>
      </c>
      <c r="V493" s="450" t="n">
        <f aca="false">Rho_moyen*(20000-Alt_rampe-pos_z)/(20000+Alt_rampe+pos_z)</f>
        <v>1.07271455239352</v>
      </c>
      <c r="W493" s="449" t="n">
        <f aca="false">1/2*Rho*Sref*Cx*vit_xz^2</f>
        <v>7.06068013843876</v>
      </c>
      <c r="X493" s="438"/>
      <c r="Y493" s="454" t="str">
        <f aca="false">IF(AND(pos_z&lt;=0,K492&gt;0),"Impact balistique","") &amp; IF(AND(H494&lt;0,vit_z&gt;=0),"Apogée","") &amp; IF(AND(Poussee=0,Q492&gt;0),"Fin de propulsion","") &amp; IF(AND(L494&gt;L_rampe,pos_xz&lt;=L_rampe),"Sortie de rampe","")</f>
        <v/>
      </c>
      <c r="Z493" s="455" t="str">
        <f aca="false">IF(ABS(t-T_para)&lt;pas/2,"Para","")</f>
        <v/>
      </c>
      <c r="AA493" s="456" t="str">
        <f aca="false">IF(ABS(t-T_satellite)&lt;pas/2,"Satellite","")</f>
        <v/>
      </c>
      <c r="AB493" s="444"/>
      <c r="AC493" s="452" t="e">
        <f aca="false">IF(ABS(t-ROUND(t,0))&lt;0.001,t,NA())</f>
        <v>#N/A</v>
      </c>
      <c r="AD493" s="457" t="e">
        <f aca="false">IF(ABS(t-ROUND(t,0))&lt;0.001,pos_x,NA())</f>
        <v>#N/A</v>
      </c>
      <c r="AE493" s="458" t="n">
        <f aca="false">IF(t&lt;T_para, pos_z, NA())</f>
        <v>1325.53843511886</v>
      </c>
      <c r="AF493" s="444"/>
      <c r="AG493" s="450" t="n">
        <f aca="false">IF(AND(L492&lt;L_rampe,Poussee&lt;Poids*SIN(M492)),0,(-W492+Poussee)/m-Poids*SIN(M492)/m)</f>
        <v>-8.93328424009126</v>
      </c>
      <c r="AH493" s="449" t="n">
        <f aca="false">IF(AND(L492&lt;L_rampe,Poussee&lt;Poids*SIN(M492)), g*SIN(M492), (-W492+Poussee)/m)</f>
        <v>-0.843388753216298</v>
      </c>
    </row>
    <row r="494" customFormat="false" ht="12" hidden="false" customHeight="false" outlineLevel="0" collapsed="false">
      <c r="A494" s="448" t="n">
        <f aca="false">IF(B493+0.01&lt;=T_ini+ROUNDUP(Temps_fin_propu,0), 0.01, IF(K493&gt;0, 0.1, 0.0001))</f>
        <v>0.1</v>
      </c>
      <c r="B494" s="449" t="n">
        <f aca="false">B493+pas</f>
        <v>12.9999999999999</v>
      </c>
      <c r="C494" s="432"/>
      <c r="D494" s="450" t="n">
        <f aca="false">IF(AND(L493&lt;L_rampe,Poussee&lt;Poids*SIN(M493)),0,(-W493+Poussee)/m*COS(M493)-U493/m*SIN(M493))</f>
        <v>-0.468437212084923</v>
      </c>
      <c r="E494" s="451" t="n">
        <f aca="false">IF(AND(L493&lt;L_rampe,Poussee&lt;Poids*SIN(M493)),0,(-W493+Poussee)/m*SIN(M493)+U493/m*COS(M493)-Poids/m)</f>
        <v>-10.4782401067692</v>
      </c>
      <c r="F494" s="449" t="n">
        <f aca="false">SQRT(acc_x^2+acc_z^2)</f>
        <v>10.488705790362</v>
      </c>
      <c r="G494" s="450" t="n">
        <f aca="false">G493+acc_x*pas</f>
        <v>31.1840508991696</v>
      </c>
      <c r="H494" s="451" t="n">
        <f aca="false">H493+acc_z*pas</f>
        <v>43.5040088010958</v>
      </c>
      <c r="I494" s="449" t="n">
        <f aca="false">SQRT(vit_x^2+vit_z^2)</f>
        <v>53.5261040264264</v>
      </c>
      <c r="J494" s="450" t="n">
        <f aca="false">J493+0.5*(vit_x+G493)*pas*(K493&gt;=0)</f>
        <v>419.079345686341</v>
      </c>
      <c r="K494" s="451" t="n">
        <f aca="false">K493+0.5*(vit_z+H493)*pas</f>
        <v>1329.9412271995</v>
      </c>
      <c r="L494" s="449" t="n">
        <f aca="false">SQRT(pos_x^2+pos_z^2)</f>
        <v>1394.40710188446</v>
      </c>
      <c r="M494" s="450" t="n">
        <f aca="false">IF(AND(L493&gt;L_rampe,G494&gt;0),ATAN2(G494,H494),$M$4)</f>
        <v>0.948878224490173</v>
      </c>
      <c r="N494" s="449" t="n">
        <f aca="false">DEGREES(Beta)</f>
        <v>54.366717535154</v>
      </c>
      <c r="O494" s="438"/>
      <c r="P494" s="452" t="n">
        <f aca="false">MATCH(t-pas/2-T_ini,CdP_t)</f>
        <v>23</v>
      </c>
      <c r="Q494" s="449" t="n">
        <f aca="false">(INDEX(CdP,2,i_P+1)-INDEX(CdP,2,i_P+0))/(INDEX(CdP,1,i_P+1)-INDEX(CdP,1,i_P+0))*(t-pas/2-T_ini-INDEX(CdP,1,i_P+0))+INDEX(CdP,2,i_P+0)</f>
        <v>0</v>
      </c>
      <c r="R494" s="450" t="n">
        <f aca="false">Poussee/(g*ISP)</f>
        <v>0</v>
      </c>
      <c r="S494" s="451" t="n">
        <f aca="false">S493-Débit*pas</f>
        <v>8.652</v>
      </c>
      <c r="T494" s="449" t="n">
        <f aca="false">m*g</f>
        <v>84.87612</v>
      </c>
      <c r="U494" s="453" t="n">
        <f aca="false">IF(pos_xz&lt;L_rampe,Poids*COS(Beta),0)</f>
        <v>0</v>
      </c>
      <c r="V494" s="450" t="n">
        <f aca="false">Rho_moyen*(20000-Alt_rampe-pos_z)/(20000+Alt_rampe+pos_z)</f>
        <v>1.07224027263217</v>
      </c>
      <c r="W494" s="449" t="n">
        <f aca="false">1/2*Rho*Sref*Cx*vit_xz^2</f>
        <v>6.83061204410804</v>
      </c>
      <c r="X494" s="438"/>
      <c r="Y494" s="454" t="str">
        <f aca="false">IF(AND(pos_z&lt;=0,K493&gt;0),"Impact balistique","") &amp; IF(AND(H495&lt;0,vit_z&gt;=0),"Apogée","") &amp; IF(AND(Poussee=0,Q493&gt;0),"Fin de propulsion","") &amp; IF(AND(L495&gt;L_rampe,pos_xz&lt;=L_rampe),"Sortie de rampe","")</f>
        <v/>
      </c>
      <c r="Z494" s="455" t="str">
        <f aca="false">IF(ABS(t-T_para)&lt;pas/2,"Para","")</f>
        <v/>
      </c>
      <c r="AA494" s="456" t="str">
        <f aca="false">IF(ABS(t-T_satellite)&lt;pas/2,"Satellite","")</f>
        <v/>
      </c>
      <c r="AB494" s="444"/>
      <c r="AC494" s="452" t="n">
        <f aca="false">IF(ABS(t-ROUND(t,0))&lt;0.001,t,NA())</f>
        <v>12.9999999999999</v>
      </c>
      <c r="AD494" s="457" t="n">
        <f aca="false">IF(ABS(t-ROUND(t,0))&lt;0.001,pos_x,NA())</f>
        <v>419.079345686341</v>
      </c>
      <c r="AE494" s="458" t="n">
        <f aca="false">IF(t&lt;T_para, pos_z, NA())</f>
        <v>1329.9412271995</v>
      </c>
      <c r="AF494" s="444"/>
      <c r="AG494" s="450" t="n">
        <f aca="false">IF(AND(L493&lt;L_rampe,Poussee&lt;Poids*SIN(M493)),0,(-W493+Poussee)/m-Poids*SIN(M493)/m)</f>
        <v>-8.84895933371934</v>
      </c>
      <c r="AH494" s="449" t="n">
        <f aca="false">IF(AND(L493&lt;L_rampe,Poussee&lt;Poids*SIN(M493)), g*SIN(M493), (-W493+Poussee)/m)</f>
        <v>-0.81607491197859</v>
      </c>
    </row>
    <row r="495" customFormat="false" ht="12" hidden="false" customHeight="false" outlineLevel="0" collapsed="false">
      <c r="A495" s="448" t="n">
        <f aca="false">IF(B494+0.01&lt;=T_ini+ROUNDUP(Temps_fin_propu,0), 0.01, IF(K494&gt;0, 0.1, 0.0001))</f>
        <v>0.1</v>
      </c>
      <c r="B495" s="449" t="n">
        <f aca="false">B494+pas</f>
        <v>13.0999999999999</v>
      </c>
      <c r="C495" s="432"/>
      <c r="D495" s="450" t="n">
        <f aca="false">IF(AND(L494&lt;L_rampe,Poussee&lt;Poids*SIN(M494)),0,(-W494+Poussee)/m*COS(M494)-U494/m*SIN(M494))</f>
        <v>-0.459949345965944</v>
      </c>
      <c r="E495" s="451" t="n">
        <f aca="false">IF(AND(L494&lt;L_rampe,Poussee&lt;Poids*SIN(M494)),0,(-W494+Poussee)/m*SIN(M494)+U494/m*COS(M494)-Poids/m)</f>
        <v>-10.4516626390093</v>
      </c>
      <c r="F495" s="449" t="n">
        <f aca="false">SQRT(acc_x^2+acc_z^2)</f>
        <v>10.4617783058387</v>
      </c>
      <c r="G495" s="450" t="n">
        <f aca="false">G494+acc_x*pas</f>
        <v>31.138055964573</v>
      </c>
      <c r="H495" s="451" t="n">
        <f aca="false">H494+acc_z*pas</f>
        <v>42.4588425371949</v>
      </c>
      <c r="I495" s="449" t="n">
        <f aca="false">SQRT(vit_x^2+vit_z^2)</f>
        <v>52.6529376089425</v>
      </c>
      <c r="J495" s="450" t="n">
        <f aca="false">J494+0.5*(vit_x+G494)*pas*(K494&gt;=0)</f>
        <v>422.195451029528</v>
      </c>
      <c r="K495" s="451" t="n">
        <f aca="false">K494+0.5*(vit_z+H494)*pas</f>
        <v>1334.23936976642</v>
      </c>
      <c r="L495" s="449" t="n">
        <f aca="false">SQRT(pos_x^2+pos_z^2)</f>
        <v>1399.44406630087</v>
      </c>
      <c r="M495" s="450" t="n">
        <f aca="false">IF(AND(L494&gt;L_rampe,G495&gt;0),ATAN2(G495,H495),$M$4)</f>
        <v>0.938023424476729</v>
      </c>
      <c r="N495" s="449" t="n">
        <f aca="false">DEGREES(Beta)</f>
        <v>53.7447833069251</v>
      </c>
      <c r="O495" s="438"/>
      <c r="P495" s="452" t="n">
        <f aca="false">MATCH(t-pas/2-T_ini,CdP_t)</f>
        <v>23</v>
      </c>
      <c r="Q495" s="449" t="n">
        <f aca="false">(INDEX(CdP,2,i_P+1)-INDEX(CdP,2,i_P+0))/(INDEX(CdP,1,i_P+1)-INDEX(CdP,1,i_P+0))*(t-pas/2-T_ini-INDEX(CdP,1,i_P+0))+INDEX(CdP,2,i_P+0)</f>
        <v>0</v>
      </c>
      <c r="R495" s="450" t="n">
        <f aca="false">Poussee/(g*ISP)</f>
        <v>0</v>
      </c>
      <c r="S495" s="451" t="n">
        <f aca="false">S494-Débit*pas</f>
        <v>8.652</v>
      </c>
      <c r="T495" s="449" t="n">
        <f aca="false">m*g</f>
        <v>84.87612</v>
      </c>
      <c r="U495" s="453" t="n">
        <f aca="false">IF(pos_xz&lt;L_rampe,Poids*COS(Beta),0)</f>
        <v>0</v>
      </c>
      <c r="V495" s="450" t="n">
        <f aca="false">Rho_moyen*(20000-Alt_rampe-pos_z)/(20000+Alt_rampe+pos_z)</f>
        <v>1.07177745481003</v>
      </c>
      <c r="W495" s="449" t="n">
        <f aca="false">1/2*Rho*Sref*Cx*vit_xz^2</f>
        <v>6.60672251875471</v>
      </c>
      <c r="X495" s="438"/>
      <c r="Y495" s="454" t="str">
        <f aca="false">IF(AND(pos_z&lt;=0,K494&gt;0),"Impact balistique","") &amp; IF(AND(H496&lt;0,vit_z&gt;=0),"Apogée","") &amp; IF(AND(Poussee=0,Q494&gt;0),"Fin de propulsion","") &amp; IF(AND(L496&gt;L_rampe,pos_xz&lt;=L_rampe),"Sortie de rampe","")</f>
        <v/>
      </c>
      <c r="Z495" s="455" t="str">
        <f aca="false">IF(ABS(t-T_para)&lt;pas/2,"Para","")</f>
        <v/>
      </c>
      <c r="AA495" s="456" t="str">
        <f aca="false">IF(ABS(t-T_satellite)&lt;pas/2,"Satellite","")</f>
        <v/>
      </c>
      <c r="AB495" s="444"/>
      <c r="AC495" s="452" t="e">
        <f aca="false">IF(ABS(t-ROUND(t,0))&lt;0.001,t,NA())</f>
        <v>#N/A</v>
      </c>
      <c r="AD495" s="457" t="e">
        <f aca="false">IF(ABS(t-ROUND(t,0))&lt;0.001,pos_x,NA())</f>
        <v>#N/A</v>
      </c>
      <c r="AE495" s="458" t="n">
        <f aca="false">IF(t&lt;T_para, pos_z, NA())</f>
        <v>1334.23936976642</v>
      </c>
      <c r="AF495" s="444"/>
      <c r="AG495" s="450" t="n">
        <f aca="false">IF(AND(L494&lt;L_rampe,Poussee&lt;Poids*SIN(M494)),0,(-W494+Poussee)/m-Poids*SIN(M494)/m)</f>
        <v>-8.76268347529308</v>
      </c>
      <c r="AH495" s="449" t="n">
        <f aca="false">IF(AND(L494&lt;L_rampe,Poussee&lt;Poids*SIN(M494)), g*SIN(M494), (-W494+Poussee)/m)</f>
        <v>-0.789483592707818</v>
      </c>
    </row>
    <row r="496" customFormat="false" ht="12" hidden="false" customHeight="false" outlineLevel="0" collapsed="false">
      <c r="A496" s="448" t="n">
        <f aca="false">IF(B495+0.01&lt;=T_ini+ROUNDUP(Temps_fin_propu,0), 0.01, IF(K495&gt;0, 0.1, 0.0001))</f>
        <v>0.1</v>
      </c>
      <c r="B496" s="449" t="n">
        <f aca="false">B495+pas</f>
        <v>13.1999999999999</v>
      </c>
      <c r="C496" s="432"/>
      <c r="D496" s="450" t="n">
        <f aca="false">IF(AND(L495&lt;L_rampe,Poussee&lt;Poids*SIN(M495)),0,(-W495+Poussee)/m*COS(M495)-U495/m*SIN(M495))</f>
        <v>-0.45158389452447</v>
      </c>
      <c r="E496" s="451" t="n">
        <f aca="false">IF(AND(L495&lt;L_rampe,Poussee&lt;Poids*SIN(M495)),0,(-W495+Poussee)/m*SIN(M495)+U495/m*COS(M495)-Poids/m)</f>
        <v>-10.4257651425562</v>
      </c>
      <c r="F496" s="449" t="n">
        <f aca="false">SQRT(acc_x^2+acc_z^2)</f>
        <v>10.4355405620185</v>
      </c>
      <c r="G496" s="450" t="n">
        <f aca="false">G495+acc_x*pas</f>
        <v>31.0928975751206</v>
      </c>
      <c r="H496" s="451" t="n">
        <f aca="false">H495+acc_z*pas</f>
        <v>41.4162660229392</v>
      </c>
      <c r="I496" s="449" t="n">
        <f aca="false">SQRT(vit_x^2+vit_z^2)</f>
        <v>51.7887571862833</v>
      </c>
      <c r="J496" s="450" t="n">
        <f aca="false">J495+0.5*(vit_x+G495)*pas*(K495&gt;=0)</f>
        <v>425.306998706513</v>
      </c>
      <c r="K496" s="451" t="n">
        <f aca="false">K495+0.5*(vit_z+H495)*pas</f>
        <v>1338.43312519442</v>
      </c>
      <c r="L496" s="449" t="n">
        <f aca="false">SQRT(pos_x^2+pos_z^2)</f>
        <v>1404.38216798935</v>
      </c>
      <c r="M496" s="450" t="n">
        <f aca="false">IF(AND(L495&gt;L_rampe,G496&gt;0),ATAN2(G496,H496),$M$4)</f>
        <v>0.926821013780704</v>
      </c>
      <c r="N496" s="449" t="n">
        <f aca="false">DEGREES(Beta)</f>
        <v>53.1029324536707</v>
      </c>
      <c r="O496" s="438"/>
      <c r="P496" s="452" t="n">
        <f aca="false">MATCH(t-pas/2-T_ini,CdP_t)</f>
        <v>23</v>
      </c>
      <c r="Q496" s="449" t="n">
        <f aca="false">(INDEX(CdP,2,i_P+1)-INDEX(CdP,2,i_P+0))/(INDEX(CdP,1,i_P+1)-INDEX(CdP,1,i_P+0))*(t-pas/2-T_ini-INDEX(CdP,1,i_P+0))+INDEX(CdP,2,i_P+0)</f>
        <v>0</v>
      </c>
      <c r="R496" s="450" t="n">
        <f aca="false">Poussee/(g*ISP)</f>
        <v>0</v>
      </c>
      <c r="S496" s="451" t="n">
        <f aca="false">S495-Débit*pas</f>
        <v>8.652</v>
      </c>
      <c r="T496" s="449" t="n">
        <f aca="false">m*g</f>
        <v>84.87612</v>
      </c>
      <c r="U496" s="453" t="n">
        <f aca="false">IF(pos_xz&lt;L_rampe,Poids*COS(Beta),0)</f>
        <v>0</v>
      </c>
      <c r="V496" s="450" t="n">
        <f aca="false">Rho_moyen*(20000-Alt_rampe-pos_z)/(20000+Alt_rampe+pos_z)</f>
        <v>1.07132605695614</v>
      </c>
      <c r="W496" s="449" t="n">
        <f aca="false">1/2*Rho*Sref*Cx*vit_xz^2</f>
        <v>6.38894108125549</v>
      </c>
      <c r="X496" s="438"/>
      <c r="Y496" s="454" t="str">
        <f aca="false">IF(AND(pos_z&lt;=0,K495&gt;0),"Impact balistique","") &amp; IF(AND(H497&lt;0,vit_z&gt;=0),"Apogée","") &amp; IF(AND(Poussee=0,Q495&gt;0),"Fin de propulsion","") &amp; IF(AND(L497&gt;L_rampe,pos_xz&lt;=L_rampe),"Sortie de rampe","")</f>
        <v/>
      </c>
      <c r="Z496" s="455" t="str">
        <f aca="false">IF(ABS(t-T_para)&lt;pas/2,"Para","")</f>
        <v/>
      </c>
      <c r="AA496" s="456" t="str">
        <f aca="false">IF(ABS(t-T_satellite)&lt;pas/2,"Satellite","")</f>
        <v/>
      </c>
      <c r="AB496" s="444"/>
      <c r="AC496" s="452" t="e">
        <f aca="false">IF(ABS(t-ROUND(t,0))&lt;0.001,t,NA())</f>
        <v>#N/A</v>
      </c>
      <c r="AD496" s="457" t="e">
        <f aca="false">IF(ABS(t-ROUND(t,0))&lt;0.001,pos_x,NA())</f>
        <v>#N/A</v>
      </c>
      <c r="AE496" s="458" t="n">
        <f aca="false">IF(t&lt;T_para, pos_z, NA())</f>
        <v>1338.43312519442</v>
      </c>
      <c r="AF496" s="444"/>
      <c r="AG496" s="450" t="n">
        <f aca="false">IF(AND(L495&lt;L_rampe,Poussee&lt;Poids*SIN(M495)),0,(-W495+Poussee)/m-Poids*SIN(M495)/m)</f>
        <v>-8.67429977962713</v>
      </c>
      <c r="AH496" s="449" t="n">
        <f aca="false">IF(AND(L495&lt;L_rampe,Poussee&lt;Poids*SIN(M495)), g*SIN(M495), (-W495+Poussee)/m)</f>
        <v>-0.763606393753434</v>
      </c>
    </row>
    <row r="497" customFormat="false" ht="12" hidden="false" customHeight="false" outlineLevel="0" collapsed="false">
      <c r="A497" s="448" t="n">
        <f aca="false">IF(B496+0.01&lt;=T_ini+ROUNDUP(Temps_fin_propu,0), 0.01, IF(K496&gt;0, 0.1, 0.0001))</f>
        <v>0.1</v>
      </c>
      <c r="B497" s="449" t="n">
        <f aca="false">B496+pas</f>
        <v>13.2999999999999</v>
      </c>
      <c r="C497" s="432"/>
      <c r="D497" s="450" t="n">
        <f aca="false">IF(AND(L496&lt;L_rampe,Poussee&lt;Poids*SIN(M496)),0,(-W496+Poussee)/m*COS(M496)-U496/m*SIN(M496))</f>
        <v>-0.443341186768503</v>
      </c>
      <c r="E497" s="451" t="n">
        <f aca="false">IF(AND(L496&lt;L_rampe,Poussee&lt;Poids*SIN(M496)),0,(-W496+Poussee)/m*SIN(M496)+U496/m*COS(M496)-Poids/m)</f>
        <v>-10.4005379672566</v>
      </c>
      <c r="F497" s="449" t="n">
        <f aca="false">SQRT(acc_x^2+acc_z^2)</f>
        <v>10.4099827769421</v>
      </c>
      <c r="G497" s="450" t="n">
        <f aca="false">G496+acc_x*pas</f>
        <v>31.0485634564437</v>
      </c>
      <c r="H497" s="451" t="n">
        <f aca="false">H496+acc_z*pas</f>
        <v>40.3762122262136</v>
      </c>
      <c r="I497" s="449" t="n">
        <f aca="false">SQRT(vit_x^2+vit_z^2)</f>
        <v>50.9337982723167</v>
      </c>
      <c r="J497" s="450" t="n">
        <f aca="false">J496+0.5*(vit_x+G496)*pas*(K496&gt;=0)</f>
        <v>428.414071758091</v>
      </c>
      <c r="K497" s="451" t="n">
        <f aca="false">K496+0.5*(vit_z+H496)*pas</f>
        <v>1342.52274910688</v>
      </c>
      <c r="L497" s="449" t="n">
        <f aca="false">SQRT(pos_x^2+pos_z^2)</f>
        <v>1409.22175286569</v>
      </c>
      <c r="M497" s="450" t="n">
        <f aca="false">IF(AND(L496&gt;L_rampe,G497&gt;0),ATAN2(G497,H497),$M$4)</f>
        <v>0.915257273480625</v>
      </c>
      <c r="N497" s="449" t="n">
        <f aca="false">DEGREES(Beta)</f>
        <v>52.4403789390908</v>
      </c>
      <c r="O497" s="438"/>
      <c r="P497" s="452" t="n">
        <f aca="false">MATCH(t-pas/2-T_ini,CdP_t)</f>
        <v>23</v>
      </c>
      <c r="Q497" s="449" t="n">
        <f aca="false">(INDEX(CdP,2,i_P+1)-INDEX(CdP,2,i_P+0))/(INDEX(CdP,1,i_P+1)-INDEX(CdP,1,i_P+0))*(t-pas/2-T_ini-INDEX(CdP,1,i_P+0))+INDEX(CdP,2,i_P+0)</f>
        <v>0</v>
      </c>
      <c r="R497" s="450" t="n">
        <f aca="false">Poussee/(g*ISP)</f>
        <v>0</v>
      </c>
      <c r="S497" s="451" t="n">
        <f aca="false">S496-Débit*pas</f>
        <v>8.652</v>
      </c>
      <c r="T497" s="449" t="n">
        <f aca="false">m*g</f>
        <v>84.87612</v>
      </c>
      <c r="U497" s="453" t="n">
        <f aca="false">IF(pos_xz&lt;L_rampe,Poids*COS(Beta),0)</f>
        <v>0</v>
      </c>
      <c r="V497" s="450" t="n">
        <f aca="false">Rho_moyen*(20000-Alt_rampe-pos_z)/(20000+Alt_rampe+pos_z)</f>
        <v>1.07088603821685</v>
      </c>
      <c r="W497" s="449" t="n">
        <f aca="false">1/2*Rho*Sref*Cx*vit_xz^2</f>
        <v>6.17719940914523</v>
      </c>
      <c r="X497" s="438"/>
      <c r="Y497" s="454" t="str">
        <f aca="false">IF(AND(pos_z&lt;=0,K496&gt;0),"Impact balistique","") &amp; IF(AND(H498&lt;0,vit_z&gt;=0),"Apogée","") &amp; IF(AND(Poussee=0,Q496&gt;0),"Fin de propulsion","") &amp; IF(AND(L498&gt;L_rampe,pos_xz&lt;=L_rampe),"Sortie de rampe","")</f>
        <v/>
      </c>
      <c r="Z497" s="455" t="str">
        <f aca="false">IF(ABS(t-T_para)&lt;pas/2,"Para","")</f>
        <v/>
      </c>
      <c r="AA497" s="456" t="str">
        <f aca="false">IF(ABS(t-T_satellite)&lt;pas/2,"Satellite","")</f>
        <v/>
      </c>
      <c r="AB497" s="444"/>
      <c r="AC497" s="452" t="e">
        <f aca="false">IF(ABS(t-ROUND(t,0))&lt;0.001,t,NA())</f>
        <v>#N/A</v>
      </c>
      <c r="AD497" s="457" t="e">
        <f aca="false">IF(ABS(t-ROUND(t,0))&lt;0.001,pos_x,NA())</f>
        <v>#N/A</v>
      </c>
      <c r="AE497" s="458" t="n">
        <f aca="false">IF(t&lt;T_para, pos_z, NA())</f>
        <v>1342.52274910688</v>
      </c>
      <c r="AF497" s="444"/>
      <c r="AG497" s="450" t="n">
        <f aca="false">IF(AND(L496&lt;L_rampe,Poussee&lt;Poids*SIN(M496)),0,(-W496+Poussee)/m-Poids*SIN(M496)/m)</f>
        <v>-8.5836431205641</v>
      </c>
      <c r="AH497" s="449" t="n">
        <f aca="false">IF(AND(L496&lt;L_rampe,Poussee&lt;Poids*SIN(M496)), g*SIN(M496), (-W496+Poussee)/m)</f>
        <v>-0.73843516889222</v>
      </c>
    </row>
    <row r="498" customFormat="false" ht="12" hidden="false" customHeight="false" outlineLevel="0" collapsed="false">
      <c r="A498" s="448" t="n">
        <f aca="false">IF(B497+0.01&lt;=T_ini+ROUNDUP(Temps_fin_propu,0), 0.01, IF(K497&gt;0, 0.1, 0.0001))</f>
        <v>0.1</v>
      </c>
      <c r="B498" s="449" t="n">
        <f aca="false">B497+pas</f>
        <v>13.3999999999999</v>
      </c>
      <c r="C498" s="432"/>
      <c r="D498" s="450" t="n">
        <f aca="false">IF(AND(L497&lt;L_rampe,Poussee&lt;Poids*SIN(M497)),0,(-W497+Poussee)/m*COS(M497)-U497/m*SIN(M497))</f>
        <v>-0.435221716793698</v>
      </c>
      <c r="E498" s="451" t="n">
        <f aca="false">IF(AND(L497&lt;L_rampe,Poussee&lt;Poids*SIN(M497)),0,(-W497+Poussee)/m*SIN(M497)+U497/m*COS(M497)-Poids/m)</f>
        <v>-10.3759715763459</v>
      </c>
      <c r="F498" s="449" t="n">
        <f aca="false">SQRT(acc_x^2+acc_z^2)</f>
        <v>10.3850952858367</v>
      </c>
      <c r="G498" s="450" t="n">
        <f aca="false">G497+acc_x*pas</f>
        <v>31.0050412847643</v>
      </c>
      <c r="H498" s="451" t="n">
        <f aca="false">H497+acc_z*pas</f>
        <v>39.338615068579</v>
      </c>
      <c r="I498" s="449" t="n">
        <f aca="false">SQRT(vit_x^2+vit_z^2)</f>
        <v>50.0883142118376</v>
      </c>
      <c r="J498" s="450" t="n">
        <f aca="false">J497+0.5*(vit_x+G497)*pas*(K497&gt;=0)</f>
        <v>431.516751995151</v>
      </c>
      <c r="K498" s="451" t="n">
        <f aca="false">K497+0.5*(vit_z+H497)*pas</f>
        <v>1346.50849047162</v>
      </c>
      <c r="L498" s="449" t="n">
        <f aca="false">SQRT(pos_x^2+pos_z^2)</f>
        <v>1413.96316153025</v>
      </c>
      <c r="M498" s="450" t="n">
        <f aca="false">IF(AND(L497&gt;L_rampe,G498&gt;0),ATAN2(G498,H498),$M$4)</f>
        <v>0.903317987432312</v>
      </c>
      <c r="N498" s="449" t="n">
        <f aca="false">DEGREES(Beta)</f>
        <v>51.756308238123</v>
      </c>
      <c r="O498" s="438"/>
      <c r="P498" s="452" t="n">
        <f aca="false">MATCH(t-pas/2-T_ini,CdP_t)</f>
        <v>23</v>
      </c>
      <c r="Q498" s="449" t="n">
        <f aca="false">(INDEX(CdP,2,i_P+1)-INDEX(CdP,2,i_P+0))/(INDEX(CdP,1,i_P+1)-INDEX(CdP,1,i_P+0))*(t-pas/2-T_ini-INDEX(CdP,1,i_P+0))+INDEX(CdP,2,i_P+0)</f>
        <v>0</v>
      </c>
      <c r="R498" s="450" t="n">
        <f aca="false">Poussee/(g*ISP)</f>
        <v>0</v>
      </c>
      <c r="S498" s="451" t="n">
        <f aca="false">S497-Débit*pas</f>
        <v>8.652</v>
      </c>
      <c r="T498" s="449" t="n">
        <f aca="false">m*g</f>
        <v>84.87612</v>
      </c>
      <c r="U498" s="453" t="n">
        <f aca="false">IF(pos_xz&lt;L_rampe,Poids*COS(Beta),0)</f>
        <v>0</v>
      </c>
      <c r="V498" s="450" t="n">
        <f aca="false">Rho_moyen*(20000-Alt_rampe-pos_z)/(20000+Alt_rampe+pos_z)</f>
        <v>1.0704573588403</v>
      </c>
      <c r="W498" s="449" t="n">
        <f aca="false">1/2*Rho*Sref*Cx*vit_xz^2</f>
        <v>5.97143128886877</v>
      </c>
      <c r="X498" s="438"/>
      <c r="Y498" s="454" t="str">
        <f aca="false">IF(AND(pos_z&lt;=0,K497&gt;0),"Impact balistique","") &amp; IF(AND(H499&lt;0,vit_z&gt;=0),"Apogée","") &amp; IF(AND(Poussee=0,Q497&gt;0),"Fin de propulsion","") &amp; IF(AND(L499&gt;L_rampe,pos_xz&lt;=L_rampe),"Sortie de rampe","")</f>
        <v/>
      </c>
      <c r="Z498" s="455" t="str">
        <f aca="false">IF(ABS(t-T_para)&lt;pas/2,"Para","")</f>
        <v/>
      </c>
      <c r="AA498" s="456" t="str">
        <f aca="false">IF(ABS(t-T_satellite)&lt;pas/2,"Satellite","")</f>
        <v/>
      </c>
      <c r="AB498" s="444"/>
      <c r="AC498" s="452" t="e">
        <f aca="false">IF(ABS(t-ROUND(t,0))&lt;0.001,t,NA())</f>
        <v>#N/A</v>
      </c>
      <c r="AD498" s="457" t="e">
        <f aca="false">IF(ABS(t-ROUND(t,0))&lt;0.001,pos_x,NA())</f>
        <v>#N/A</v>
      </c>
      <c r="AE498" s="458" t="n">
        <f aca="false">IF(t&lt;T_para, pos_z, NA())</f>
        <v>1346.50849047162</v>
      </c>
      <c r="AF498" s="444"/>
      <c r="AG498" s="450" t="n">
        <f aca="false">IF(AND(L497&lt;L_rampe,Poussee&lt;Poids*SIN(M497)),0,(-W497+Poussee)/m-Poids*SIN(M497)/m)</f>
        <v>-8.49053976298956</v>
      </c>
      <c r="AH498" s="449" t="n">
        <f aca="false">IF(AND(L497&lt;L_rampe,Poussee&lt;Poids*SIN(M497)), g*SIN(M497), (-W497+Poussee)/m)</f>
        <v>-0.713962021399125</v>
      </c>
    </row>
    <row r="499" customFormat="false" ht="12" hidden="false" customHeight="false" outlineLevel="0" collapsed="false">
      <c r="A499" s="448" t="n">
        <f aca="false">IF(B498+0.01&lt;=T_ini+ROUNDUP(Temps_fin_propu,0), 0.01, IF(K498&gt;0, 0.1, 0.0001))</f>
        <v>0.1</v>
      </c>
      <c r="B499" s="449" t="n">
        <f aca="false">B498+pas</f>
        <v>13.4999999999999</v>
      </c>
      <c r="C499" s="432"/>
      <c r="D499" s="450" t="n">
        <f aca="false">IF(AND(L498&lt;L_rampe,Poussee&lt;Poids*SIN(M498)),0,(-W498+Poussee)/m*COS(M498)-U498/m*SIN(M498))</f>
        <v>-0.427226149937824</v>
      </c>
      <c r="E499" s="451" t="n">
        <f aca="false">IF(AND(L498&lt;L_rampe,Poussee&lt;Poids*SIN(M498)),0,(-W498+Poussee)/m*SIN(M498)+U498/m*COS(M498)-Poids/m)</f>
        <v>-10.3520565289779</v>
      </c>
      <c r="F499" s="449" t="n">
        <f aca="false">SQRT(acc_x^2+acc_z^2)</f>
        <v>10.3608685235527</v>
      </c>
      <c r="G499" s="450" t="n">
        <f aca="false">G498+acc_x*pas</f>
        <v>30.9623186697706</v>
      </c>
      <c r="H499" s="451" t="n">
        <f aca="false">H498+acc_z*pas</f>
        <v>38.3034094156812</v>
      </c>
      <c r="I499" s="449" t="n">
        <f aca="false">SQRT(vit_x^2+vit_z^2)</f>
        <v>49.2525770927138</v>
      </c>
      <c r="J499" s="450" t="n">
        <f aca="false">J498+0.5*(vit_x+G498)*pas*(K498&gt;=0)</f>
        <v>434.615119992878</v>
      </c>
      <c r="K499" s="451" t="n">
        <f aca="false">K498+0.5*(vit_z+H498)*pas</f>
        <v>1350.39059169583</v>
      </c>
      <c r="L499" s="449" t="n">
        <f aca="false">SQRT(pos_x^2+pos_z^2)</f>
        <v>1418.60672938875</v>
      </c>
      <c r="M499" s="450" t="n">
        <f aca="false">IF(AND(L498&gt;L_rampe,G499&gt;0),ATAN2(G499,H499),$M$4)</f>
        <v>0.890988445267356</v>
      </c>
      <c r="N499" s="449" t="n">
        <f aca="false">DEGREES(Beta)</f>
        <v>51.0498775087425</v>
      </c>
      <c r="O499" s="438"/>
      <c r="P499" s="452" t="n">
        <f aca="false">MATCH(t-pas/2-T_ini,CdP_t)</f>
        <v>23</v>
      </c>
      <c r="Q499" s="449" t="n">
        <f aca="false">(INDEX(CdP,2,i_P+1)-INDEX(CdP,2,i_P+0))/(INDEX(CdP,1,i_P+1)-INDEX(CdP,1,i_P+0))*(t-pas/2-T_ini-INDEX(CdP,1,i_P+0))+INDEX(CdP,2,i_P+0)</f>
        <v>0</v>
      </c>
      <c r="R499" s="450" t="n">
        <f aca="false">Poussee/(g*ISP)</f>
        <v>0</v>
      </c>
      <c r="S499" s="451" t="n">
        <f aca="false">S498-Débit*pas</f>
        <v>8.652</v>
      </c>
      <c r="T499" s="449" t="n">
        <f aca="false">m*g</f>
        <v>84.87612</v>
      </c>
      <c r="U499" s="453" t="n">
        <f aca="false">IF(pos_xz&lt;L_rampe,Poids*COS(Beta),0)</f>
        <v>0</v>
      </c>
      <c r="V499" s="450" t="n">
        <f aca="false">Rho_moyen*(20000-Alt_rampe-pos_z)/(20000+Alt_rampe+pos_z)</f>
        <v>1.07003998016122</v>
      </c>
      <c r="W499" s="449" t="n">
        <f aca="false">1/2*Rho*Sref*Cx*vit_xz^2</f>
        <v>5.77157256750458</v>
      </c>
      <c r="X499" s="438"/>
      <c r="Y499" s="454" t="str">
        <f aca="false">IF(AND(pos_z&lt;=0,K498&gt;0),"Impact balistique","") &amp; IF(AND(H500&lt;0,vit_z&gt;=0),"Apogée","") &amp; IF(AND(Poussee=0,Q498&gt;0),"Fin de propulsion","") &amp; IF(AND(L500&gt;L_rampe,pos_xz&lt;=L_rampe),"Sortie de rampe","")</f>
        <v/>
      </c>
      <c r="Z499" s="455" t="str">
        <f aca="false">IF(ABS(t-T_para)&lt;pas/2,"Para","")</f>
        <v/>
      </c>
      <c r="AA499" s="456" t="str">
        <f aca="false">IF(ABS(t-T_satellite)&lt;pas/2,"Satellite","")</f>
        <v/>
      </c>
      <c r="AB499" s="444"/>
      <c r="AC499" s="452" t="e">
        <f aca="false">IF(ABS(t-ROUND(t,0))&lt;0.001,t,NA())</f>
        <v>#N/A</v>
      </c>
      <c r="AD499" s="457" t="e">
        <f aca="false">IF(ABS(t-ROUND(t,0))&lt;0.001,pos_x,NA())</f>
        <v>#N/A</v>
      </c>
      <c r="AE499" s="458" t="n">
        <f aca="false">IF(t&lt;T_para, pos_z, NA())</f>
        <v>1350.39059169583</v>
      </c>
      <c r="AF499" s="444"/>
      <c r="AG499" s="450" t="n">
        <f aca="false">IF(AND(L498&lt;L_rampe,Poussee&lt;Poids*SIN(M498)),0,(-W498+Poussee)/m-Poids*SIN(M498)/m)</f>
        <v>-8.39480701227133</v>
      </c>
      <c r="AH499" s="449" t="n">
        <f aca="false">IF(AND(L498&lt;L_rampe,Poussee&lt;Poids*SIN(M498)), g*SIN(M498), (-W498+Poussee)/m)</f>
        <v>-0.690179298297361</v>
      </c>
    </row>
    <row r="500" customFormat="false" ht="12" hidden="false" customHeight="false" outlineLevel="0" collapsed="false">
      <c r="A500" s="448" t="n">
        <f aca="false">IF(B499+0.01&lt;=T_ini+ROUNDUP(Temps_fin_propu,0), 0.01, IF(K499&gt;0, 0.1, 0.0001))</f>
        <v>0.1</v>
      </c>
      <c r="B500" s="449" t="n">
        <f aca="false">B499+pas</f>
        <v>13.5999999999999</v>
      </c>
      <c r="C500" s="432"/>
      <c r="D500" s="450" t="n">
        <f aca="false">IF(AND(L499&lt;L_rampe,Poussee&lt;Poids*SIN(M499)),0,(-W499+Poussee)/m*COS(M499)-U499/m*SIN(M499))</f>
        <v>-0.419355329227416</v>
      </c>
      <c r="E500" s="451" t="n">
        <f aca="false">IF(AND(L499&lt;L_rampe,Poussee&lt;Poids*SIN(M499)),0,(-W499+Poussee)/m*SIN(M499)+U499/m*COS(M499)-Poids/m)</f>
        <v>-10.3287834618383</v>
      </c>
      <c r="F500" s="449" t="n">
        <f aca="false">SQRT(acc_x^2+acc_z^2)</f>
        <v>10.3372930060871</v>
      </c>
      <c r="G500" s="450" t="n">
        <f aca="false">G499+acc_x*pas</f>
        <v>30.9203831368478</v>
      </c>
      <c r="H500" s="451" t="n">
        <f aca="false">H499+acc_z*pas</f>
        <v>37.2705310694974</v>
      </c>
      <c r="I500" s="449" t="n">
        <f aca="false">SQRT(vit_x^2+vit_z^2)</f>
        <v>48.4268786887182</v>
      </c>
      <c r="J500" s="450" t="n">
        <f aca="false">J499+0.5*(vit_x+G499)*pas*(K499&gt;=0)</f>
        <v>437.709255083209</v>
      </c>
      <c r="K500" s="451" t="n">
        <f aca="false">K499+0.5*(vit_z+H499)*pas</f>
        <v>1354.16928872009</v>
      </c>
      <c r="L500" s="449" t="n">
        <f aca="false">SQRT(pos_x^2+pos_z^2)</f>
        <v>1423.15278677245</v>
      </c>
      <c r="M500" s="450" t="n">
        <f aca="false">IF(AND(L499&gt;L_rampe,G500&gt;0),ATAN2(G500,H500),$M$4)</f>
        <v>0.878253450077872</v>
      </c>
      <c r="N500" s="449" t="n">
        <f aca="false">DEGREES(Beta)</f>
        <v>50.3202160322656</v>
      </c>
      <c r="O500" s="438"/>
      <c r="P500" s="452" t="n">
        <f aca="false">MATCH(t-pas/2-T_ini,CdP_t)</f>
        <v>23</v>
      </c>
      <c r="Q500" s="449" t="n">
        <f aca="false">(INDEX(CdP,2,i_P+1)-INDEX(CdP,2,i_P+0))/(INDEX(CdP,1,i_P+1)-INDEX(CdP,1,i_P+0))*(t-pas/2-T_ini-INDEX(CdP,1,i_P+0))+INDEX(CdP,2,i_P+0)</f>
        <v>0</v>
      </c>
      <c r="R500" s="450" t="n">
        <f aca="false">Poussee/(g*ISP)</f>
        <v>0</v>
      </c>
      <c r="S500" s="451" t="n">
        <f aca="false">S499-Débit*pas</f>
        <v>8.652</v>
      </c>
      <c r="T500" s="449" t="n">
        <f aca="false">m*g</f>
        <v>84.87612</v>
      </c>
      <c r="U500" s="453" t="n">
        <f aca="false">IF(pos_xz&lt;L_rampe,Poids*COS(Beta),0)</f>
        <v>0</v>
      </c>
      <c r="V500" s="450" t="n">
        <f aca="false">Rho_moyen*(20000-Alt_rampe-pos_z)/(20000+Alt_rampe+pos_z)</f>
        <v>1.06963386458603</v>
      </c>
      <c r="W500" s="449" t="n">
        <f aca="false">1/2*Rho*Sref*Cx*vit_xz^2</f>
        <v>5.57756110588141</v>
      </c>
      <c r="X500" s="438"/>
      <c r="Y500" s="454" t="str">
        <f aca="false">IF(AND(pos_z&lt;=0,K499&gt;0),"Impact balistique","") &amp; IF(AND(H501&lt;0,vit_z&gt;=0),"Apogée","") &amp; IF(AND(Poussee=0,Q499&gt;0),"Fin de propulsion","") &amp; IF(AND(L501&gt;L_rampe,pos_xz&lt;=L_rampe),"Sortie de rampe","")</f>
        <v/>
      </c>
      <c r="Z500" s="455" t="str">
        <f aca="false">IF(ABS(t-T_para)&lt;pas/2,"Para","")</f>
        <v/>
      </c>
      <c r="AA500" s="456" t="str">
        <f aca="false">IF(ABS(t-T_satellite)&lt;pas/2,"Satellite","")</f>
        <v/>
      </c>
      <c r="AB500" s="444"/>
      <c r="AC500" s="452" t="e">
        <f aca="false">IF(ABS(t-ROUND(t,0))&lt;0.001,t,NA())</f>
        <v>#N/A</v>
      </c>
      <c r="AD500" s="457" t="e">
        <f aca="false">IF(ABS(t-ROUND(t,0))&lt;0.001,pos_x,NA())</f>
        <v>#N/A</v>
      </c>
      <c r="AE500" s="458" t="n">
        <f aca="false">IF(t&lt;T_para, pos_z, NA())</f>
        <v>1354.16928872009</v>
      </c>
      <c r="AF500" s="444"/>
      <c r="AG500" s="450" t="n">
        <f aca="false">IF(AND(L499&lt;L_rampe,Poussee&lt;Poids*SIN(M499)),0,(-W499+Poussee)/m-Poids*SIN(M499)/m)</f>
        <v>-8.29625288997446</v>
      </c>
      <c r="AH500" s="449" t="n">
        <f aca="false">IF(AND(L499&lt;L_rampe,Poussee&lt;Poids*SIN(M499)), g*SIN(M499), (-W499+Poussee)/m)</f>
        <v>-0.667079584778615</v>
      </c>
    </row>
    <row r="501" customFormat="false" ht="12" hidden="false" customHeight="false" outlineLevel="0" collapsed="false">
      <c r="A501" s="448" t="n">
        <f aca="false">IF(B500+0.01&lt;=T_ini+ROUNDUP(Temps_fin_propu,0), 0.01, IF(K500&gt;0, 0.1, 0.0001))</f>
        <v>0.1</v>
      </c>
      <c r="B501" s="449" t="n">
        <f aca="false">B500+pas</f>
        <v>13.6999999999999</v>
      </c>
      <c r="C501" s="432"/>
      <c r="D501" s="450" t="n">
        <f aca="false">IF(AND(L500&lt;L_rampe,Poussee&lt;Poids*SIN(M500)),0,(-W500+Poussee)/m*COS(M500)-U500/m*SIN(M500))</f>
        <v>-0.411610282089177</v>
      </c>
      <c r="E501" s="451" t="n">
        <f aca="false">IF(AND(L500&lt;L_rampe,Poussee&lt;Poids*SIN(M500)),0,(-W500+Poussee)/m*SIN(M500)+U500/m*COS(M500)-Poids/m)</f>
        <v>-10.3061430697425</v>
      </c>
      <c r="F501" s="449" t="n">
        <f aca="false">SQRT(acc_x^2+acc_z^2)</f>
        <v>10.3143593110926</v>
      </c>
      <c r="G501" s="450" t="n">
        <f aca="false">G500+acc_x*pas</f>
        <v>30.8792221086389</v>
      </c>
      <c r="H501" s="451" t="n">
        <f aca="false">H500+acc_z*pas</f>
        <v>36.2399167625231</v>
      </c>
      <c r="I501" s="449" t="n">
        <f aca="false">SQRT(vit_x^2+vit_z^2)</f>
        <v>47.6115314287333</v>
      </c>
      <c r="J501" s="450" t="n">
        <f aca="false">J500+0.5*(vit_x+G500)*pas*(K500&gt;=0)</f>
        <v>440.799235345483</v>
      </c>
      <c r="K501" s="451" t="n">
        <f aca="false">K500+0.5*(vit_z+H500)*pas</f>
        <v>1357.84481111169</v>
      </c>
      <c r="L501" s="449" t="n">
        <f aca="false">SQRT(pos_x^2+pos_z^2)</f>
        <v>1427.60165905764</v>
      </c>
      <c r="M501" s="450" t="n">
        <f aca="false">IF(AND(L500&gt;L_rampe,G501&gt;0),ATAN2(G501,H501),$M$4)</f>
        <v>0.865097331668973</v>
      </c>
      <c r="N501" s="449" t="n">
        <f aca="false">DEGREES(Beta)</f>
        <v>49.5664259726613</v>
      </c>
      <c r="O501" s="438"/>
      <c r="P501" s="452" t="n">
        <f aca="false">MATCH(t-pas/2-T_ini,CdP_t)</f>
        <v>23</v>
      </c>
      <c r="Q501" s="449" t="n">
        <f aca="false">(INDEX(CdP,2,i_P+1)-INDEX(CdP,2,i_P+0))/(INDEX(CdP,1,i_P+1)-INDEX(CdP,1,i_P+0))*(t-pas/2-T_ini-INDEX(CdP,1,i_P+0))+INDEX(CdP,2,i_P+0)</f>
        <v>0</v>
      </c>
      <c r="R501" s="450" t="n">
        <f aca="false">Poussee/(g*ISP)</f>
        <v>0</v>
      </c>
      <c r="S501" s="451" t="n">
        <f aca="false">S500-Débit*pas</f>
        <v>8.652</v>
      </c>
      <c r="T501" s="449" t="n">
        <f aca="false">m*g</f>
        <v>84.87612</v>
      </c>
      <c r="U501" s="453" t="n">
        <f aca="false">IF(pos_xz&lt;L_rampe,Poids*COS(Beta),0)</f>
        <v>0</v>
      </c>
      <c r="V501" s="450" t="n">
        <f aca="false">Rho_moyen*(20000-Alt_rampe-pos_z)/(20000+Alt_rampe+pos_z)</f>
        <v>1.06923897557806</v>
      </c>
      <c r="W501" s="449" t="n">
        <f aca="false">1/2*Rho*Sref*Cx*vit_xz^2</f>
        <v>5.38933673300935</v>
      </c>
      <c r="X501" s="438"/>
      <c r="Y501" s="454" t="str">
        <f aca="false">IF(AND(pos_z&lt;=0,K500&gt;0),"Impact balistique","") &amp; IF(AND(H502&lt;0,vit_z&gt;=0),"Apogée","") &amp; IF(AND(Poussee=0,Q500&gt;0),"Fin de propulsion","") &amp; IF(AND(L502&gt;L_rampe,pos_xz&lt;=L_rampe),"Sortie de rampe","")</f>
        <v/>
      </c>
      <c r="Z501" s="455" t="str">
        <f aca="false">IF(ABS(t-T_para)&lt;pas/2,"Para","")</f>
        <v/>
      </c>
      <c r="AA501" s="456" t="str">
        <f aca="false">IF(ABS(t-T_satellite)&lt;pas/2,"Satellite","")</f>
        <v/>
      </c>
      <c r="AB501" s="444"/>
      <c r="AC501" s="452" t="e">
        <f aca="false">IF(ABS(t-ROUND(t,0))&lt;0.001,t,NA())</f>
        <v>#N/A</v>
      </c>
      <c r="AD501" s="457" t="e">
        <f aca="false">IF(ABS(t-ROUND(t,0))&lt;0.001,pos_x,NA())</f>
        <v>#N/A</v>
      </c>
      <c r="AE501" s="458" t="n">
        <f aca="false">IF(t&lt;T_para, pos_z, NA())</f>
        <v>1357.84481111169</v>
      </c>
      <c r="AF501" s="444"/>
      <c r="AG501" s="450" t="n">
        <f aca="false">IF(AND(L500&lt;L_rampe,Poussee&lt;Poids*SIN(M500)),0,(-W500+Poussee)/m-Poids*SIN(M500)/m)</f>
        <v>-8.19467584651983</v>
      </c>
      <c r="AH501" s="449" t="n">
        <f aca="false">IF(AND(L500&lt;L_rampe,Poussee&lt;Poids*SIN(M500)), g*SIN(M500), (-W500+Poussee)/m)</f>
        <v>-0.64465569878426</v>
      </c>
    </row>
    <row r="502" customFormat="false" ht="12" hidden="false" customHeight="false" outlineLevel="0" collapsed="false">
      <c r="A502" s="448" t="n">
        <f aca="false">IF(B501+0.01&lt;=T_ini+ROUNDUP(Temps_fin_propu,0), 0.01, IF(K501&gt;0, 0.1, 0.0001))</f>
        <v>0.1</v>
      </c>
      <c r="B502" s="449" t="n">
        <f aca="false">B501+pas</f>
        <v>13.7999999999999</v>
      </c>
      <c r="C502" s="432"/>
      <c r="D502" s="450" t="n">
        <f aca="false">IF(AND(L501&lt;L_rampe,Poussee&lt;Poids*SIN(M501)),0,(-W501+Poussee)/m*COS(M501)-U501/m*SIN(M501))</f>
        <v>-0.403992227289166</v>
      </c>
      <c r="E502" s="451" t="n">
        <f aca="false">IF(AND(L501&lt;L_rampe,Poussee&lt;Poids*SIN(M501)),0,(-W501+Poussee)/m*SIN(M501)+U501/m*COS(M501)-Poids/m)</f>
        <v>-10.2841260851118</v>
      </c>
      <c r="F502" s="449" t="n">
        <f aca="false">SQRT(acc_x^2+acc_z^2)</f>
        <v>10.2920580572685</v>
      </c>
      <c r="G502" s="450" t="n">
        <f aca="false">G501+acc_x*pas</f>
        <v>30.83882288591</v>
      </c>
      <c r="H502" s="451" t="n">
        <f aca="false">H501+acc_z*pas</f>
        <v>35.2115041540119</v>
      </c>
      <c r="I502" s="449" t="n">
        <f aca="false">SQRT(vit_x^2+vit_z^2)</f>
        <v>46.8068693866245</v>
      </c>
      <c r="J502" s="450" t="n">
        <f aca="false">J501+0.5*(vit_x+G501)*pas*(K501&gt;=0)</f>
        <v>443.885137595211</v>
      </c>
      <c r="K502" s="451" t="n">
        <f aca="false">K501+0.5*(vit_z+H501)*pas</f>
        <v>1361.41738215752</v>
      </c>
      <c r="L502" s="449" t="n">
        <f aca="false">SQRT(pos_x^2+pos_z^2)</f>
        <v>1431.95366678484</v>
      </c>
      <c r="M502" s="450" t="n">
        <f aca="false">IF(AND(L501&gt;L_rampe,G502&gt;0),ATAN2(G502,H502),$M$4)</f>
        <v>0.85150396637484</v>
      </c>
      <c r="N502" s="449" t="n">
        <f aca="false">DEGREES(Beta)</f>
        <v>48.7875835119279</v>
      </c>
      <c r="O502" s="438"/>
      <c r="P502" s="452" t="n">
        <f aca="false">MATCH(t-pas/2-T_ini,CdP_t)</f>
        <v>23</v>
      </c>
      <c r="Q502" s="449" t="n">
        <f aca="false">(INDEX(CdP,2,i_P+1)-INDEX(CdP,2,i_P+0))/(INDEX(CdP,1,i_P+1)-INDEX(CdP,1,i_P+0))*(t-pas/2-T_ini-INDEX(CdP,1,i_P+0))+INDEX(CdP,2,i_P+0)</f>
        <v>0</v>
      </c>
      <c r="R502" s="450" t="n">
        <f aca="false">Poussee/(g*ISP)</f>
        <v>0</v>
      </c>
      <c r="S502" s="451" t="n">
        <f aca="false">S501-Débit*pas</f>
        <v>8.652</v>
      </c>
      <c r="T502" s="449" t="n">
        <f aca="false">m*g</f>
        <v>84.87612</v>
      </c>
      <c r="U502" s="453" t="n">
        <f aca="false">IF(pos_xz&lt;L_rampe,Poids*COS(Beta),0)</f>
        <v>0</v>
      </c>
      <c r="V502" s="450" t="n">
        <f aca="false">Rho_moyen*(20000-Alt_rampe-pos_z)/(20000+Alt_rampe+pos_z)</f>
        <v>1.06885527764314</v>
      </c>
      <c r="W502" s="449" t="n">
        <f aca="false">1/2*Rho*Sref*Cx*vit_xz^2</f>
        <v>5.20684120174661</v>
      </c>
      <c r="X502" s="438"/>
      <c r="Y502" s="454" t="str">
        <f aca="false">IF(AND(pos_z&lt;=0,K501&gt;0),"Impact balistique","") &amp; IF(AND(H503&lt;0,vit_z&gt;=0),"Apogée","") &amp; IF(AND(Poussee=0,Q501&gt;0),"Fin de propulsion","") &amp; IF(AND(L503&gt;L_rampe,pos_xz&lt;=L_rampe),"Sortie de rampe","")</f>
        <v/>
      </c>
      <c r="Z502" s="455" t="str">
        <f aca="false">IF(ABS(t-T_para)&lt;pas/2,"Para","")</f>
        <v/>
      </c>
      <c r="AA502" s="456" t="str">
        <f aca="false">IF(ABS(t-T_satellite)&lt;pas/2,"Satellite","")</f>
        <v/>
      </c>
      <c r="AB502" s="444"/>
      <c r="AC502" s="452" t="e">
        <f aca="false">IF(ABS(t-ROUND(t,0))&lt;0.001,t,NA())</f>
        <v>#N/A</v>
      </c>
      <c r="AD502" s="457" t="e">
        <f aca="false">IF(ABS(t-ROUND(t,0))&lt;0.001,pos_x,NA())</f>
        <v>#N/A</v>
      </c>
      <c r="AE502" s="458" t="n">
        <f aca="false">IF(t&lt;T_para, pos_z, NA())</f>
        <v>1361.41738215752</v>
      </c>
      <c r="AF502" s="444"/>
      <c r="AG502" s="450" t="n">
        <f aca="false">IF(AND(L501&lt;L_rampe,Poussee&lt;Poids*SIN(M501)),0,(-W501+Poussee)/m-Poids*SIN(M501)/m)</f>
        <v>-8.08986452353265</v>
      </c>
      <c r="AH502" s="449" t="n">
        <f aca="false">IF(AND(L501&lt;L_rampe,Poussee&lt;Poids*SIN(M501)), g*SIN(M501), (-W501+Poussee)/m)</f>
        <v>-0.622900685738482</v>
      </c>
    </row>
    <row r="503" customFormat="false" ht="12" hidden="false" customHeight="false" outlineLevel="0" collapsed="false">
      <c r="A503" s="448" t="n">
        <f aca="false">IF(B502+0.01&lt;=T_ini+ROUNDUP(Temps_fin_propu,0), 0.01, IF(K502&gt;0, 0.1, 0.0001))</f>
        <v>0.1</v>
      </c>
      <c r="B503" s="449" t="n">
        <f aca="false">B502+pas</f>
        <v>13.8999999999999</v>
      </c>
      <c r="C503" s="432"/>
      <c r="D503" s="450" t="n">
        <f aca="false">IF(AND(L502&lt;L_rampe,Poussee&lt;Poids*SIN(M502)),0,(-W502+Poussee)/m*COS(M502)-U502/m*SIN(M502))</f>
        <v>-0.39650258205157</v>
      </c>
      <c r="E503" s="451" t="n">
        <f aca="false">IF(AND(L502&lt;L_rampe,Poussee&lt;Poids*SIN(M502)),0,(-W502+Poussee)/m*SIN(M502)+U502/m*COS(M502)-Poids/m)</f>
        <v>-10.2627232562227</v>
      </c>
      <c r="F503" s="449" t="n">
        <f aca="false">SQRT(acc_x^2+acc_z^2)</f>
        <v>10.2703798825257</v>
      </c>
      <c r="G503" s="450" t="n">
        <f aca="false">G502+acc_x*pas</f>
        <v>30.7991726277048</v>
      </c>
      <c r="H503" s="451" t="n">
        <f aca="false">H502+acc_z*pas</f>
        <v>34.1852318283897</v>
      </c>
      <c r="I503" s="449" t="n">
        <f aca="false">SQRT(vit_x^2+vit_z^2)</f>
        <v>46.0132492844388</v>
      </c>
      <c r="J503" s="450" t="n">
        <f aca="false">J502+0.5*(vit_x+G502)*pas*(K502&gt;=0)</f>
        <v>446.967037370891</v>
      </c>
      <c r="K503" s="451" t="n">
        <f aca="false">K502+0.5*(vit_z+H502)*pas</f>
        <v>1364.88721895664</v>
      </c>
      <c r="L503" s="449" t="n">
        <f aca="false">SQRT(pos_x^2+pos_z^2)</f>
        <v>1436.20912577776</v>
      </c>
      <c r="M503" s="450" t="n">
        <f aca="false">IF(AND(L502&gt;L_rampe,G503&gt;0),ATAN2(G503,H503),$M$4)</f>
        <v>0.837456804556013</v>
      </c>
      <c r="N503" s="449" t="n">
        <f aca="false">DEGREES(Beta)</f>
        <v>47.9827404255718</v>
      </c>
      <c r="O503" s="438"/>
      <c r="P503" s="452" t="n">
        <f aca="false">MATCH(t-pas/2-T_ini,CdP_t)</f>
        <v>23</v>
      </c>
      <c r="Q503" s="449" t="n">
        <f aca="false">(INDEX(CdP,2,i_P+1)-INDEX(CdP,2,i_P+0))/(INDEX(CdP,1,i_P+1)-INDEX(CdP,1,i_P+0))*(t-pas/2-T_ini-INDEX(CdP,1,i_P+0))+INDEX(CdP,2,i_P+0)</f>
        <v>0</v>
      </c>
      <c r="R503" s="450" t="n">
        <f aca="false">Poussee/(g*ISP)</f>
        <v>0</v>
      </c>
      <c r="S503" s="451" t="n">
        <f aca="false">S502-Débit*pas</f>
        <v>8.652</v>
      </c>
      <c r="T503" s="449" t="n">
        <f aca="false">m*g</f>
        <v>84.87612</v>
      </c>
      <c r="U503" s="453" t="n">
        <f aca="false">IF(pos_xz&lt;L_rampe,Poids*COS(Beta),0)</f>
        <v>0</v>
      </c>
      <c r="V503" s="450" t="n">
        <f aca="false">Rho_moyen*(20000-Alt_rampe-pos_z)/(20000+Alt_rampe+pos_z)</f>
        <v>1.06848273631528</v>
      </c>
      <c r="W503" s="449" t="n">
        <f aca="false">1/2*Rho*Sref*Cx*vit_xz^2</f>
        <v>5.03001814562312</v>
      </c>
      <c r="X503" s="438"/>
      <c r="Y503" s="454" t="str">
        <f aca="false">IF(AND(pos_z&lt;=0,K502&gt;0),"Impact balistique","") &amp; IF(AND(H504&lt;0,vit_z&gt;=0),"Apogée","") &amp; IF(AND(Poussee=0,Q502&gt;0),"Fin de propulsion","") &amp; IF(AND(L504&gt;L_rampe,pos_xz&lt;=L_rampe),"Sortie de rampe","")</f>
        <v/>
      </c>
      <c r="Z503" s="455" t="str">
        <f aca="false">IF(ABS(t-T_para)&lt;pas/2,"Para","")</f>
        <v/>
      </c>
      <c r="AA503" s="456" t="str">
        <f aca="false">IF(ABS(t-T_satellite)&lt;pas/2,"Satellite","")</f>
        <v/>
      </c>
      <c r="AB503" s="444"/>
      <c r="AC503" s="452" t="e">
        <f aca="false">IF(ABS(t-ROUND(t,0))&lt;0.001,t,NA())</f>
        <v>#N/A</v>
      </c>
      <c r="AD503" s="457" t="e">
        <f aca="false">IF(ABS(t-ROUND(t,0))&lt;0.001,pos_x,NA())</f>
        <v>#N/A</v>
      </c>
      <c r="AE503" s="458" t="n">
        <f aca="false">IF(t&lt;T_para, pos_z, NA())</f>
        <v>1364.88721895664</v>
      </c>
      <c r="AF503" s="444"/>
      <c r="AG503" s="450" t="n">
        <f aca="false">IF(AND(L502&lt;L_rampe,Poussee&lt;Poids*SIN(M502)),0,(-W502+Poussee)/m-Poids*SIN(M502)/m)</f>
        <v>-7.98159758098272</v>
      </c>
      <c r="AH503" s="449" t="n">
        <f aca="false">IF(AND(L502&lt;L_rampe,Poussee&lt;Poids*SIN(M502)), g*SIN(M502), (-W502+Poussee)/m)</f>
        <v>-0.60180781342425</v>
      </c>
    </row>
    <row r="504" customFormat="false" ht="12" hidden="false" customHeight="false" outlineLevel="0" collapsed="false">
      <c r="A504" s="448" t="n">
        <f aca="false">IF(B503+0.01&lt;=T_ini+ROUNDUP(Temps_fin_propu,0), 0.01, IF(K503&gt;0, 0.1, 0.0001))</f>
        <v>0.1</v>
      </c>
      <c r="B504" s="449" t="n">
        <f aca="false">B503+pas</f>
        <v>13.9999999999999</v>
      </c>
      <c r="C504" s="432"/>
      <c r="D504" s="450" t="n">
        <f aca="false">IF(AND(L503&lt;L_rampe,Poussee&lt;Poids*SIN(M503)),0,(-W503+Poussee)/m*COS(M503)-U503/m*SIN(M503))</f>
        <v>-0.389142969295552</v>
      </c>
      <c r="E504" s="451" t="n">
        <f aca="false">IF(AND(L503&lt;L_rampe,Poussee&lt;Poids*SIN(M503)),0,(-W503+Poussee)/m*SIN(M503)+U503/m*COS(M503)-Poids/m)</f>
        <v>-10.241925324117</v>
      </c>
      <c r="F504" s="449" t="n">
        <f aca="false">SQRT(acc_x^2+acc_z^2)</f>
        <v>10.2493154208143</v>
      </c>
      <c r="G504" s="450" t="n">
        <f aca="false">G503+acc_x*pas</f>
        <v>30.7602583307753</v>
      </c>
      <c r="H504" s="451" t="n">
        <f aca="false">H503+acc_z*pas</f>
        <v>33.161039295978</v>
      </c>
      <c r="I504" s="449" t="n">
        <f aca="false">SQRT(vit_x^2+vit_z^2)</f>
        <v>45.2310514996658</v>
      </c>
      <c r="J504" s="450" t="n">
        <f aca="false">J503+0.5*(vit_x+G503)*pas*(K503&gt;=0)</f>
        <v>450.045008918815</v>
      </c>
      <c r="K504" s="451" t="n">
        <f aca="false">K503+0.5*(vit_z+H503)*pas</f>
        <v>1368.25453251286</v>
      </c>
      <c r="L504" s="449" t="n">
        <f aca="false">SQRT(pos_x^2+pos_z^2)</f>
        <v>1440.36834726216</v>
      </c>
      <c r="M504" s="450" t="n">
        <f aca="false">IF(AND(L503&gt;L_rampe,G504&gt;0),ATAN2(G504,H504),$M$4)</f>
        <v>0.822938907022823</v>
      </c>
      <c r="N504" s="449" t="n">
        <f aca="false">DEGREES(Beta)</f>
        <v>47.1509261695166</v>
      </c>
      <c r="O504" s="438"/>
      <c r="P504" s="452" t="n">
        <f aca="false">MATCH(t-pas/2-T_ini,CdP_t)</f>
        <v>23</v>
      </c>
      <c r="Q504" s="449" t="n">
        <f aca="false">(INDEX(CdP,2,i_P+1)-INDEX(CdP,2,i_P+0))/(INDEX(CdP,1,i_P+1)-INDEX(CdP,1,i_P+0))*(t-pas/2-T_ini-INDEX(CdP,1,i_P+0))+INDEX(CdP,2,i_P+0)</f>
        <v>0</v>
      </c>
      <c r="R504" s="450" t="n">
        <f aca="false">Poussee/(g*ISP)</f>
        <v>0</v>
      </c>
      <c r="S504" s="451" t="n">
        <f aca="false">S503-Débit*pas</f>
        <v>8.652</v>
      </c>
      <c r="T504" s="449" t="n">
        <f aca="false">m*g</f>
        <v>84.87612</v>
      </c>
      <c r="U504" s="453" t="n">
        <f aca="false">IF(pos_xz&lt;L_rampe,Poids*COS(Beta),0)</f>
        <v>0</v>
      </c>
      <c r="V504" s="450" t="n">
        <f aca="false">Rho_moyen*(20000-Alt_rampe-pos_z)/(20000+Alt_rampe+pos_z)</f>
        <v>1.06812131814248</v>
      </c>
      <c r="W504" s="449" t="n">
        <f aca="false">1/2*Rho*Sref*Cx*vit_xz^2</f>
        <v>4.85881303674118</v>
      </c>
      <c r="X504" s="438"/>
      <c r="Y504" s="454" t="str">
        <f aca="false">IF(AND(pos_z&lt;=0,K503&gt;0),"Impact balistique","") &amp; IF(AND(H505&lt;0,vit_z&gt;=0),"Apogée","") &amp; IF(AND(Poussee=0,Q503&gt;0),"Fin de propulsion","") &amp; IF(AND(L505&gt;L_rampe,pos_xz&lt;=L_rampe),"Sortie de rampe","")</f>
        <v/>
      </c>
      <c r="Z504" s="455" t="str">
        <f aca="false">IF(ABS(t-T_para)&lt;pas/2,"Para","")</f>
        <v/>
      </c>
      <c r="AA504" s="456" t="str">
        <f aca="false">IF(ABS(t-T_satellite)&lt;pas/2,"Satellite","")</f>
        <v/>
      </c>
      <c r="AB504" s="444"/>
      <c r="AC504" s="452" t="n">
        <f aca="false">IF(ABS(t-ROUND(t,0))&lt;0.001,t,NA())</f>
        <v>13.9999999999999</v>
      </c>
      <c r="AD504" s="457" t="n">
        <f aca="false">IF(ABS(t-ROUND(t,0))&lt;0.001,pos_x,NA())</f>
        <v>450.045008918815</v>
      </c>
      <c r="AE504" s="458" t="n">
        <f aca="false">IF(t&lt;T_para, pos_z, NA())</f>
        <v>1368.25453251286</v>
      </c>
      <c r="AF504" s="444"/>
      <c r="AG504" s="450" t="n">
        <f aca="false">IF(AND(L503&lt;L_rampe,Poussee&lt;Poids*SIN(M503)),0,(-W503+Poussee)/m-Poids*SIN(M503)/m)</f>
        <v>-7.869643606861</v>
      </c>
      <c r="AH504" s="449" t="n">
        <f aca="false">IF(AND(L503&lt;L_rampe,Poussee&lt;Poids*SIN(M503)), g*SIN(M503), (-W503+Poussee)/m)</f>
        <v>-0.581370566992964</v>
      </c>
    </row>
    <row r="505" customFormat="false" ht="12" hidden="false" customHeight="false" outlineLevel="0" collapsed="false">
      <c r="A505" s="448" t="n">
        <f aca="false">IF(B504+0.01&lt;=T_ini+ROUNDUP(Temps_fin_propu,0), 0.01, IF(K504&gt;0, 0.1, 0.0001))</f>
        <v>0.1</v>
      </c>
      <c r="B505" s="449" t="n">
        <f aca="false">B504+pas</f>
        <v>14.0999999999999</v>
      </c>
      <c r="C505" s="432"/>
      <c r="D505" s="450" t="n">
        <f aca="false">IF(AND(L504&lt;L_rampe,Poussee&lt;Poids*SIN(M504)),0,(-W504+Poussee)/m*COS(M504)-U504/m*SIN(M504))</f>
        <v>-0.381915224913149</v>
      </c>
      <c r="E505" s="451" t="n">
        <f aca="false">IF(AND(L504&lt;L_rampe,Poussee&lt;Poids*SIN(M504)),0,(-W504+Poussee)/m*SIN(M504)+U504/m*COS(M504)-Poids/m)</f>
        <v>-10.221722998061</v>
      </c>
      <c r="F505" s="449" t="n">
        <f aca="false">SQRT(acc_x^2+acc_z^2)</f>
        <v>10.2288552775034</v>
      </c>
      <c r="G505" s="450" t="n">
        <f aca="false">G504+acc_x*pas</f>
        <v>30.722066808284</v>
      </c>
      <c r="H505" s="451" t="n">
        <f aca="false">H504+acc_z*pas</f>
        <v>32.1388669961719</v>
      </c>
      <c r="I505" s="449" t="n">
        <f aca="false">SQRT(vit_x^2+vit_z^2)</f>
        <v>44.4606810650747</v>
      </c>
      <c r="J505" s="450" t="n">
        <f aca="false">J504+0.5*(vit_x+G504)*pas*(K504&gt;=0)</f>
        <v>453.119125175768</v>
      </c>
      <c r="K505" s="451" t="n">
        <f aca="false">K504+0.5*(vit_z+H504)*pas</f>
        <v>1371.51952782747</v>
      </c>
      <c r="L505" s="449" t="n">
        <f aca="false">SQRT(pos_x^2+pos_z^2)</f>
        <v>1444.43163798504</v>
      </c>
      <c r="M505" s="450" t="n">
        <f aca="false">IF(AND(L504&gt;L_rampe,G505&gt;0),ATAN2(G505,H505),$M$4)</f>
        <v>0.80793299175997</v>
      </c>
      <c r="N505" s="449" t="n">
        <f aca="false">DEGREES(Beta)</f>
        <v>46.2911505572242</v>
      </c>
      <c r="O505" s="438"/>
      <c r="P505" s="452" t="n">
        <f aca="false">MATCH(t-pas/2-T_ini,CdP_t)</f>
        <v>23</v>
      </c>
      <c r="Q505" s="449" t="n">
        <f aca="false">(INDEX(CdP,2,i_P+1)-INDEX(CdP,2,i_P+0))/(INDEX(CdP,1,i_P+1)-INDEX(CdP,1,i_P+0))*(t-pas/2-T_ini-INDEX(CdP,1,i_P+0))+INDEX(CdP,2,i_P+0)</f>
        <v>0</v>
      </c>
      <c r="R505" s="450" t="n">
        <f aca="false">Poussee/(g*ISP)</f>
        <v>0</v>
      </c>
      <c r="S505" s="451" t="n">
        <f aca="false">S504-Débit*pas</f>
        <v>8.652</v>
      </c>
      <c r="T505" s="449" t="n">
        <f aca="false">m*g</f>
        <v>84.87612</v>
      </c>
      <c r="U505" s="453" t="n">
        <f aca="false">IF(pos_xz&lt;L_rampe,Poids*COS(Beta),0)</f>
        <v>0</v>
      </c>
      <c r="V505" s="450" t="n">
        <f aca="false">Rho_moyen*(20000-Alt_rampe-pos_z)/(20000+Alt_rampe+pos_z)</f>
        <v>1.0677709906728</v>
      </c>
      <c r="W505" s="449" t="n">
        <f aca="false">1/2*Rho*Sref*Cx*vit_xz^2</f>
        <v>4.69317314467262</v>
      </c>
      <c r="X505" s="438"/>
      <c r="Y505" s="454" t="str">
        <f aca="false">IF(AND(pos_z&lt;=0,K504&gt;0),"Impact balistique","") &amp; IF(AND(H506&lt;0,vit_z&gt;=0),"Apogée","") &amp; IF(AND(Poussee=0,Q504&gt;0),"Fin de propulsion","") &amp; IF(AND(L506&gt;L_rampe,pos_xz&lt;=L_rampe),"Sortie de rampe","")</f>
        <v/>
      </c>
      <c r="Z505" s="455" t="str">
        <f aca="false">IF(ABS(t-T_para)&lt;pas/2,"Para","")</f>
        <v/>
      </c>
      <c r="AA505" s="456" t="str">
        <f aca="false">IF(ABS(t-T_satellite)&lt;pas/2,"Satellite","")</f>
        <v/>
      </c>
      <c r="AB505" s="444"/>
      <c r="AC505" s="452" t="e">
        <f aca="false">IF(ABS(t-ROUND(t,0))&lt;0.001,t,NA())</f>
        <v>#N/A</v>
      </c>
      <c r="AD505" s="457" t="e">
        <f aca="false">IF(ABS(t-ROUND(t,0))&lt;0.001,pos_x,NA())</f>
        <v>#N/A</v>
      </c>
      <c r="AE505" s="458" t="n">
        <f aca="false">IF(t&lt;T_para, pos_z, NA())</f>
        <v>1371.51952782747</v>
      </c>
      <c r="AF505" s="444"/>
      <c r="AG505" s="450" t="n">
        <f aca="false">IF(AND(L504&lt;L_rampe,Poussee&lt;Poids*SIN(M504)),0,(-W504+Poussee)/m-Poids*SIN(M504)/m)</f>
        <v>-7.75376113006521</v>
      </c>
      <c r="AH505" s="449" t="n">
        <f aca="false">IF(AND(L504&lt;L_rampe,Poussee&lt;Poids*SIN(M504)), g*SIN(M504), (-W504+Poussee)/m)</f>
        <v>-0.561582644098611</v>
      </c>
    </row>
    <row r="506" customFormat="false" ht="12" hidden="false" customHeight="false" outlineLevel="0" collapsed="false">
      <c r="A506" s="448" t="n">
        <f aca="false">IF(B505+0.01&lt;=T_ini+ROUNDUP(Temps_fin_propu,0), 0.01, IF(K505&gt;0, 0.1, 0.0001))</f>
        <v>0.1</v>
      </c>
      <c r="B506" s="449" t="n">
        <f aca="false">B505+pas</f>
        <v>14.1999999999999</v>
      </c>
      <c r="C506" s="432"/>
      <c r="D506" s="450" t="n">
        <f aca="false">IF(AND(L505&lt;L_rampe,Poussee&lt;Poids*SIN(M505)),0,(-W505+Poussee)/m*COS(M505)-U505/m*SIN(M505))</f>
        <v>-0.374821404993237</v>
      </c>
      <c r="E506" s="451" t="n">
        <f aca="false">IF(AND(L505&lt;L_rampe,Poussee&lt;Poids*SIN(M505)),0,(-W505+Poussee)/m*SIN(M505)+U505/m*COS(M505)-Poids/m)</f>
        <v>-10.2021069294449</v>
      </c>
      <c r="F506" s="449" t="n">
        <f aca="false">SQRT(acc_x^2+acc_z^2)</f>
        <v>10.2089900032015</v>
      </c>
      <c r="G506" s="450" t="n">
        <f aca="false">G505+acc_x*pas</f>
        <v>30.6845846677846</v>
      </c>
      <c r="H506" s="451" t="n">
        <f aca="false">H505+acc_z*pas</f>
        <v>31.1186563032274</v>
      </c>
      <c r="I506" s="449" t="n">
        <f aca="false">SQRT(vit_x^2+vit_z^2)</f>
        <v>43.7025686470811</v>
      </c>
      <c r="J506" s="450" t="n">
        <f aca="false">J505+0.5*(vit_x+G505)*pas*(K505&gt;=0)</f>
        <v>456.189457749572</v>
      </c>
      <c r="K506" s="451" t="n">
        <f aca="false">K505+0.5*(vit_z+H505)*pas</f>
        <v>1374.68240399244</v>
      </c>
      <c r="L506" s="449" t="n">
        <f aca="false">SQRT(pos_x^2+pos_z^2)</f>
        <v>1448.39930033409</v>
      </c>
      <c r="M506" s="450" t="n">
        <f aca="false">IF(AND(L505&gt;L_rampe,G506&gt;0),ATAN2(G506,H506),$M$4)</f>
        <v>0.792421492456364</v>
      </c>
      <c r="N506" s="449" t="n">
        <f aca="false">DEGREES(Beta)</f>
        <v>45.4024071132075</v>
      </c>
      <c r="O506" s="438"/>
      <c r="P506" s="452" t="n">
        <f aca="false">MATCH(t-pas/2-T_ini,CdP_t)</f>
        <v>23</v>
      </c>
      <c r="Q506" s="449" t="n">
        <f aca="false">(INDEX(CdP,2,i_P+1)-INDEX(CdP,2,i_P+0))/(INDEX(CdP,1,i_P+1)-INDEX(CdP,1,i_P+0))*(t-pas/2-T_ini-INDEX(CdP,1,i_P+0))+INDEX(CdP,2,i_P+0)</f>
        <v>0</v>
      </c>
      <c r="R506" s="450" t="n">
        <f aca="false">Poussee/(g*ISP)</f>
        <v>0</v>
      </c>
      <c r="S506" s="451" t="n">
        <f aca="false">S505-Débit*pas</f>
        <v>8.652</v>
      </c>
      <c r="T506" s="449" t="n">
        <f aca="false">m*g</f>
        <v>84.87612</v>
      </c>
      <c r="U506" s="453" t="n">
        <f aca="false">IF(pos_xz&lt;L_rampe,Poids*COS(Beta),0)</f>
        <v>0</v>
      </c>
      <c r="V506" s="450" t="n">
        <f aca="false">Rho_moyen*(20000-Alt_rampe-pos_z)/(20000+Alt_rampe+pos_z)</f>
        <v>1.06743172244036</v>
      </c>
      <c r="W506" s="449" t="n">
        <f aca="false">1/2*Rho*Sref*Cx*vit_xz^2</f>
        <v>4.53304749627063</v>
      </c>
      <c r="X506" s="438"/>
      <c r="Y506" s="454" t="str">
        <f aca="false">IF(AND(pos_z&lt;=0,K505&gt;0),"Impact balistique","") &amp; IF(AND(H507&lt;0,vit_z&gt;=0),"Apogée","") &amp; IF(AND(Poussee=0,Q505&gt;0),"Fin de propulsion","") &amp; IF(AND(L507&gt;L_rampe,pos_xz&lt;=L_rampe),"Sortie de rampe","")</f>
        <v/>
      </c>
      <c r="Z506" s="455" t="str">
        <f aca="false">IF(ABS(t-T_para)&lt;pas/2,"Para","")</f>
        <v/>
      </c>
      <c r="AA506" s="456" t="str">
        <f aca="false">IF(ABS(t-T_satellite)&lt;pas/2,"Satellite","")</f>
        <v/>
      </c>
      <c r="AB506" s="444"/>
      <c r="AC506" s="452" t="e">
        <f aca="false">IF(ABS(t-ROUND(t,0))&lt;0.001,t,NA())</f>
        <v>#N/A</v>
      </c>
      <c r="AD506" s="457" t="e">
        <f aca="false">IF(ABS(t-ROUND(t,0))&lt;0.001,pos_x,NA())</f>
        <v>#N/A</v>
      </c>
      <c r="AE506" s="458" t="n">
        <f aca="false">IF(t&lt;T_para, pos_z, NA())</f>
        <v>1374.68240399244</v>
      </c>
      <c r="AF506" s="444"/>
      <c r="AG506" s="450" t="n">
        <f aca="false">IF(AND(L505&lt;L_rampe,Poussee&lt;Poids*SIN(M505)),0,(-W505+Poussee)/m-Poids*SIN(M505)/m)</f>
        <v>-7.6336987603669</v>
      </c>
      <c r="AH506" s="449" t="n">
        <f aca="false">IF(AND(L505&lt;L_rampe,Poussee&lt;Poids*SIN(M505)), g*SIN(M505), (-W505+Poussee)/m)</f>
        <v>-0.54243795014709</v>
      </c>
    </row>
    <row r="507" customFormat="false" ht="12" hidden="false" customHeight="false" outlineLevel="0" collapsed="false">
      <c r="A507" s="448" t="n">
        <f aca="false">IF(B506+0.01&lt;=T_ini+ROUNDUP(Temps_fin_propu,0), 0.01, IF(K506&gt;0, 0.1, 0.0001))</f>
        <v>0.1</v>
      </c>
      <c r="B507" s="449" t="n">
        <f aca="false">B506+pas</f>
        <v>14.2999999999999</v>
      </c>
      <c r="C507" s="432"/>
      <c r="D507" s="450" t="n">
        <f aca="false">IF(AND(L506&lt;L_rampe,Poussee&lt;Poids*SIN(M506)),0,(-W506+Poussee)/m*COS(M506)-U506/m*SIN(M506))</f>
        <v>-0.367863792875897</v>
      </c>
      <c r="E507" s="451" t="n">
        <f aca="false">IF(AND(L506&lt;L_rampe,Poussee&lt;Poids*SIN(M506)),0,(-W506+Poussee)/m*SIN(M506)+U506/m*COS(M506)-Poids/m)</f>
        <v>-10.1830676840129</v>
      </c>
      <c r="F507" s="449" t="n">
        <f aca="false">SQRT(acc_x^2+acc_z^2)</f>
        <v>10.1897100659094</v>
      </c>
      <c r="G507" s="450" t="n">
        <f aca="false">G506+acc_x*pas</f>
        <v>30.647798288497</v>
      </c>
      <c r="H507" s="451" t="n">
        <f aca="false">H506+acc_z*pas</f>
        <v>30.1003495348261</v>
      </c>
      <c r="I507" s="449" t="n">
        <f aca="false">SQRT(vit_x^2+vit_z^2)</f>
        <v>42.9571714856915</v>
      </c>
      <c r="J507" s="450" t="n">
        <f aca="false">J506+0.5*(vit_x+G506)*pas*(K506&gt;=0)</f>
        <v>459.256076897386</v>
      </c>
      <c r="K507" s="451" t="n">
        <f aca="false">K506+0.5*(vit_z+H506)*pas</f>
        <v>1377.74335428434</v>
      </c>
      <c r="L507" s="449" t="n">
        <f aca="false">SQRT(pos_x^2+pos_z^2)</f>
        <v>1452.27163245787</v>
      </c>
      <c r="M507" s="450" t="n">
        <f aca="false">IF(AND(L506&gt;L_rampe,G507&gt;0),ATAN2(G507,H507),$M$4)</f>
        <v>0.776386630467093</v>
      </c>
      <c r="N507" s="449" t="n">
        <f aca="false">DEGREES(Beta)</f>
        <v>44.4836771961475</v>
      </c>
      <c r="O507" s="438"/>
      <c r="P507" s="452" t="n">
        <f aca="false">MATCH(t-pas/2-T_ini,CdP_t)</f>
        <v>23</v>
      </c>
      <c r="Q507" s="449" t="n">
        <f aca="false">(INDEX(CdP,2,i_P+1)-INDEX(CdP,2,i_P+0))/(INDEX(CdP,1,i_P+1)-INDEX(CdP,1,i_P+0))*(t-pas/2-T_ini-INDEX(CdP,1,i_P+0))+INDEX(CdP,2,i_P+0)</f>
        <v>0</v>
      </c>
      <c r="R507" s="450" t="n">
        <f aca="false">Poussee/(g*ISP)</f>
        <v>0</v>
      </c>
      <c r="S507" s="451" t="n">
        <f aca="false">S506-Débit*pas</f>
        <v>8.652</v>
      </c>
      <c r="T507" s="449" t="n">
        <f aca="false">m*g</f>
        <v>84.87612</v>
      </c>
      <c r="U507" s="453" t="n">
        <f aca="false">IF(pos_xz&lt;L_rampe,Poids*COS(Beta),0)</f>
        <v>0</v>
      </c>
      <c r="V507" s="450" t="n">
        <f aca="false">Rho_moyen*(20000-Alt_rampe-pos_z)/(20000+Alt_rampe+pos_z)</f>
        <v>1.06710348295157</v>
      </c>
      <c r="W507" s="449" t="n">
        <f aca="false">1/2*Rho*Sref*Cx*vit_xz^2</f>
        <v>4.37838683631295</v>
      </c>
      <c r="X507" s="438"/>
      <c r="Y507" s="454" t="str">
        <f aca="false">IF(AND(pos_z&lt;=0,K506&gt;0),"Impact balistique","") &amp; IF(AND(H508&lt;0,vit_z&gt;=0),"Apogée","") &amp; IF(AND(Poussee=0,Q506&gt;0),"Fin de propulsion","") &amp; IF(AND(L508&gt;L_rampe,pos_xz&lt;=L_rampe),"Sortie de rampe","")</f>
        <v/>
      </c>
      <c r="Z507" s="455" t="str">
        <f aca="false">IF(ABS(t-T_para)&lt;pas/2,"Para","")</f>
        <v/>
      </c>
      <c r="AA507" s="456" t="str">
        <f aca="false">IF(ABS(t-T_satellite)&lt;pas/2,"Satellite","")</f>
        <v/>
      </c>
      <c r="AB507" s="444"/>
      <c r="AC507" s="452" t="e">
        <f aca="false">IF(ABS(t-ROUND(t,0))&lt;0.001,t,NA())</f>
        <v>#N/A</v>
      </c>
      <c r="AD507" s="457" t="e">
        <f aca="false">IF(ABS(t-ROUND(t,0))&lt;0.001,pos_x,NA())</f>
        <v>#N/A</v>
      </c>
      <c r="AE507" s="458" t="n">
        <f aca="false">IF(t&lt;T_para, pos_z, NA())</f>
        <v>1377.74335428434</v>
      </c>
      <c r="AF507" s="444"/>
      <c r="AG507" s="450" t="n">
        <f aca="false">IF(AND(L506&lt;L_rampe,Poussee&lt;Poids*SIN(M506)),0,(-W506+Poussee)/m-Poids*SIN(M506)/m)</f>
        <v>-7.50919548276778</v>
      </c>
      <c r="AH507" s="449" t="n">
        <f aca="false">IF(AND(L506&lt;L_rampe,Poussee&lt;Poids*SIN(M506)), g*SIN(M506), (-W506+Poussee)/m)</f>
        <v>-0.523930593651252</v>
      </c>
    </row>
    <row r="508" customFormat="false" ht="12" hidden="false" customHeight="false" outlineLevel="0" collapsed="false">
      <c r="A508" s="448" t="n">
        <f aca="false">IF(B507+0.01&lt;=T_ini+ROUNDUP(Temps_fin_propu,0), 0.01, IF(K507&gt;0, 0.1, 0.0001))</f>
        <v>0.1</v>
      </c>
      <c r="B508" s="449" t="n">
        <f aca="false">B507+pas</f>
        <v>14.3999999999999</v>
      </c>
      <c r="C508" s="432"/>
      <c r="D508" s="450" t="n">
        <f aca="false">IF(AND(L507&lt;L_rampe,Poussee&lt;Poids*SIN(M507)),0,(-W507+Poussee)/m*COS(M507)-U507/m*SIN(M507))</f>
        <v>-0.361044905898104</v>
      </c>
      <c r="E508" s="451" t="n">
        <f aca="false">IF(AND(L507&lt;L_rampe,Poussee&lt;Poids*SIN(M507)),0,(-W507+Poussee)/m*SIN(M507)+U507/m*COS(M507)-Poids/m)</f>
        <v>-10.164595712325</v>
      </c>
      <c r="F508" s="449" t="n">
        <f aca="false">SQRT(acc_x^2+acc_z^2)</f>
        <v>10.1710058214067</v>
      </c>
      <c r="G508" s="450" t="n">
        <f aca="false">G507+acc_x*pas</f>
        <v>30.6116937979072</v>
      </c>
      <c r="H508" s="451" t="n">
        <f aca="false">H507+acc_z*pas</f>
        <v>29.0838899635936</v>
      </c>
      <c r="I508" s="449" t="n">
        <f aca="false">SQRT(vit_x^2+vit_z^2)</f>
        <v>42.2249742757915</v>
      </c>
      <c r="J508" s="450" t="n">
        <f aca="false">J507+0.5*(vit_x+G507)*pas*(K507&gt;=0)</f>
        <v>462.319051501706</v>
      </c>
      <c r="K508" s="451" t="n">
        <f aca="false">K507+0.5*(vit_z+H507)*pas</f>
        <v>1380.70256625926</v>
      </c>
      <c r="L508" s="449" t="n">
        <f aca="false">SQRT(pos_x^2+pos_z^2)</f>
        <v>1456.0489283868</v>
      </c>
      <c r="M508" s="450" t="n">
        <f aca="false">IF(AND(L507&gt;L_rampe,G508&gt;0),ATAN2(G508,H508),$M$4)</f>
        <v>0.759810501943875</v>
      </c>
      <c r="N508" s="449" t="n">
        <f aca="false">DEGREES(Beta)</f>
        <v>43.5339349911006</v>
      </c>
      <c r="O508" s="438"/>
      <c r="P508" s="452" t="n">
        <f aca="false">MATCH(t-pas/2-T_ini,CdP_t)</f>
        <v>23</v>
      </c>
      <c r="Q508" s="449" t="n">
        <f aca="false">(INDEX(CdP,2,i_P+1)-INDEX(CdP,2,i_P+0))/(INDEX(CdP,1,i_P+1)-INDEX(CdP,1,i_P+0))*(t-pas/2-T_ini-INDEX(CdP,1,i_P+0))+INDEX(CdP,2,i_P+0)</f>
        <v>0</v>
      </c>
      <c r="R508" s="450" t="n">
        <f aca="false">Poussee/(g*ISP)</f>
        <v>0</v>
      </c>
      <c r="S508" s="451" t="n">
        <f aca="false">S507-Débit*pas</f>
        <v>8.652</v>
      </c>
      <c r="T508" s="449" t="n">
        <f aca="false">m*g</f>
        <v>84.87612</v>
      </c>
      <c r="U508" s="453" t="n">
        <f aca="false">IF(pos_xz&lt;L_rampe,Poids*COS(Beta),0)</f>
        <v>0</v>
      </c>
      <c r="V508" s="450" t="n">
        <f aca="false">Rho_moyen*(20000-Alt_rampe-pos_z)/(20000+Alt_rampe+pos_z)</f>
        <v>1.0667862426713</v>
      </c>
      <c r="W508" s="449" t="n">
        <f aca="false">1/2*Rho*Sref*Cx*vit_xz^2</f>
        <v>4.22914358889127</v>
      </c>
      <c r="X508" s="438"/>
      <c r="Y508" s="454" t="str">
        <f aca="false">IF(AND(pos_z&lt;=0,K507&gt;0),"Impact balistique","") &amp; IF(AND(H509&lt;0,vit_z&gt;=0),"Apogée","") &amp; IF(AND(Poussee=0,Q507&gt;0),"Fin de propulsion","") &amp; IF(AND(L509&gt;L_rampe,pos_xz&lt;=L_rampe),"Sortie de rampe","")</f>
        <v/>
      </c>
      <c r="Z508" s="455" t="str">
        <f aca="false">IF(ABS(t-T_para)&lt;pas/2,"Para","")</f>
        <v/>
      </c>
      <c r="AA508" s="456" t="str">
        <f aca="false">IF(ABS(t-T_satellite)&lt;pas/2,"Satellite","")</f>
        <v/>
      </c>
      <c r="AB508" s="444"/>
      <c r="AC508" s="452" t="e">
        <f aca="false">IF(ABS(t-ROUND(t,0))&lt;0.001,t,NA())</f>
        <v>#N/A</v>
      </c>
      <c r="AD508" s="457" t="e">
        <f aca="false">IF(ABS(t-ROUND(t,0))&lt;0.001,pos_x,NA())</f>
        <v>#N/A</v>
      </c>
      <c r="AE508" s="458" t="n">
        <f aca="false">IF(t&lt;T_para, pos_z, NA())</f>
        <v>1380.70256625926</v>
      </c>
      <c r="AF508" s="444"/>
      <c r="AG508" s="450" t="n">
        <f aca="false">IF(AND(L507&lt;L_rampe,Poussee&lt;Poids*SIN(M507)),0,(-W507+Poussee)/m-Poids*SIN(M507)/m)</f>
        <v>-7.37998113716185</v>
      </c>
      <c r="AH508" s="449" t="n">
        <f aca="false">IF(AND(L507&lt;L_rampe,Poussee&lt;Poids*SIN(M507)), g*SIN(M507), (-W507+Poussee)/m)</f>
        <v>-0.506054881682034</v>
      </c>
    </row>
    <row r="509" customFormat="false" ht="12" hidden="false" customHeight="false" outlineLevel="0" collapsed="false">
      <c r="A509" s="448" t="n">
        <f aca="false">IF(B508+0.01&lt;=T_ini+ROUNDUP(Temps_fin_propu,0), 0.01, IF(K508&gt;0, 0.1, 0.0001))</f>
        <v>0.1</v>
      </c>
      <c r="B509" s="449" t="n">
        <f aca="false">B508+pas</f>
        <v>14.4999999999999</v>
      </c>
      <c r="C509" s="432"/>
      <c r="D509" s="450" t="n">
        <f aca="false">IF(AND(L508&lt;L_rampe,Poussee&lt;Poids*SIN(M508)),0,(-W508+Poussee)/m*COS(M508)-U508/m*SIN(M508))</f>
        <v>-0.354367501665278</v>
      </c>
      <c r="E509" s="451" t="n">
        <f aca="false">IF(AND(L508&lt;L_rampe,Poussee&lt;Poids*SIN(M508)),0,(-W508+Poussee)/m*SIN(M508)+U508/m*COS(M508)-Poids/m)</f>
        <v>-10.1466813183598</v>
      </c>
      <c r="F509" s="449" t="n">
        <f aca="false">SQRT(acc_x^2+acc_z^2)</f>
        <v>10.1528674817801</v>
      </c>
      <c r="G509" s="450" t="n">
        <f aca="false">G508+acc_x*pas</f>
        <v>30.5762570477407</v>
      </c>
      <c r="H509" s="451" t="n">
        <f aca="false">H508+acc_z*pas</f>
        <v>28.0692218317576</v>
      </c>
      <c r="I509" s="449" t="n">
        <f aca="false">SQRT(vit_x^2+vit_z^2)</f>
        <v>41.5064899659069</v>
      </c>
      <c r="J509" s="450" t="n">
        <f aca="false">J508+0.5*(vit_x+G508)*pas*(K508&gt;=0)</f>
        <v>465.378449043988</v>
      </c>
      <c r="K509" s="451" t="n">
        <f aca="false">K508+0.5*(vit_z+H508)*pas</f>
        <v>1383.56022184903</v>
      </c>
      <c r="L509" s="449" t="n">
        <f aca="false">SQRT(pos_x^2+pos_z^2)</f>
        <v>1459.73147815532</v>
      </c>
      <c r="M509" s="450" t="n">
        <f aca="false">IF(AND(L508&gt;L_rampe,G509&gt;0),ATAN2(G509,H509),$M$4)</f>
        <v>0.742675181957461</v>
      </c>
      <c r="N509" s="449" t="n">
        <f aca="false">DEGREES(Beta)</f>
        <v>42.552153475273</v>
      </c>
      <c r="O509" s="438"/>
      <c r="P509" s="452" t="n">
        <f aca="false">MATCH(t-pas/2-T_ini,CdP_t)</f>
        <v>23</v>
      </c>
      <c r="Q509" s="449" t="n">
        <f aca="false">(INDEX(CdP,2,i_P+1)-INDEX(CdP,2,i_P+0))/(INDEX(CdP,1,i_P+1)-INDEX(CdP,1,i_P+0))*(t-pas/2-T_ini-INDEX(CdP,1,i_P+0))+INDEX(CdP,2,i_P+0)</f>
        <v>0</v>
      </c>
      <c r="R509" s="450" t="n">
        <f aca="false">Poussee/(g*ISP)</f>
        <v>0</v>
      </c>
      <c r="S509" s="451" t="n">
        <f aca="false">S508-Débit*pas</f>
        <v>8.652</v>
      </c>
      <c r="T509" s="449" t="n">
        <f aca="false">m*g</f>
        <v>84.87612</v>
      </c>
      <c r="U509" s="453" t="n">
        <f aca="false">IF(pos_xz&lt;L_rampe,Poids*COS(Beta),0)</f>
        <v>0</v>
      </c>
      <c r="V509" s="450" t="n">
        <f aca="false">Rho_moyen*(20000-Alt_rampe-pos_z)/(20000+Alt_rampe+pos_z)</f>
        <v>1.06647997300905</v>
      </c>
      <c r="W509" s="449" t="n">
        <f aca="false">1/2*Rho*Sref*Cx*vit_xz^2</f>
        <v>4.08527181945981</v>
      </c>
      <c r="X509" s="438"/>
      <c r="Y509" s="454" t="str">
        <f aca="false">IF(AND(pos_z&lt;=0,K508&gt;0),"Impact balistique","") &amp; IF(AND(H510&lt;0,vit_z&gt;=0),"Apogée","") &amp; IF(AND(Poussee=0,Q508&gt;0),"Fin de propulsion","") &amp; IF(AND(L510&gt;L_rampe,pos_xz&lt;=L_rampe),"Sortie de rampe","")</f>
        <v/>
      </c>
      <c r="Z509" s="455" t="str">
        <f aca="false">IF(ABS(t-T_para)&lt;pas/2,"Para","")</f>
        <v/>
      </c>
      <c r="AA509" s="456" t="str">
        <f aca="false">IF(ABS(t-T_satellite)&lt;pas/2,"Satellite","")</f>
        <v/>
      </c>
      <c r="AB509" s="444"/>
      <c r="AC509" s="452" t="e">
        <f aca="false">IF(ABS(t-ROUND(t,0))&lt;0.001,t,NA())</f>
        <v>#N/A</v>
      </c>
      <c r="AD509" s="457" t="e">
        <f aca="false">IF(ABS(t-ROUND(t,0))&lt;0.001,pos_x,NA())</f>
        <v>#N/A</v>
      </c>
      <c r="AE509" s="458" t="n">
        <f aca="false">IF(t&lt;T_para, pos_z, NA())</f>
        <v>1383.56022184903</v>
      </c>
      <c r="AF509" s="444"/>
      <c r="AG509" s="450" t="n">
        <f aca="false">IF(AND(L508&lt;L_rampe,Poussee&lt;Poids*SIN(M508)),0,(-W508+Poussee)/m-Poids*SIN(M508)/m)</f>
        <v>-7.24577711790683</v>
      </c>
      <c r="AH509" s="449" t="n">
        <f aca="false">IF(AND(L508&lt;L_rampe,Poussee&lt;Poids*SIN(M508)), g*SIN(M508), (-W508+Poussee)/m)</f>
        <v>-0.488805315405834</v>
      </c>
    </row>
    <row r="510" customFormat="false" ht="12" hidden="false" customHeight="false" outlineLevel="0" collapsed="false">
      <c r="A510" s="448" t="n">
        <f aca="false">IF(B509+0.01&lt;=T_ini+ROUNDUP(Temps_fin_propu,0), 0.01, IF(K509&gt;0, 0.1, 0.0001))</f>
        <v>0.1</v>
      </c>
      <c r="B510" s="449" t="n">
        <f aca="false">B509+pas</f>
        <v>14.5999999999999</v>
      </c>
      <c r="C510" s="432"/>
      <c r="D510" s="450" t="n">
        <f aca="false">IF(AND(L509&lt;L_rampe,Poussee&lt;Poids*SIN(M509)),0,(-W509+Poussee)/m*COS(M509)-U509/m*SIN(M509))</f>
        <v>-0.347834583653975</v>
      </c>
      <c r="E510" s="451" t="n">
        <f aca="false">IF(AND(L509&lt;L_rampe,Poussee&lt;Poids*SIN(M509)),0,(-W509+Poussee)/m*SIN(M509)+U509/m*COS(M509)-Poids/m)</f>
        <v>-10.1293146261852</v>
      </c>
      <c r="F510" s="449" t="n">
        <f aca="false">SQRT(acc_x^2+acc_z^2)</f>
        <v>10.1352850820208</v>
      </c>
      <c r="G510" s="450" t="n">
        <f aca="false">G509+acc_x*pas</f>
        <v>30.5414735893753</v>
      </c>
      <c r="H510" s="451" t="n">
        <f aca="false">H509+acc_z*pas</f>
        <v>27.0562903691391</v>
      </c>
      <c r="I510" s="449" t="n">
        <f aca="false">SQRT(vit_x^2+vit_z^2)</f>
        <v>40.8022604465694</v>
      </c>
      <c r="J510" s="450" t="n">
        <f aca="false">J509+0.5*(vit_x+G509)*pas*(K509&gt;=0)</f>
        <v>468.434335575844</v>
      </c>
      <c r="K510" s="451" t="n">
        <f aca="false">K509+0.5*(vit_z+H509)*pas</f>
        <v>1386.31649745907</v>
      </c>
      <c r="L510" s="449" t="n">
        <f aca="false">SQRT(pos_x^2+pos_z^2)</f>
        <v>1463.31956792547</v>
      </c>
      <c r="M510" s="450" t="n">
        <f aca="false">IF(AND(L509&gt;L_rampe,G510&gt;0),ATAN2(G510,H510),$M$4)</f>
        <v>0.724962847488942</v>
      </c>
      <c r="N510" s="449" t="n">
        <f aca="false">DEGREES(Beta)</f>
        <v>41.5373114649028</v>
      </c>
      <c r="O510" s="438"/>
      <c r="P510" s="452" t="n">
        <f aca="false">MATCH(t-pas/2-T_ini,CdP_t)</f>
        <v>23</v>
      </c>
      <c r="Q510" s="449" t="n">
        <f aca="false">(INDEX(CdP,2,i_P+1)-INDEX(CdP,2,i_P+0))/(INDEX(CdP,1,i_P+1)-INDEX(CdP,1,i_P+0))*(t-pas/2-T_ini-INDEX(CdP,1,i_P+0))+INDEX(CdP,2,i_P+0)</f>
        <v>0</v>
      </c>
      <c r="R510" s="450" t="n">
        <f aca="false">Poussee/(g*ISP)</f>
        <v>0</v>
      </c>
      <c r="S510" s="451" t="n">
        <f aca="false">S509-Débit*pas</f>
        <v>8.652</v>
      </c>
      <c r="T510" s="449" t="n">
        <f aca="false">m*g</f>
        <v>84.87612</v>
      </c>
      <c r="U510" s="453" t="n">
        <f aca="false">IF(pos_xz&lt;L_rampe,Poids*COS(Beta),0)</f>
        <v>0</v>
      </c>
      <c r="V510" s="450" t="n">
        <f aca="false">Rho_moyen*(20000-Alt_rampe-pos_z)/(20000+Alt_rampe+pos_z)</f>
        <v>1.06618464630511</v>
      </c>
      <c r="W510" s="449" t="n">
        <f aca="false">1/2*Rho*Sref*Cx*vit_xz^2</f>
        <v>3.94672719745362</v>
      </c>
      <c r="X510" s="438"/>
      <c r="Y510" s="454" t="str">
        <f aca="false">IF(AND(pos_z&lt;=0,K509&gt;0),"Impact balistique","") &amp; IF(AND(H511&lt;0,vit_z&gt;=0),"Apogée","") &amp; IF(AND(Poussee=0,Q509&gt;0),"Fin de propulsion","") &amp; IF(AND(L511&gt;L_rampe,pos_xz&lt;=L_rampe),"Sortie de rampe","")</f>
        <v/>
      </c>
      <c r="Z510" s="455" t="str">
        <f aca="false">IF(ABS(t-T_para)&lt;pas/2,"Para","")</f>
        <v/>
      </c>
      <c r="AA510" s="456" t="str">
        <f aca="false">IF(ABS(t-T_satellite)&lt;pas/2,"Satellite","")</f>
        <v/>
      </c>
      <c r="AB510" s="444"/>
      <c r="AC510" s="452" t="e">
        <f aca="false">IF(ABS(t-ROUND(t,0))&lt;0.001,t,NA())</f>
        <v>#N/A</v>
      </c>
      <c r="AD510" s="457" t="e">
        <f aca="false">IF(ABS(t-ROUND(t,0))&lt;0.001,pos_x,NA())</f>
        <v>#N/A</v>
      </c>
      <c r="AE510" s="458" t="n">
        <f aca="false">IF(t&lt;T_para, pos_z, NA())</f>
        <v>1386.31649745907</v>
      </c>
      <c r="AF510" s="444"/>
      <c r="AG510" s="450" t="n">
        <f aca="false">IF(AND(L509&lt;L_rampe,Poussee&lt;Poids*SIN(M509)),0,(-W509+Poussee)/m-Poids*SIN(M509)/m)</f>
        <v>-7.10629733153132</v>
      </c>
      <c r="AH510" s="449" t="n">
        <f aca="false">IF(AND(L509&lt;L_rampe,Poussee&lt;Poids*SIN(M509)), g*SIN(M509), (-W509+Poussee)/m)</f>
        <v>-0.472176585698082</v>
      </c>
    </row>
    <row r="511" customFormat="false" ht="12" hidden="false" customHeight="false" outlineLevel="0" collapsed="false">
      <c r="A511" s="448" t="n">
        <f aca="false">IF(B510+0.01&lt;=T_ini+ROUNDUP(Temps_fin_propu,0), 0.01, IF(K510&gt;0, 0.1, 0.0001))</f>
        <v>0.1</v>
      </c>
      <c r="B511" s="449" t="n">
        <f aca="false">B510+pas</f>
        <v>14.6999999999999</v>
      </c>
      <c r="C511" s="432"/>
      <c r="D511" s="450" t="n">
        <f aca="false">IF(AND(L510&lt;L_rampe,Poussee&lt;Poids*SIN(M510)),0,(-W510+Poussee)/m*COS(M510)-U510/m*SIN(M510))</f>
        <v>-0.341449405918974</v>
      </c>
      <c r="E511" s="451" t="n">
        <f aca="false">IF(AND(L510&lt;L_rampe,Poussee&lt;Poids*SIN(M510)),0,(-W510+Poussee)/m*SIN(M510)+U510/m*COS(M510)-Poids/m)</f>
        <v>-10.112485544644</v>
      </c>
      <c r="F511" s="449" t="n">
        <f aca="false">SQRT(acc_x^2+acc_z^2)</f>
        <v>10.1182484446389</v>
      </c>
      <c r="G511" s="450" t="n">
        <f aca="false">G510+acc_x*pas</f>
        <v>30.5073286487834</v>
      </c>
      <c r="H511" s="451" t="n">
        <f aca="false">H510+acc_z*pas</f>
        <v>26.0450418146747</v>
      </c>
      <c r="I511" s="449" t="n">
        <f aca="false">SQRT(vit_x^2+vit_z^2)</f>
        <v>40.1128570961111</v>
      </c>
      <c r="J511" s="450" t="n">
        <f aca="false">J510+0.5*(vit_x+G510)*pas*(K510&gt;=0)</f>
        <v>471.486775687752</v>
      </c>
      <c r="K511" s="451" t="n">
        <f aca="false">K510+0.5*(vit_z+H510)*pas</f>
        <v>1388.97156406826</v>
      </c>
      <c r="L511" s="449" t="n">
        <f aca="false">SQRT(pos_x^2+pos_z^2)</f>
        <v>1466.81348011213</v>
      </c>
      <c r="M511" s="450" t="n">
        <f aca="false">IF(AND(L510&gt;L_rampe,G511&gt;0),ATAN2(G511,H511),$M$4)</f>
        <v>0.706655921172781</v>
      </c>
      <c r="N511" s="449" t="n">
        <f aca="false">DEGREES(Beta)</f>
        <v>40.4884018511297</v>
      </c>
      <c r="O511" s="438"/>
      <c r="P511" s="452" t="n">
        <f aca="false">MATCH(t-pas/2-T_ini,CdP_t)</f>
        <v>23</v>
      </c>
      <c r="Q511" s="449" t="n">
        <f aca="false">(INDEX(CdP,2,i_P+1)-INDEX(CdP,2,i_P+0))/(INDEX(CdP,1,i_P+1)-INDEX(CdP,1,i_P+0))*(t-pas/2-T_ini-INDEX(CdP,1,i_P+0))+INDEX(CdP,2,i_P+0)</f>
        <v>0</v>
      </c>
      <c r="R511" s="450" t="n">
        <f aca="false">Poussee/(g*ISP)</f>
        <v>0</v>
      </c>
      <c r="S511" s="451" t="n">
        <f aca="false">S510-Débit*pas</f>
        <v>8.652</v>
      </c>
      <c r="T511" s="449" t="n">
        <f aca="false">m*g</f>
        <v>84.87612</v>
      </c>
      <c r="U511" s="453" t="n">
        <f aca="false">IF(pos_xz&lt;L_rampe,Poids*COS(Beta),0)</f>
        <v>0</v>
      </c>
      <c r="V511" s="450" t="n">
        <f aca="false">Rho_moyen*(20000-Alt_rampe-pos_z)/(20000+Alt_rampe+pos_z)</f>
        <v>1.06590023581667</v>
      </c>
      <c r="W511" s="449" t="n">
        <f aca="false">1/2*Rho*Sref*Cx*vit_xz^2</f>
        <v>3.81346695938504</v>
      </c>
      <c r="X511" s="438"/>
      <c r="Y511" s="454" t="str">
        <f aca="false">IF(AND(pos_z&lt;=0,K510&gt;0),"Impact balistique","") &amp; IF(AND(H512&lt;0,vit_z&gt;=0),"Apogée","") &amp; IF(AND(Poussee=0,Q510&gt;0),"Fin de propulsion","") &amp; IF(AND(L512&gt;L_rampe,pos_xz&lt;=L_rampe),"Sortie de rampe","")</f>
        <v/>
      </c>
      <c r="Z511" s="455" t="str">
        <f aca="false">IF(ABS(t-T_para)&lt;pas/2,"Para","")</f>
        <v/>
      </c>
      <c r="AA511" s="456" t="str">
        <f aca="false">IF(ABS(t-T_satellite)&lt;pas/2,"Satellite","")</f>
        <v/>
      </c>
      <c r="AB511" s="444"/>
      <c r="AC511" s="452" t="e">
        <f aca="false">IF(ABS(t-ROUND(t,0))&lt;0.001,t,NA())</f>
        <v>#N/A</v>
      </c>
      <c r="AD511" s="457" t="e">
        <f aca="false">IF(ABS(t-ROUND(t,0))&lt;0.001,pos_x,NA())</f>
        <v>#N/A</v>
      </c>
      <c r="AE511" s="458" t="n">
        <f aca="false">IF(t&lt;T_para, pos_z, NA())</f>
        <v>1388.97156406826</v>
      </c>
      <c r="AF511" s="444"/>
      <c r="AG511" s="450" t="n">
        <f aca="false">IF(AND(L510&lt;L_rampe,Poussee&lt;Poids*SIN(M510)),0,(-W510+Poussee)/m-Poids*SIN(M510)/m)</f>
        <v>-6.96124945417025</v>
      </c>
      <c r="AH511" s="449" t="n">
        <f aca="false">IF(AND(L510&lt;L_rampe,Poussee&lt;Poids*SIN(M510)), g*SIN(M510), (-W510+Poussee)/m)</f>
        <v>-0.456163568822657</v>
      </c>
    </row>
    <row r="512" customFormat="false" ht="12" hidden="false" customHeight="false" outlineLevel="0" collapsed="false">
      <c r="A512" s="448" t="n">
        <f aca="false">IF(B511+0.01&lt;=T_ini+ROUNDUP(Temps_fin_propu,0), 0.01, IF(K511&gt;0, 0.1, 0.0001))</f>
        <v>0.1</v>
      </c>
      <c r="B512" s="449" t="n">
        <f aca="false">B511+pas</f>
        <v>14.7999999999999</v>
      </c>
      <c r="C512" s="432"/>
      <c r="D512" s="450" t="n">
        <f aca="false">IF(AND(L511&lt;L_rampe,Poussee&lt;Poids*SIN(M511)),0,(-W511+Poussee)/m*COS(M511)-U511/m*SIN(M511))</f>
        <v>-0.335215476643548</v>
      </c>
      <c r="E512" s="451" t="n">
        <f aca="false">IF(AND(L511&lt;L_rampe,Poussee&lt;Poids*SIN(M511)),0,(-W511+Poussee)/m*SIN(M511)+U511/m*COS(M511)-Poids/m)</f>
        <v>-10.0961837300348</v>
      </c>
      <c r="F512" s="449" t="n">
        <f aca="false">SQRT(acc_x^2+acc_z^2)</f>
        <v>10.101747142272</v>
      </c>
      <c r="G512" s="450" t="n">
        <f aca="false">G511+acc_x*pas</f>
        <v>30.4738071011191</v>
      </c>
      <c r="H512" s="451" t="n">
        <f aca="false">H511+acc_z*pas</f>
        <v>25.0354234416712</v>
      </c>
      <c r="I512" s="449" t="n">
        <f aca="false">SQRT(vit_x^2+vit_z^2)</f>
        <v>39.4388811471623</v>
      </c>
      <c r="J512" s="450" t="n">
        <f aca="false">J511+0.5*(vit_x+G511)*pas*(K511&gt;=0)</f>
        <v>474.535832475247</v>
      </c>
      <c r="K512" s="451" t="n">
        <f aca="false">K511+0.5*(vit_z+H511)*pas</f>
        <v>1391.52558733108</v>
      </c>
      <c r="L512" s="449" t="n">
        <f aca="false">SQRT(pos_x^2+pos_z^2)</f>
        <v>1470.21349351041</v>
      </c>
      <c r="M512" s="450" t="n">
        <f aca="false">IF(AND(L511&gt;L_rampe,G512&gt;0),ATAN2(G512,H512),$M$4)</f>
        <v>0.687737237616133</v>
      </c>
      <c r="N512" s="449" t="n">
        <f aca="false">DEGREES(Beta)</f>
        <v>39.4044411293903</v>
      </c>
      <c r="O512" s="438"/>
      <c r="P512" s="452" t="n">
        <f aca="false">MATCH(t-pas/2-T_ini,CdP_t)</f>
        <v>23</v>
      </c>
      <c r="Q512" s="449" t="n">
        <f aca="false">(INDEX(CdP,2,i_P+1)-INDEX(CdP,2,i_P+0))/(INDEX(CdP,1,i_P+1)-INDEX(CdP,1,i_P+0))*(t-pas/2-T_ini-INDEX(CdP,1,i_P+0))+INDEX(CdP,2,i_P+0)</f>
        <v>0</v>
      </c>
      <c r="R512" s="450" t="n">
        <f aca="false">Poussee/(g*ISP)</f>
        <v>0</v>
      </c>
      <c r="S512" s="451" t="n">
        <f aca="false">S511-Débit*pas</f>
        <v>8.652</v>
      </c>
      <c r="T512" s="449" t="n">
        <f aca="false">m*g</f>
        <v>84.87612</v>
      </c>
      <c r="U512" s="453" t="n">
        <f aca="false">IF(pos_xz&lt;L_rampe,Poids*COS(Beta),0)</f>
        <v>0</v>
      </c>
      <c r="V512" s="450" t="n">
        <f aca="false">Rho_moyen*(20000-Alt_rampe-pos_z)/(20000+Alt_rampe+pos_z)</f>
        <v>1.06562671570371</v>
      </c>
      <c r="W512" s="449" t="n">
        <f aca="false">1/2*Rho*Sref*Cx*vit_xz^2</f>
        <v>3.68544987232367</v>
      </c>
      <c r="X512" s="438"/>
      <c r="Y512" s="454" t="str">
        <f aca="false">IF(AND(pos_z&lt;=0,K511&gt;0),"Impact balistique","") &amp; IF(AND(H513&lt;0,vit_z&gt;=0),"Apogée","") &amp; IF(AND(Poussee=0,Q511&gt;0),"Fin de propulsion","") &amp; IF(AND(L513&gt;L_rampe,pos_xz&lt;=L_rampe),"Sortie de rampe","")</f>
        <v/>
      </c>
      <c r="Z512" s="455" t="str">
        <f aca="false">IF(ABS(t-T_para)&lt;pas/2,"Para","")</f>
        <v/>
      </c>
      <c r="AA512" s="456" t="str">
        <f aca="false">IF(ABS(t-T_satellite)&lt;pas/2,"Satellite","")</f>
        <v/>
      </c>
      <c r="AB512" s="444"/>
      <c r="AC512" s="452" t="e">
        <f aca="false">IF(ABS(t-ROUND(t,0))&lt;0.001,t,NA())</f>
        <v>#N/A</v>
      </c>
      <c r="AD512" s="457" t="e">
        <f aca="false">IF(ABS(t-ROUND(t,0))&lt;0.001,pos_x,NA())</f>
        <v>#N/A</v>
      </c>
      <c r="AE512" s="458" t="n">
        <f aca="false">IF(t&lt;T_para, pos_z, NA())</f>
        <v>1391.52558733108</v>
      </c>
      <c r="AF512" s="444"/>
      <c r="AG512" s="450" t="n">
        <f aca="false">IF(AND(L511&lt;L_rampe,Poussee&lt;Poids*SIN(M511)),0,(-W511+Poussee)/m-Poids*SIN(M511)/m)</f>
        <v>-6.81033653317114</v>
      </c>
      <c r="AH512" s="449" t="n">
        <f aca="false">IF(AND(L511&lt;L_rampe,Poussee&lt;Poids*SIN(M511)), g*SIN(M511), (-W511+Poussee)/m)</f>
        <v>-0.440761322166555</v>
      </c>
    </row>
    <row r="513" customFormat="false" ht="12" hidden="false" customHeight="false" outlineLevel="0" collapsed="false">
      <c r="A513" s="448" t="n">
        <f aca="false">IF(B512+0.01&lt;=T_ini+ROUNDUP(Temps_fin_propu,0), 0.01, IF(K512&gt;0, 0.1, 0.0001))</f>
        <v>0.1</v>
      </c>
      <c r="B513" s="449" t="n">
        <f aca="false">B512+pas</f>
        <v>14.8999999999999</v>
      </c>
      <c r="C513" s="432"/>
      <c r="D513" s="450" t="n">
        <f aca="false">IF(AND(L512&lt;L_rampe,Poussee&lt;Poids*SIN(M512)),0,(-W512+Poussee)/m*COS(M512)-U512/m*SIN(M512))</f>
        <v>-0.329136560235386</v>
      </c>
      <c r="E513" s="451" t="n">
        <f aca="false">IF(AND(L512&lt;L_rampe,Poussee&lt;Poids*SIN(M512)),0,(-W512+Poussee)/m*SIN(M512)+U512/m*COS(M512)-Poids/m)</f>
        <v>-10.0803985468007</v>
      </c>
      <c r="F513" s="449" t="n">
        <f aca="false">SQRT(acc_x^2+acc_z^2)</f>
        <v>10.0857704583054</v>
      </c>
      <c r="G513" s="450" t="n">
        <f aca="false">G512+acc_x*pas</f>
        <v>30.4408934450955</v>
      </c>
      <c r="H513" s="451" t="n">
        <f aca="false">H512+acc_z*pas</f>
        <v>24.0273835869911</v>
      </c>
      <c r="I513" s="449" t="n">
        <f aca="false">SQRT(vit_x^2+vit_z^2)</f>
        <v>38.7809638324278</v>
      </c>
      <c r="J513" s="450" t="n">
        <f aca="false">J512+0.5*(vit_x+G512)*pas*(K512&gt;=0)</f>
        <v>477.581567502558</v>
      </c>
      <c r="K513" s="451" t="n">
        <f aca="false">K512+0.5*(vit_z+H512)*pas</f>
        <v>1393.97872768251</v>
      </c>
      <c r="L513" s="449" t="n">
        <f aca="false">SQRT(pos_x^2+pos_z^2)</f>
        <v>1473.51988342525</v>
      </c>
      <c r="M513" s="450" t="n">
        <f aca="false">IF(AND(L512&gt;L_rampe,G513&gt;0),ATAN2(G513,H513),$M$4)</f>
        <v>0.668190233977189</v>
      </c>
      <c r="N513" s="449" t="n">
        <f aca="false">DEGREES(Beta)</f>
        <v>38.2844803187519</v>
      </c>
      <c r="O513" s="438"/>
      <c r="P513" s="452" t="n">
        <f aca="false">MATCH(t-pas/2-T_ini,CdP_t)</f>
        <v>23</v>
      </c>
      <c r="Q513" s="449" t="n">
        <f aca="false">(INDEX(CdP,2,i_P+1)-INDEX(CdP,2,i_P+0))/(INDEX(CdP,1,i_P+1)-INDEX(CdP,1,i_P+0))*(t-pas/2-T_ini-INDEX(CdP,1,i_P+0))+INDEX(CdP,2,i_P+0)</f>
        <v>0</v>
      </c>
      <c r="R513" s="450" t="n">
        <f aca="false">Poussee/(g*ISP)</f>
        <v>0</v>
      </c>
      <c r="S513" s="451" t="n">
        <f aca="false">S512-Débit*pas</f>
        <v>8.652</v>
      </c>
      <c r="T513" s="449" t="n">
        <f aca="false">m*g</f>
        <v>84.87612</v>
      </c>
      <c r="U513" s="453" t="n">
        <f aca="false">IF(pos_xz&lt;L_rampe,Poids*COS(Beta),0)</f>
        <v>0</v>
      </c>
      <c r="V513" s="450" t="n">
        <f aca="false">Rho_moyen*(20000-Alt_rampe-pos_z)/(20000+Alt_rampe+pos_z)</f>
        <v>1.06536406101484</v>
      </c>
      <c r="W513" s="449" t="n">
        <f aca="false">1/2*Rho*Sref*Cx*vit_xz^2</f>
        <v>3.56263619766333</v>
      </c>
      <c r="X513" s="438"/>
      <c r="Y513" s="454" t="str">
        <f aca="false">IF(AND(pos_z&lt;=0,K512&gt;0),"Impact balistique","") &amp; IF(AND(H514&lt;0,vit_z&gt;=0),"Apogée","") &amp; IF(AND(Poussee=0,Q512&gt;0),"Fin de propulsion","") &amp; IF(AND(L514&gt;L_rampe,pos_xz&lt;=L_rampe),"Sortie de rampe","")</f>
        <v/>
      </c>
      <c r="Z513" s="455" t="str">
        <f aca="false">IF(ABS(t-T_para)&lt;pas/2,"Para","")</f>
        <v/>
      </c>
      <c r="AA513" s="456" t="str">
        <f aca="false">IF(ABS(t-T_satellite)&lt;pas/2,"Satellite","")</f>
        <v/>
      </c>
      <c r="AB513" s="444"/>
      <c r="AC513" s="452" t="e">
        <f aca="false">IF(ABS(t-ROUND(t,0))&lt;0.001,t,NA())</f>
        <v>#N/A</v>
      </c>
      <c r="AD513" s="457" t="e">
        <f aca="false">IF(ABS(t-ROUND(t,0))&lt;0.001,pos_x,NA())</f>
        <v>#N/A</v>
      </c>
      <c r="AE513" s="458" t="n">
        <f aca="false">IF(t&lt;T_para, pos_z, NA())</f>
        <v>1393.97872768251</v>
      </c>
      <c r="AF513" s="444"/>
      <c r="AG513" s="450" t="n">
        <f aca="false">IF(AND(L512&lt;L_rampe,Poussee&lt;Poids*SIN(M512)),0,(-W512+Poussee)/m-Poids*SIN(M512)/m)</f>
        <v>-6.65325897931519</v>
      </c>
      <c r="AH513" s="449" t="n">
        <f aca="false">IF(AND(L512&lt;L_rampe,Poussee&lt;Poids*SIN(M512)), g*SIN(M512), (-W512+Poussee)/m)</f>
        <v>-0.425965080018917</v>
      </c>
    </row>
    <row r="514" customFormat="false" ht="12" hidden="false" customHeight="false" outlineLevel="0" collapsed="false">
      <c r="A514" s="448" t="n">
        <f aca="false">IF(B513+0.01&lt;=T_ini+ROUNDUP(Temps_fin_propu,0), 0.01, IF(K513&gt;0, 0.1, 0.0001))</f>
        <v>0.1</v>
      </c>
      <c r="B514" s="449" t="n">
        <f aca="false">B513+pas</f>
        <v>14.9999999999999</v>
      </c>
      <c r="C514" s="432"/>
      <c r="D514" s="450" t="n">
        <f aca="false">IF(AND(L513&lt;L_rampe,Poussee&lt;Poids*SIN(M513)),0,(-W513+Poussee)/m*COS(M513)-U513/m*SIN(M513))</f>
        <v>-0.323216677633288</v>
      </c>
      <c r="E514" s="451" t="n">
        <f aca="false">IF(AND(L513&lt;L_rampe,Poussee&lt;Poids*SIN(M513)),0,(-W513+Poussee)/m*SIN(M513)+U513/m*COS(M513)-Poids/m)</f>
        <v>-10.0651190262932</v>
      </c>
      <c r="F514" s="449" t="n">
        <f aca="false">SQRT(acc_x^2+acc_z^2)</f>
        <v>10.0703073455655</v>
      </c>
      <c r="G514" s="450" t="n">
        <f aca="false">G513+acc_x*pas</f>
        <v>30.4085717773322</v>
      </c>
      <c r="H514" s="451" t="n">
        <f aca="false">H513+acc_z*pas</f>
        <v>23.0208716843618</v>
      </c>
      <c r="I514" s="449" t="n">
        <f aca="false">SQRT(vit_x^2+vit_z^2)</f>
        <v>38.139766263639</v>
      </c>
      <c r="J514" s="450" t="n">
        <f aca="false">J513+0.5*(vit_x+G513)*pas*(K513&gt;=0)</f>
        <v>480.624040763679</v>
      </c>
      <c r="K514" s="451" t="n">
        <f aca="false">K513+0.5*(vit_z+H513)*pas</f>
        <v>1396.33114044608</v>
      </c>
      <c r="L514" s="449" t="n">
        <f aca="false">SQRT(pos_x^2+pos_z^2)</f>
        <v>1476.73292180389</v>
      </c>
      <c r="M514" s="450" t="n">
        <f aca="false">IF(AND(L513&gt;L_rampe,G514&gt;0),ATAN2(G514,H514),$M$4)</f>
        <v>0.647999166238146</v>
      </c>
      <c r="N514" s="449" t="n">
        <f aca="false">DEGREES(Beta)</f>
        <v>37.127617353442</v>
      </c>
      <c r="O514" s="438"/>
      <c r="P514" s="452" t="n">
        <f aca="false">MATCH(t-pas/2-T_ini,CdP_t)</f>
        <v>23</v>
      </c>
      <c r="Q514" s="449" t="n">
        <f aca="false">(INDEX(CdP,2,i_P+1)-INDEX(CdP,2,i_P+0))/(INDEX(CdP,1,i_P+1)-INDEX(CdP,1,i_P+0))*(t-pas/2-T_ini-INDEX(CdP,1,i_P+0))+INDEX(CdP,2,i_P+0)</f>
        <v>0</v>
      </c>
      <c r="R514" s="450" t="n">
        <f aca="false">Poussee/(g*ISP)</f>
        <v>0</v>
      </c>
      <c r="S514" s="451" t="n">
        <f aca="false">S513-Débit*pas</f>
        <v>8.652</v>
      </c>
      <c r="T514" s="449" t="n">
        <f aca="false">m*g</f>
        <v>84.87612</v>
      </c>
      <c r="U514" s="453" t="n">
        <f aca="false">IF(pos_xz&lt;L_rampe,Poids*COS(Beta),0)</f>
        <v>0</v>
      </c>
      <c r="V514" s="450" t="n">
        <f aca="false">Rho_moyen*(20000-Alt_rampe-pos_z)/(20000+Alt_rampe+pos_z)</f>
        <v>1.06511224767287</v>
      </c>
      <c r="W514" s="449" t="n">
        <f aca="false">1/2*Rho*Sref*Cx*vit_xz^2</f>
        <v>3.44498765507618</v>
      </c>
      <c r="X514" s="438"/>
      <c r="Y514" s="454" t="str">
        <f aca="false">IF(AND(pos_z&lt;=0,K513&gt;0),"Impact balistique","") &amp; IF(AND(H515&lt;0,vit_z&gt;=0),"Apogée","") &amp; IF(AND(Poussee=0,Q513&gt;0),"Fin de propulsion","") &amp; IF(AND(L515&gt;L_rampe,pos_xz&lt;=L_rampe),"Sortie de rampe","")</f>
        <v/>
      </c>
      <c r="Z514" s="455" t="str">
        <f aca="false">IF(ABS(t-T_para)&lt;pas/2,"Para","")</f>
        <v/>
      </c>
      <c r="AA514" s="456" t="str">
        <f aca="false">IF(ABS(t-T_satellite)&lt;pas/2,"Satellite","")</f>
        <v/>
      </c>
      <c r="AB514" s="444"/>
      <c r="AC514" s="452" t="n">
        <f aca="false">IF(ABS(t-ROUND(t,0))&lt;0.001,t,NA())</f>
        <v>14.9999999999999</v>
      </c>
      <c r="AD514" s="457" t="n">
        <f aca="false">IF(ABS(t-ROUND(t,0))&lt;0.001,pos_x,NA())</f>
        <v>480.624040763679</v>
      </c>
      <c r="AE514" s="458" t="n">
        <f aca="false">IF(t&lt;T_para, pos_z, NA())</f>
        <v>1396.33114044608</v>
      </c>
      <c r="AF514" s="444"/>
      <c r="AG514" s="450" t="n">
        <f aca="false">IF(AND(L513&lt;L_rampe,Poussee&lt;Poids*SIN(M513)),0,(-W513+Poussee)/m-Poids*SIN(M513)/m)</f>
        <v>-6.48971699683583</v>
      </c>
      <c r="AH514" s="449" t="n">
        <f aca="false">IF(AND(L513&lt;L_rampe,Poussee&lt;Poids*SIN(M513)), g*SIN(M513), (-W513+Poussee)/m)</f>
        <v>-0.411770249383187</v>
      </c>
    </row>
    <row r="515" customFormat="false" ht="12" hidden="false" customHeight="false" outlineLevel="0" collapsed="false">
      <c r="A515" s="448" t="n">
        <f aca="false">IF(B514+0.01&lt;=T_ini+ROUNDUP(Temps_fin_propu,0), 0.01, IF(K514&gt;0, 0.1, 0.0001))</f>
        <v>0.1</v>
      </c>
      <c r="B515" s="449" t="n">
        <f aca="false">B514+pas</f>
        <v>15.0999999999999</v>
      </c>
      <c r="C515" s="432"/>
      <c r="D515" s="450" t="n">
        <f aca="false">IF(AND(L514&lt;L_rampe,Poussee&lt;Poids*SIN(M514)),0,(-W514+Poussee)/m*COS(M514)-U514/m*SIN(M514))</f>
        <v>-0.317460104452657</v>
      </c>
      <c r="E515" s="451" t="n">
        <f aca="false">IF(AND(L514&lt;L_rampe,Poussee&lt;Poids*SIN(M514)),0,(-W514+Poussee)/m*SIN(M514)+U514/m*COS(M514)-Poids/m)</f>
        <v>-10.0503338237331</v>
      </c>
      <c r="F515" s="449" t="n">
        <f aca="false">SQRT(acc_x^2+acc_z^2)</f>
        <v>10.0553463832129</v>
      </c>
      <c r="G515" s="450" t="n">
        <f aca="false">G514+acc_x*pas</f>
        <v>30.3768257668869</v>
      </c>
      <c r="H515" s="451" t="n">
        <f aca="false">H514+acc_z*pas</f>
        <v>22.0158383019885</v>
      </c>
      <c r="I515" s="449" t="n">
        <f aca="false">SQRT(vit_x^2+vit_z^2)</f>
        <v>37.5159789931052</v>
      </c>
      <c r="J515" s="450" t="n">
        <f aca="false">J514+0.5*(vit_x+G514)*pas*(K514&gt;=0)</f>
        <v>483.66331064089</v>
      </c>
      <c r="K515" s="451" t="n">
        <f aca="false">K514+0.5*(vit_z+H514)*pas</f>
        <v>1398.5829759454</v>
      </c>
      <c r="L515" s="449" t="n">
        <f aca="false">SQRT(pos_x^2+pos_z^2)</f>
        <v>1479.85287737139</v>
      </c>
      <c r="M515" s="450" t="n">
        <f aca="false">IF(AND(L514&gt;L_rampe,G515&gt;0),ATAN2(G515,H515),$M$4)</f>
        <v>0.627149352232283</v>
      </c>
      <c r="N515" s="449" t="n">
        <f aca="false">DEGREES(Beta)</f>
        <v>35.9330110072733</v>
      </c>
      <c r="O515" s="438"/>
      <c r="P515" s="452" t="n">
        <f aca="false">MATCH(t-pas/2-T_ini,CdP_t)</f>
        <v>23</v>
      </c>
      <c r="Q515" s="449" t="n">
        <f aca="false">(INDEX(CdP,2,i_P+1)-INDEX(CdP,2,i_P+0))/(INDEX(CdP,1,i_P+1)-INDEX(CdP,1,i_P+0))*(t-pas/2-T_ini-INDEX(CdP,1,i_P+0))+INDEX(CdP,2,i_P+0)</f>
        <v>0</v>
      </c>
      <c r="R515" s="450" t="n">
        <f aca="false">Poussee/(g*ISP)</f>
        <v>0</v>
      </c>
      <c r="S515" s="451" t="n">
        <f aca="false">S514-Débit*pas</f>
        <v>8.652</v>
      </c>
      <c r="T515" s="449" t="n">
        <f aca="false">m*g</f>
        <v>84.87612</v>
      </c>
      <c r="U515" s="453" t="n">
        <f aca="false">IF(pos_xz&lt;L_rampe,Poids*COS(Beta),0)</f>
        <v>0</v>
      </c>
      <c r="V515" s="450" t="n">
        <f aca="false">Rho_moyen*(20000-Alt_rampe-pos_z)/(20000+Alt_rampe+pos_z)</f>
        <v>1.06487125246013</v>
      </c>
      <c r="W515" s="449" t="n">
        <f aca="false">1/2*Rho*Sref*Cx*vit_xz^2</f>
        <v>3.33246738655209</v>
      </c>
      <c r="X515" s="438"/>
      <c r="Y515" s="454" t="str">
        <f aca="false">IF(AND(pos_z&lt;=0,K514&gt;0),"Impact balistique","") &amp; IF(AND(H516&lt;0,vit_z&gt;=0),"Apogée","") &amp; IF(AND(Poussee=0,Q514&gt;0),"Fin de propulsion","") &amp; IF(AND(L516&gt;L_rampe,pos_xz&lt;=L_rampe),"Sortie de rampe","")</f>
        <v/>
      </c>
      <c r="Z515" s="455" t="str">
        <f aca="false">IF(ABS(t-T_para)&lt;pas/2,"Para","")</f>
        <v/>
      </c>
      <c r="AA515" s="456" t="str">
        <f aca="false">IF(ABS(t-T_satellite)&lt;pas/2,"Satellite","")</f>
        <v/>
      </c>
      <c r="AB515" s="444"/>
      <c r="AC515" s="452" t="e">
        <f aca="false">IF(ABS(t-ROUND(t,0))&lt;0.001,t,NA())</f>
        <v>#N/A</v>
      </c>
      <c r="AD515" s="457" t="e">
        <f aca="false">IF(ABS(t-ROUND(t,0))&lt;0.001,pos_x,NA())</f>
        <v>#N/A</v>
      </c>
      <c r="AE515" s="458" t="n">
        <f aca="false">IF(t&lt;T_para, pos_z, NA())</f>
        <v>1398.5829759454</v>
      </c>
      <c r="AF515" s="444"/>
      <c r="AG515" s="450" t="n">
        <f aca="false">IF(AND(L514&lt;L_rampe,Poussee&lt;Poids*SIN(M514)),0,(-W514+Poussee)/m-Poids*SIN(M514)/m)</f>
        <v>-6.31941349739286</v>
      </c>
      <c r="AH515" s="449" t="n">
        <f aca="false">IF(AND(L514&lt;L_rampe,Poussee&lt;Poids*SIN(M514)), g*SIN(M514), (-W514+Poussee)/m)</f>
        <v>-0.398172405810931</v>
      </c>
    </row>
    <row r="516" customFormat="false" ht="12" hidden="false" customHeight="false" outlineLevel="0" collapsed="false">
      <c r="A516" s="448" t="n">
        <f aca="false">IF(B515+0.01&lt;=T_ini+ROUNDUP(Temps_fin_propu,0), 0.01, IF(K515&gt;0, 0.1, 0.0001))</f>
        <v>0.1</v>
      </c>
      <c r="B516" s="449" t="n">
        <f aca="false">B515+pas</f>
        <v>15.1999999999999</v>
      </c>
      <c r="C516" s="432"/>
      <c r="D516" s="450" t="n">
        <f aca="false">IF(AND(L515&lt;L_rampe,Poussee&lt;Poids*SIN(M515)),0,(-W515+Poussee)/m*COS(M515)-U515/m*SIN(M515))</f>
        <v>-0.311871366562634</v>
      </c>
      <c r="E516" s="451" t="n">
        <f aca="false">IF(AND(L515&lt;L_rampe,Poussee&lt;Poids*SIN(M515)),0,(-W515+Poussee)/m*SIN(M515)+U515/m*COS(M515)-Poids/m)</f>
        <v>-10.0360311735648</v>
      </c>
      <c r="F516" s="449" t="n">
        <f aca="false">SQRT(acc_x^2+acc_z^2)</f>
        <v>10.0408757320289</v>
      </c>
      <c r="G516" s="450" t="n">
        <f aca="false">G515+acc_x*pas</f>
        <v>30.3456386302307</v>
      </c>
      <c r="H516" s="451" t="n">
        <f aca="false">H515+acc_z*pas</f>
        <v>21.012235184632</v>
      </c>
      <c r="I516" s="449" t="n">
        <f aca="false">SQRT(vit_x^2+vit_z^2)</f>
        <v>36.9103212033008</v>
      </c>
      <c r="J516" s="450" t="n">
        <f aca="false">J515+0.5*(vit_x+G515)*pas*(K515&gt;=0)</f>
        <v>486.699433860746</v>
      </c>
      <c r="K516" s="451" t="n">
        <f aca="false">K515+0.5*(vit_z+H515)*pas</f>
        <v>1400.73437961973</v>
      </c>
      <c r="L516" s="449" t="n">
        <f aca="false">SQRT(pos_x^2+pos_z^2)</f>
        <v>1482.88001576966</v>
      </c>
      <c r="M516" s="450" t="n">
        <f aca="false">IF(AND(L515&gt;L_rampe,G516&gt;0),ATAN2(G516,H516),$M$4)</f>
        <v>0.605627441954906</v>
      </c>
      <c r="N516" s="449" t="n">
        <f aca="false">DEGREES(Beta)</f>
        <v>34.6998963813204</v>
      </c>
      <c r="O516" s="438"/>
      <c r="P516" s="452" t="n">
        <f aca="false">MATCH(t-pas/2-T_ini,CdP_t)</f>
        <v>23</v>
      </c>
      <c r="Q516" s="449" t="n">
        <f aca="false">(INDEX(CdP,2,i_P+1)-INDEX(CdP,2,i_P+0))/(INDEX(CdP,1,i_P+1)-INDEX(CdP,1,i_P+0))*(t-pas/2-T_ini-INDEX(CdP,1,i_P+0))+INDEX(CdP,2,i_P+0)</f>
        <v>0</v>
      </c>
      <c r="R516" s="450" t="n">
        <f aca="false">Poussee/(g*ISP)</f>
        <v>0</v>
      </c>
      <c r="S516" s="451" t="n">
        <f aca="false">S515-Débit*pas</f>
        <v>8.652</v>
      </c>
      <c r="T516" s="449" t="n">
        <f aca="false">m*g</f>
        <v>84.87612</v>
      </c>
      <c r="U516" s="453" t="n">
        <f aca="false">IF(pos_xz&lt;L_rampe,Poids*COS(Beta),0)</f>
        <v>0</v>
      </c>
      <c r="V516" s="450" t="n">
        <f aca="false">Rho_moyen*(20000-Alt_rampe-pos_z)/(20000+Alt_rampe+pos_z)</f>
        <v>1.06464105300347</v>
      </c>
      <c r="W516" s="449" t="n">
        <f aca="false">1/2*Rho*Sref*Cx*vit_xz^2</f>
        <v>3.22503992041919</v>
      </c>
      <c r="X516" s="438"/>
      <c r="Y516" s="454" t="str">
        <f aca="false">IF(AND(pos_z&lt;=0,K515&gt;0),"Impact balistique","") &amp; IF(AND(H517&lt;0,vit_z&gt;=0),"Apogée","") &amp; IF(AND(Poussee=0,Q515&gt;0),"Fin de propulsion","") &amp; IF(AND(L517&gt;L_rampe,pos_xz&lt;=L_rampe),"Sortie de rampe","")</f>
        <v/>
      </c>
      <c r="Z516" s="455" t="str">
        <f aca="false">IF(ABS(t-T_para)&lt;pas/2,"Para","")</f>
        <v/>
      </c>
      <c r="AA516" s="456" t="str">
        <f aca="false">IF(ABS(t-T_satellite)&lt;pas/2,"Satellite","")</f>
        <v/>
      </c>
      <c r="AB516" s="444"/>
      <c r="AC516" s="452" t="e">
        <f aca="false">IF(ABS(t-ROUND(t,0))&lt;0.001,t,NA())</f>
        <v>#N/A</v>
      </c>
      <c r="AD516" s="457" t="e">
        <f aca="false">IF(ABS(t-ROUND(t,0))&lt;0.001,pos_x,NA())</f>
        <v>#N/A</v>
      </c>
      <c r="AE516" s="458" t="n">
        <f aca="false">IF(t&lt;T_para, pos_z, NA())</f>
        <v>1400.73437961973</v>
      </c>
      <c r="AF516" s="444"/>
      <c r="AG516" s="450" t="n">
        <f aca="false">IF(AND(L515&lt;L_rampe,Poussee&lt;Poids*SIN(M515)),0,(-W515+Poussee)/m-Poids*SIN(M515)/m)</f>
        <v>-6.14205754078872</v>
      </c>
      <c r="AH516" s="449" t="n">
        <f aca="false">IF(AND(L515&lt;L_rampe,Poussee&lt;Poids*SIN(M515)), g*SIN(M515), (-W515+Poussee)/m)</f>
        <v>-0.385167289245503</v>
      </c>
    </row>
    <row r="517" customFormat="false" ht="12" hidden="false" customHeight="false" outlineLevel="0" collapsed="false">
      <c r="A517" s="448" t="n">
        <f aca="false">IF(B516+0.01&lt;=T_ini+ROUNDUP(Temps_fin_propu,0), 0.01, IF(K516&gt;0, 0.1, 0.0001))</f>
        <v>0.1</v>
      </c>
      <c r="B517" s="449" t="n">
        <f aca="false">B516+pas</f>
        <v>15.2999999999999</v>
      </c>
      <c r="C517" s="432"/>
      <c r="D517" s="450" t="n">
        <f aca="false">IF(AND(L516&lt;L_rampe,Poussee&lt;Poids*SIN(M516)),0,(-W516+Poussee)/m*COS(M516)-U516/m*SIN(M516))</f>
        <v>-0.306455232656613</v>
      </c>
      <c r="E517" s="451" t="n">
        <f aca="false">IF(AND(L516&lt;L_rampe,Poussee&lt;Poids*SIN(M516)),0,(-W516+Poussee)/m*SIN(M516)+U516/m*COS(M516)-Poids/m)</f>
        <v>-10.0221988434848</v>
      </c>
      <c r="F517" s="449" t="n">
        <f aca="false">SQRT(acc_x^2+acc_z^2)</f>
        <v>10.0268830883765</v>
      </c>
      <c r="G517" s="450" t="n">
        <f aca="false">G516+acc_x*pas</f>
        <v>30.314993106965</v>
      </c>
      <c r="H517" s="451" t="n">
        <f aca="false">H516+acc_z*pas</f>
        <v>20.0100153002836</v>
      </c>
      <c r="I517" s="449" t="n">
        <f aca="false">SQRT(vit_x^2+vit_z^2)</f>
        <v>36.3235394667551</v>
      </c>
      <c r="J517" s="450" t="n">
        <f aca="false">J516+0.5*(vit_x+G516)*pas*(K516&gt;=0)</f>
        <v>489.732465447606</v>
      </c>
      <c r="K517" s="451" t="n">
        <f aca="false">K516+0.5*(vit_z+H516)*pas</f>
        <v>1402.78549214398</v>
      </c>
      <c r="L517" s="449" t="n">
        <f aca="false">SQRT(pos_x^2+pos_z^2)</f>
        <v>1485.81459970045</v>
      </c>
      <c r="M517" s="450" t="n">
        <f aca="false">IF(AND(L516&gt;L_rampe,G517&gt;0),ATAN2(G517,H517),$M$4)</f>
        <v>0.583421714980898</v>
      </c>
      <c r="N517" s="449" t="n">
        <f aca="false">DEGREES(Beta)</f>
        <v>33.4276019446899</v>
      </c>
      <c r="O517" s="438"/>
      <c r="P517" s="452" t="n">
        <f aca="false">MATCH(t-pas/2-T_ini,CdP_t)</f>
        <v>23</v>
      </c>
      <c r="Q517" s="449" t="n">
        <f aca="false">(INDEX(CdP,2,i_P+1)-INDEX(CdP,2,i_P+0))/(INDEX(CdP,1,i_P+1)-INDEX(CdP,1,i_P+0))*(t-pas/2-T_ini-INDEX(CdP,1,i_P+0))+INDEX(CdP,2,i_P+0)</f>
        <v>0</v>
      </c>
      <c r="R517" s="450" t="n">
        <f aca="false">Poussee/(g*ISP)</f>
        <v>0</v>
      </c>
      <c r="S517" s="451" t="n">
        <f aca="false">S516-Débit*pas</f>
        <v>8.652</v>
      </c>
      <c r="T517" s="449" t="n">
        <f aca="false">m*g</f>
        <v>84.87612</v>
      </c>
      <c r="U517" s="453" t="n">
        <f aca="false">IF(pos_xz&lt;L_rampe,Poids*COS(Beta),0)</f>
        <v>0</v>
      </c>
      <c r="V517" s="450" t="n">
        <f aca="false">Rho_moyen*(20000-Alt_rampe-pos_z)/(20000+Alt_rampe+pos_z)</f>
        <v>1.06442162775895</v>
      </c>
      <c r="W517" s="449" t="n">
        <f aca="false">1/2*Rho*Sref*Cx*vit_xz^2</f>
        <v>3.12267113523922</v>
      </c>
      <c r="X517" s="438"/>
      <c r="Y517" s="454" t="str">
        <f aca="false">IF(AND(pos_z&lt;=0,K516&gt;0),"Impact balistique","") &amp; IF(AND(H518&lt;0,vit_z&gt;=0),"Apogée","") &amp; IF(AND(Poussee=0,Q516&gt;0),"Fin de propulsion","") &amp; IF(AND(L518&gt;L_rampe,pos_xz&lt;=L_rampe),"Sortie de rampe","")</f>
        <v/>
      </c>
      <c r="Z517" s="455" t="str">
        <f aca="false">IF(ABS(t-T_para)&lt;pas/2,"Para","")</f>
        <v/>
      </c>
      <c r="AA517" s="456" t="str">
        <f aca="false">IF(ABS(t-T_satellite)&lt;pas/2,"Satellite","")</f>
        <v/>
      </c>
      <c r="AB517" s="444"/>
      <c r="AC517" s="452" t="e">
        <f aca="false">IF(ABS(t-ROUND(t,0))&lt;0.001,t,NA())</f>
        <v>#N/A</v>
      </c>
      <c r="AD517" s="457" t="e">
        <f aca="false">IF(ABS(t-ROUND(t,0))&lt;0.001,pos_x,NA())</f>
        <v>#N/A</v>
      </c>
      <c r="AE517" s="458" t="n">
        <f aca="false">IF(t&lt;T_para, pos_z, NA())</f>
        <v>1402.78549214398</v>
      </c>
      <c r="AF517" s="444"/>
      <c r="AG517" s="450" t="n">
        <f aca="false">IF(AND(L516&lt;L_rampe,Poussee&lt;Poids*SIN(M516)),0,(-W516+Poussee)/m-Poids*SIN(M516)/m)</f>
        <v>-5.95736833884085</v>
      </c>
      <c r="AH517" s="449" t="n">
        <f aca="false">IF(AND(L516&lt;L_rampe,Poussee&lt;Poids*SIN(M516)), g*SIN(M516), (-W516+Poussee)/m)</f>
        <v>-0.372750799863522</v>
      </c>
    </row>
    <row r="518" customFormat="false" ht="12" hidden="false" customHeight="false" outlineLevel="0" collapsed="false">
      <c r="A518" s="448" t="n">
        <f aca="false">IF(B517+0.01&lt;=T_ini+ROUNDUP(Temps_fin_propu,0), 0.01, IF(K517&gt;0, 0.1, 0.0001))</f>
        <v>0.1</v>
      </c>
      <c r="B518" s="449" t="n">
        <f aca="false">B517+pas</f>
        <v>15.3999999999999</v>
      </c>
      <c r="C518" s="432"/>
      <c r="D518" s="450" t="n">
        <f aca="false">IF(AND(L517&lt;L_rampe,Poussee&lt;Poids*SIN(M517)),0,(-W517+Poussee)/m*COS(M517)-U517/m*SIN(M517))</f>
        <v>-0.301216703353557</v>
      </c>
      <c r="E518" s="451" t="n">
        <f aca="false">IF(AND(L517&lt;L_rampe,Poussee&lt;Poids*SIN(M517)),0,(-W517+Poussee)/m*SIN(M517)+U517/m*COS(M517)-Poids/m)</f>
        <v>-10.0088240875246</v>
      </c>
      <c r="F518" s="449" t="n">
        <f aca="false">SQRT(acc_x^2+acc_z^2)</f>
        <v>10.0133556372173</v>
      </c>
      <c r="G518" s="450" t="n">
        <f aca="false">G517+acc_x*pas</f>
        <v>30.2848714366296</v>
      </c>
      <c r="H518" s="451" t="n">
        <f aca="false">H517+acc_z*pas</f>
        <v>19.0091328915311</v>
      </c>
      <c r="I518" s="449" t="n">
        <f aca="false">SQRT(vit_x^2+vit_z^2)</f>
        <v>35.7564060165598</v>
      </c>
      <c r="J518" s="450" t="n">
        <f aca="false">J517+0.5*(vit_x+G517)*pas*(K517&gt;=0)</f>
        <v>492.762458674786</v>
      </c>
      <c r="K518" s="451" t="n">
        <f aca="false">K517+0.5*(vit_z+H517)*pas</f>
        <v>1404.73644955357</v>
      </c>
      <c r="L518" s="449" t="n">
        <f aca="false">SQRT(pos_x^2+pos_z^2)</f>
        <v>1488.65688907269</v>
      </c>
      <c r="M518" s="450" t="n">
        <f aca="false">IF(AND(L517&gt;L_rampe,G518&gt;0),ATAN2(G518,H518),$M$4)</f>
        <v>0.56052240390653</v>
      </c>
      <c r="N518" s="449" t="n">
        <f aca="false">DEGREES(Beta)</f>
        <v>32.1155680663714</v>
      </c>
      <c r="O518" s="438"/>
      <c r="P518" s="452" t="n">
        <f aca="false">MATCH(t-pas/2-T_ini,CdP_t)</f>
        <v>23</v>
      </c>
      <c r="Q518" s="449" t="n">
        <f aca="false">(INDEX(CdP,2,i_P+1)-INDEX(CdP,2,i_P+0))/(INDEX(CdP,1,i_P+1)-INDEX(CdP,1,i_P+0))*(t-pas/2-T_ini-INDEX(CdP,1,i_P+0))+INDEX(CdP,2,i_P+0)</f>
        <v>0</v>
      </c>
      <c r="R518" s="450" t="n">
        <f aca="false">Poussee/(g*ISP)</f>
        <v>0</v>
      </c>
      <c r="S518" s="451" t="n">
        <f aca="false">S517-Débit*pas</f>
        <v>8.652</v>
      </c>
      <c r="T518" s="449" t="n">
        <f aca="false">m*g</f>
        <v>84.87612</v>
      </c>
      <c r="U518" s="453" t="n">
        <f aca="false">IF(pos_xz&lt;L_rampe,Poids*COS(Beta),0)</f>
        <v>0</v>
      </c>
      <c r="V518" s="450" t="n">
        <f aca="false">Rho_moyen*(20000-Alt_rampe-pos_z)/(20000+Alt_rampe+pos_z)</f>
        <v>1.0642129559961</v>
      </c>
      <c r="W518" s="449" t="n">
        <f aca="false">1/2*Rho*Sref*Cx*vit_xz^2</f>
        <v>3.02532822347069</v>
      </c>
      <c r="X518" s="438"/>
      <c r="Y518" s="454" t="str">
        <f aca="false">IF(AND(pos_z&lt;=0,K517&gt;0),"Impact balistique","") &amp; IF(AND(H519&lt;0,vit_z&gt;=0),"Apogée","") &amp; IF(AND(Poussee=0,Q517&gt;0),"Fin de propulsion","") &amp; IF(AND(L519&gt;L_rampe,pos_xz&lt;=L_rampe),"Sortie de rampe","")</f>
        <v/>
      </c>
      <c r="Z518" s="455" t="str">
        <f aca="false">IF(ABS(t-T_para)&lt;pas/2,"Para","")</f>
        <v/>
      </c>
      <c r="AA518" s="456" t="str">
        <f aca="false">IF(ABS(t-T_satellite)&lt;pas/2,"Satellite","")</f>
        <v/>
      </c>
      <c r="AB518" s="444"/>
      <c r="AC518" s="452" t="e">
        <f aca="false">IF(ABS(t-ROUND(t,0))&lt;0.001,t,NA())</f>
        <v>#N/A</v>
      </c>
      <c r="AD518" s="457" t="e">
        <f aca="false">IF(ABS(t-ROUND(t,0))&lt;0.001,pos_x,NA())</f>
        <v>#N/A</v>
      </c>
      <c r="AE518" s="458" t="n">
        <f aca="false">IF(t&lt;T_para, pos_z, NA())</f>
        <v>1404.73644955357</v>
      </c>
      <c r="AF518" s="444"/>
      <c r="AG518" s="450" t="n">
        <f aca="false">IF(AND(L517&lt;L_rampe,Poussee&lt;Poids*SIN(M517)),0,(-W517+Poussee)/m-Poids*SIN(M517)/m)</f>
        <v>-5.76507984875037</v>
      </c>
      <c r="AH518" s="449" t="n">
        <f aca="false">IF(AND(L517&lt;L_rampe,Poussee&lt;Poids*SIN(M517)), g*SIN(M517), (-W517+Poussee)/m)</f>
        <v>-0.360918993901898</v>
      </c>
    </row>
    <row r="519" customFormat="false" ht="12" hidden="false" customHeight="false" outlineLevel="0" collapsed="false">
      <c r="A519" s="448" t="n">
        <f aca="false">IF(B518+0.01&lt;=T_ini+ROUNDUP(Temps_fin_propu,0), 0.01, IF(K518&gt;0, 0.1, 0.0001))</f>
        <v>0.1</v>
      </c>
      <c r="B519" s="449" t="n">
        <f aca="false">B518+pas</f>
        <v>15.4999999999999</v>
      </c>
      <c r="C519" s="432"/>
      <c r="D519" s="450" t="n">
        <f aca="false">IF(AND(L518&lt;L_rampe,Poussee&lt;Poids*SIN(M518)),0,(-W518+Poussee)/m*COS(M518)-U518/m*SIN(M518))</f>
        <v>-0.296160996353342</v>
      </c>
      <c r="E519" s="451" t="n">
        <f aca="false">IF(AND(L518&lt;L_rampe,Poussee&lt;Poids*SIN(M518)),0,(-W518+Poussee)/m*SIN(M518)+U518/m*COS(M518)-Poids/m)</f>
        <v>-9.99589359868174</v>
      </c>
      <c r="F519" s="449" t="n">
        <f aca="false">SQRT(acc_x^2+acc_z^2)</f>
        <v>10.0002800046762</v>
      </c>
      <c r="G519" s="450" t="n">
        <f aca="false">G518+acc_x*pas</f>
        <v>30.2552553369943</v>
      </c>
      <c r="H519" s="451" t="n">
        <f aca="false">H518+acc_z*pas</f>
        <v>18.0095435316629</v>
      </c>
      <c r="I519" s="449" t="n">
        <f aca="false">SQRT(vit_x^2+vit_z^2)</f>
        <v>35.2097164675546</v>
      </c>
      <c r="J519" s="450" t="n">
        <f aca="false">J518+0.5*(vit_x+G518)*pas*(K518&gt;=0)</f>
        <v>495.789465013467</v>
      </c>
      <c r="K519" s="451" t="n">
        <f aca="false">K518+0.5*(vit_z+H518)*pas</f>
        <v>1406.58738337473</v>
      </c>
      <c r="L519" s="449" t="n">
        <f aca="false">SQRT(pos_x^2+pos_z^2)</f>
        <v>1491.40714115472</v>
      </c>
      <c r="M519" s="450" t="n">
        <f aca="false">IF(AND(L518&gt;L_rampe,G519&gt;0),ATAN2(G519,H519),$M$4)</f>
        <v>0.536922041615529</v>
      </c>
      <c r="N519" s="449" t="n">
        <f aca="false">DEGREES(Beta)</f>
        <v>30.7633669121174</v>
      </c>
      <c r="O519" s="438"/>
      <c r="P519" s="452" t="n">
        <f aca="false">MATCH(t-pas/2-T_ini,CdP_t)</f>
        <v>23</v>
      </c>
      <c r="Q519" s="449" t="n">
        <f aca="false">(INDEX(CdP,2,i_P+1)-INDEX(CdP,2,i_P+0))/(INDEX(CdP,1,i_P+1)-INDEX(CdP,1,i_P+0))*(t-pas/2-T_ini-INDEX(CdP,1,i_P+0))+INDEX(CdP,2,i_P+0)</f>
        <v>0</v>
      </c>
      <c r="R519" s="450" t="n">
        <f aca="false">Poussee/(g*ISP)</f>
        <v>0</v>
      </c>
      <c r="S519" s="451" t="n">
        <f aca="false">S518-Débit*pas</f>
        <v>8.652</v>
      </c>
      <c r="T519" s="449" t="n">
        <f aca="false">m*g</f>
        <v>84.87612</v>
      </c>
      <c r="U519" s="453" t="n">
        <f aca="false">IF(pos_xz&lt;L_rampe,Poids*COS(Beta),0)</f>
        <v>0</v>
      </c>
      <c r="V519" s="450" t="n">
        <f aca="false">Rho_moyen*(20000-Alt_rampe-pos_z)/(20000+Alt_rampe+pos_z)</f>
        <v>1.06401501778165</v>
      </c>
      <c r="W519" s="449" t="n">
        <f aca="false">1/2*Rho*Sref*Cx*vit_xz^2</f>
        <v>2.93297965479166</v>
      </c>
      <c r="X519" s="438"/>
      <c r="Y519" s="454" t="str">
        <f aca="false">IF(AND(pos_z&lt;=0,K518&gt;0),"Impact balistique","") &amp; IF(AND(H520&lt;0,vit_z&gt;=0),"Apogée","") &amp; IF(AND(Poussee=0,Q518&gt;0),"Fin de propulsion","") &amp; IF(AND(L520&gt;L_rampe,pos_xz&lt;=L_rampe),"Sortie de rampe","")</f>
        <v/>
      </c>
      <c r="Z519" s="455" t="str">
        <f aca="false">IF(ABS(t-T_para)&lt;pas/2,"Para","")</f>
        <v/>
      </c>
      <c r="AA519" s="456" t="str">
        <f aca="false">IF(ABS(t-T_satellite)&lt;pas/2,"Satellite","")</f>
        <v/>
      </c>
      <c r="AB519" s="444"/>
      <c r="AC519" s="452" t="e">
        <f aca="false">IF(ABS(t-ROUND(t,0))&lt;0.001,t,NA())</f>
        <v>#N/A</v>
      </c>
      <c r="AD519" s="457" t="e">
        <f aca="false">IF(ABS(t-ROUND(t,0))&lt;0.001,pos_x,NA())</f>
        <v>#N/A</v>
      </c>
      <c r="AE519" s="458" t="n">
        <f aca="false">IF(t&lt;T_para, pos_z, NA())</f>
        <v>1406.58738337473</v>
      </c>
      <c r="AF519" s="444"/>
      <c r="AG519" s="450" t="n">
        <f aca="false">IF(AND(L518&lt;L_rampe,Poussee&lt;Poids*SIN(M518)),0,(-W518+Poussee)/m-Poids*SIN(M518)/m)</f>
        <v>-5.56494596783292</v>
      </c>
      <c r="AH519" s="449" t="n">
        <f aca="false">IF(AND(L518&lt;L_rampe,Poussee&lt;Poids*SIN(M518)), g*SIN(M518), (-W518+Poussee)/m)</f>
        <v>-0.349668079458008</v>
      </c>
    </row>
    <row r="520" customFormat="false" ht="12" hidden="false" customHeight="false" outlineLevel="0" collapsed="false">
      <c r="A520" s="448" t="n">
        <f aca="false">IF(B519+0.01&lt;=T_ini+ROUNDUP(Temps_fin_propu,0), 0.01, IF(K519&gt;0, 0.1, 0.0001))</f>
        <v>0.1</v>
      </c>
      <c r="B520" s="449" t="n">
        <f aca="false">B519+pas</f>
        <v>15.5999999999999</v>
      </c>
      <c r="C520" s="432"/>
      <c r="D520" s="450" t="n">
        <f aca="false">IF(AND(L519&lt;L_rampe,Poussee&lt;Poids*SIN(M519)),0,(-W519+Poussee)/m*COS(M519)-U519/m*SIN(M519))</f>
        <v>-0.291293527168999</v>
      </c>
      <c r="E520" s="451" t="n">
        <f aca="false">IF(AND(L519&lt;L_rampe,Poussee&lt;Poids*SIN(M519)),0,(-W519+Poussee)/m*SIN(M519)+U519/m*COS(M519)-Poids/m)</f>
        <v>-9.98339346171794</v>
      </c>
      <c r="F520" s="449" t="n">
        <f aca="false">SQRT(acc_x^2+acc_z^2)</f>
        <v>9.98764221077443</v>
      </c>
      <c r="G520" s="450" t="n">
        <f aca="false">G519+acc_x*pas</f>
        <v>30.2261259842774</v>
      </c>
      <c r="H520" s="451" t="n">
        <f aca="false">H519+acc_z*pas</f>
        <v>17.0112041854911</v>
      </c>
      <c r="I520" s="449" t="n">
        <f aca="false">SQRT(vit_x^2+vit_z^2)</f>
        <v>34.6842869302207</v>
      </c>
      <c r="J520" s="450" t="n">
        <f aca="false">J519+0.5*(vit_x+G519)*pas*(K519&gt;=0)</f>
        <v>498.813534079531</v>
      </c>
      <c r="K520" s="451" t="n">
        <f aca="false">K519+0.5*(vit_z+H519)*pas</f>
        <v>1408.33842076058</v>
      </c>
      <c r="L520" s="449" t="n">
        <f aca="false">SQRT(pos_x^2+pos_z^2)</f>
        <v>1494.06561073178</v>
      </c>
      <c r="M520" s="450" t="n">
        <f aca="false">IF(AND(L519&gt;L_rampe,G520&gt;0),ATAN2(G520,H520),$M$4)</f>
        <v>0.512615828834499</v>
      </c>
      <c r="N520" s="449" t="n">
        <f aca="false">DEGREES(Beta)</f>
        <v>29.3707235038174</v>
      </c>
      <c r="O520" s="438"/>
      <c r="P520" s="452" t="n">
        <f aca="false">MATCH(t-pas/2-T_ini,CdP_t)</f>
        <v>23</v>
      </c>
      <c r="Q520" s="449" t="n">
        <f aca="false">(INDEX(CdP,2,i_P+1)-INDEX(CdP,2,i_P+0))/(INDEX(CdP,1,i_P+1)-INDEX(CdP,1,i_P+0))*(t-pas/2-T_ini-INDEX(CdP,1,i_P+0))+INDEX(CdP,2,i_P+0)</f>
        <v>0</v>
      </c>
      <c r="R520" s="450" t="n">
        <f aca="false">Poussee/(g*ISP)</f>
        <v>0</v>
      </c>
      <c r="S520" s="451" t="n">
        <f aca="false">S519-Débit*pas</f>
        <v>8.652</v>
      </c>
      <c r="T520" s="449" t="n">
        <f aca="false">m*g</f>
        <v>84.87612</v>
      </c>
      <c r="U520" s="453" t="n">
        <f aca="false">IF(pos_xz&lt;L_rampe,Poids*COS(Beta),0)</f>
        <v>0</v>
      </c>
      <c r="V520" s="450" t="n">
        <f aca="false">Rho_moyen*(20000-Alt_rampe-pos_z)/(20000+Alt_rampe+pos_z)</f>
        <v>1.06382779396287</v>
      </c>
      <c r="W520" s="449" t="n">
        <f aca="false">1/2*Rho*Sref*Cx*vit_xz^2</f>
        <v>2.84559513897506</v>
      </c>
      <c r="X520" s="438"/>
      <c r="Y520" s="454" t="str">
        <f aca="false">IF(AND(pos_z&lt;=0,K519&gt;0),"Impact balistique","") &amp; IF(AND(H521&lt;0,vit_z&gt;=0),"Apogée","") &amp; IF(AND(Poussee=0,Q519&gt;0),"Fin de propulsion","") &amp; IF(AND(L521&gt;L_rampe,pos_xz&lt;=L_rampe),"Sortie de rampe","")</f>
        <v/>
      </c>
      <c r="Z520" s="455" t="str">
        <f aca="false">IF(ABS(t-T_para)&lt;pas/2,"Para","")</f>
        <v/>
      </c>
      <c r="AA520" s="456" t="str">
        <f aca="false">IF(ABS(t-T_satellite)&lt;pas/2,"Satellite","")</f>
        <v/>
      </c>
      <c r="AB520" s="444"/>
      <c r="AC520" s="452" t="e">
        <f aca="false">IF(ABS(t-ROUND(t,0))&lt;0.001,t,NA())</f>
        <v>#N/A</v>
      </c>
      <c r="AD520" s="457" t="e">
        <f aca="false">IF(ABS(t-ROUND(t,0))&lt;0.001,pos_x,NA())</f>
        <v>#N/A</v>
      </c>
      <c r="AE520" s="458" t="n">
        <f aca="false">IF(t&lt;T_para, pos_z, NA())</f>
        <v>1408.33842076058</v>
      </c>
      <c r="AF520" s="444"/>
      <c r="AG520" s="450" t="n">
        <f aca="false">IF(AND(L519&lt;L_rampe,Poussee&lt;Poids*SIN(M519)),0,(-W519+Poussee)/m-Poids*SIN(M519)/m)</f>
        <v>-5.35674632196604</v>
      </c>
      <c r="AH520" s="449" t="n">
        <f aca="false">IF(AND(L519&lt;L_rampe,Poussee&lt;Poids*SIN(M519)), g*SIN(M519), (-W519+Poussee)/m)</f>
        <v>-0.338994412250538</v>
      </c>
    </row>
    <row r="521" customFormat="false" ht="12" hidden="false" customHeight="false" outlineLevel="0" collapsed="false">
      <c r="A521" s="448" t="n">
        <f aca="false">IF(B520+0.01&lt;=T_ini+ROUNDUP(Temps_fin_propu,0), 0.01, IF(K520&gt;0, 0.1, 0.0001))</f>
        <v>0.1</v>
      </c>
      <c r="B521" s="449" t="n">
        <f aca="false">B520+pas</f>
        <v>15.6999999999999</v>
      </c>
      <c r="C521" s="432"/>
      <c r="D521" s="450" t="n">
        <f aca="false">IF(AND(L520&lt;L_rampe,Poussee&lt;Poids*SIN(M520)),0,(-W520+Poussee)/m*COS(M520)-U520/m*SIN(M520))</f>
        <v>-0.286619884976539</v>
      </c>
      <c r="E521" s="451" t="n">
        <f aca="false">IF(AND(L520&lt;L_rampe,Poussee&lt;Poids*SIN(M520)),0,(-W520+Poussee)/m*SIN(M520)+U520/m*COS(M520)-Poids/m)</f>
        <v>-9.97130910687973</v>
      </c>
      <c r="F521" s="449" t="n">
        <f aca="false">SQRT(acc_x^2+acc_z^2)</f>
        <v>9.97542762308497</v>
      </c>
      <c r="G521" s="450" t="n">
        <f aca="false">G520+acc_x*pas</f>
        <v>30.1974639957798</v>
      </c>
      <c r="H521" s="451" t="n">
        <f aca="false">H520+acc_z*pas</f>
        <v>16.0140732748032</v>
      </c>
      <c r="I521" s="449" t="n">
        <f aca="false">SQRT(vit_x^2+vit_z^2)</f>
        <v>34.1809504640696</v>
      </c>
      <c r="J521" s="450" t="n">
        <f aca="false">J520+0.5*(vit_x+G520)*pas*(K520&gt;=0)</f>
        <v>501.834713578533</v>
      </c>
      <c r="K521" s="451" t="n">
        <f aca="false">K520+0.5*(vit_z+H520)*pas</f>
        <v>1409.9896846336</v>
      </c>
      <c r="L521" s="449" t="n">
        <f aca="false">SQRT(pos_x^2+pos_z^2)</f>
        <v>1496.63255026931</v>
      </c>
      <c r="M521" s="450" t="n">
        <f aca="false">IF(AND(L520&gt;L_rampe,G521&gt;0),ATAN2(G521,H521),$M$4)</f>
        <v>0.487602016900552</v>
      </c>
      <c r="N521" s="449" t="n">
        <f aca="false">DEGREES(Beta)</f>
        <v>27.9375376504683</v>
      </c>
      <c r="O521" s="438"/>
      <c r="P521" s="452" t="n">
        <f aca="false">MATCH(t-pas/2-T_ini,CdP_t)</f>
        <v>23</v>
      </c>
      <c r="Q521" s="449" t="n">
        <f aca="false">(INDEX(CdP,2,i_P+1)-INDEX(CdP,2,i_P+0))/(INDEX(CdP,1,i_P+1)-INDEX(CdP,1,i_P+0))*(t-pas/2-T_ini-INDEX(CdP,1,i_P+0))+INDEX(CdP,2,i_P+0)</f>
        <v>0</v>
      </c>
      <c r="R521" s="450" t="n">
        <f aca="false">Poussee/(g*ISP)</f>
        <v>0</v>
      </c>
      <c r="S521" s="451" t="n">
        <f aca="false">S520-Débit*pas</f>
        <v>8.652</v>
      </c>
      <c r="T521" s="449" t="n">
        <f aca="false">m*g</f>
        <v>84.87612</v>
      </c>
      <c r="U521" s="453" t="n">
        <f aca="false">IF(pos_xz&lt;L_rampe,Poids*COS(Beta),0)</f>
        <v>0</v>
      </c>
      <c r="V521" s="450" t="n">
        <f aca="false">Rho_moyen*(20000-Alt_rampe-pos_z)/(20000+Alt_rampe+pos_z)</f>
        <v>1.06365126615023</v>
      </c>
      <c r="W521" s="449" t="n">
        <f aca="false">1/2*Rho*Sref*Cx*vit_xz^2</f>
        <v>2.76314558821066</v>
      </c>
      <c r="X521" s="438"/>
      <c r="Y521" s="454" t="str">
        <f aca="false">IF(AND(pos_z&lt;=0,K520&gt;0),"Impact balistique","") &amp; IF(AND(H522&lt;0,vit_z&gt;=0),"Apogée","") &amp; IF(AND(Poussee=0,Q520&gt;0),"Fin de propulsion","") &amp; IF(AND(L522&gt;L_rampe,pos_xz&lt;=L_rampe),"Sortie de rampe","")</f>
        <v/>
      </c>
      <c r="Z521" s="455" t="str">
        <f aca="false">IF(ABS(t-T_para)&lt;pas/2,"Para","")</f>
        <v/>
      </c>
      <c r="AA521" s="456" t="str">
        <f aca="false">IF(ABS(t-T_satellite)&lt;pas/2,"Satellite","")</f>
        <v/>
      </c>
      <c r="AB521" s="444"/>
      <c r="AC521" s="452" t="e">
        <f aca="false">IF(ABS(t-ROUND(t,0))&lt;0.001,t,NA())</f>
        <v>#N/A</v>
      </c>
      <c r="AD521" s="457" t="e">
        <f aca="false">IF(ABS(t-ROUND(t,0))&lt;0.001,pos_x,NA())</f>
        <v>#N/A</v>
      </c>
      <c r="AE521" s="458" t="n">
        <f aca="false">IF(t&lt;T_para, pos_z, NA())</f>
        <v>1409.9896846336</v>
      </c>
      <c r="AF521" s="444"/>
      <c r="AG521" s="450" t="n">
        <f aca="false">IF(AND(L520&lt;L_rampe,Poussee&lt;Poids*SIN(M520)),0,(-W520+Poussee)/m-Poids*SIN(M520)/m)</f>
        <v>-5.14029261507852</v>
      </c>
      <c r="AH521" s="449" t="n">
        <f aca="false">IF(AND(L520&lt;L_rampe,Poussee&lt;Poids*SIN(M520)), g*SIN(M520), (-W520+Poussee)/m)</f>
        <v>-0.328894491328601</v>
      </c>
    </row>
    <row r="522" customFormat="false" ht="12" hidden="false" customHeight="false" outlineLevel="0" collapsed="false">
      <c r="A522" s="448" t="n">
        <f aca="false">IF(B521+0.01&lt;=T_ini+ROUNDUP(Temps_fin_propu,0), 0.01, IF(K521&gt;0, 0.1, 0.0001))</f>
        <v>0.1</v>
      </c>
      <c r="B522" s="449" t="n">
        <f aca="false">B521+pas</f>
        <v>15.7999999999999</v>
      </c>
      <c r="C522" s="432"/>
      <c r="D522" s="450" t="n">
        <f aca="false">IF(AND(L521&lt;L_rampe,Poussee&lt;Poids*SIN(M521)),0,(-W521+Poussee)/m*COS(M521)-U521/m*SIN(M521))</f>
        <v>-0.282145803163524</v>
      </c>
      <c r="E522" s="451" t="n">
        <f aca="false">IF(AND(L521&lt;L_rampe,Poussee&lt;Poids*SIN(M521)),0,(-W521+Poussee)/m*SIN(M521)+U521/m*COS(M521)-Poids/m)</f>
        <v>-9.95962526544184</v>
      </c>
      <c r="F522" s="449" t="n">
        <f aca="false">SQRT(acc_x^2+acc_z^2)</f>
        <v>9.9636209122121</v>
      </c>
      <c r="G522" s="450" t="n">
        <f aca="false">G521+acc_x*pas</f>
        <v>30.1692494154634</v>
      </c>
      <c r="H522" s="451" t="n">
        <f aca="false">H521+acc_z*pas</f>
        <v>15.018110748259</v>
      </c>
      <c r="I522" s="449" t="n">
        <f aca="false">SQRT(vit_x^2+vit_z^2)</f>
        <v>33.7005528254272</v>
      </c>
      <c r="J522" s="450" t="n">
        <f aca="false">J521+0.5*(vit_x+G521)*pas*(K521&gt;=0)</f>
        <v>504.853049249096</v>
      </c>
      <c r="K522" s="451" t="n">
        <f aca="false">K521+0.5*(vit_z+H521)*pas</f>
        <v>1411.54129383475</v>
      </c>
      <c r="L522" s="449" t="n">
        <f aca="false">SQRT(pos_x^2+pos_z^2)</f>
        <v>1499.10821008251</v>
      </c>
      <c r="M522" s="450" t="n">
        <f aca="false">IF(AND(L521&gt;L_rampe,G522&gt;0),ATAN2(G522,H522),$M$4)</f>
        <v>0.461882298943699</v>
      </c>
      <c r="N522" s="449" t="n">
        <f aca="false">DEGREES(Beta)</f>
        <v>26.4639063612738</v>
      </c>
      <c r="O522" s="438"/>
      <c r="P522" s="452" t="n">
        <f aca="false">MATCH(t-pas/2-T_ini,CdP_t)</f>
        <v>23</v>
      </c>
      <c r="Q522" s="449" t="n">
        <f aca="false">(INDEX(CdP,2,i_P+1)-INDEX(CdP,2,i_P+0))/(INDEX(CdP,1,i_P+1)-INDEX(CdP,1,i_P+0))*(t-pas/2-T_ini-INDEX(CdP,1,i_P+0))+INDEX(CdP,2,i_P+0)</f>
        <v>0</v>
      </c>
      <c r="R522" s="450" t="n">
        <f aca="false">Poussee/(g*ISP)</f>
        <v>0</v>
      </c>
      <c r="S522" s="451" t="n">
        <f aca="false">S521-Débit*pas</f>
        <v>8.652</v>
      </c>
      <c r="T522" s="449" t="n">
        <f aca="false">m*g</f>
        <v>84.87612</v>
      </c>
      <c r="U522" s="453" t="n">
        <f aca="false">IF(pos_xz&lt;L_rampe,Poids*COS(Beta),0)</f>
        <v>0</v>
      </c>
      <c r="V522" s="450" t="n">
        <f aca="false">Rho_moyen*(20000-Alt_rampe-pos_z)/(20000+Alt_rampe+pos_z)</f>
        <v>1.0634854166995</v>
      </c>
      <c r="W522" s="449" t="n">
        <f aca="false">1/2*Rho*Sref*Cx*vit_xz^2</f>
        <v>2.68560307877135</v>
      </c>
      <c r="X522" s="438"/>
      <c r="Y522" s="454" t="str">
        <f aca="false">IF(AND(pos_z&lt;=0,K521&gt;0),"Impact balistique","") &amp; IF(AND(H523&lt;0,vit_z&gt;=0),"Apogée","") &amp; IF(AND(Poussee=0,Q521&gt;0),"Fin de propulsion","") &amp; IF(AND(L523&gt;L_rampe,pos_xz&lt;=L_rampe),"Sortie de rampe","")</f>
        <v/>
      </c>
      <c r="Z522" s="455" t="str">
        <f aca="false">IF(ABS(t-T_para)&lt;pas/2,"Para","")</f>
        <v/>
      </c>
      <c r="AA522" s="456" t="str">
        <f aca="false">IF(ABS(t-T_satellite)&lt;pas/2,"Satellite","")</f>
        <v/>
      </c>
      <c r="AB522" s="444"/>
      <c r="AC522" s="452" t="e">
        <f aca="false">IF(ABS(t-ROUND(t,0))&lt;0.001,t,NA())</f>
        <v>#N/A</v>
      </c>
      <c r="AD522" s="457" t="e">
        <f aca="false">IF(ABS(t-ROUND(t,0))&lt;0.001,pos_x,NA())</f>
        <v>#N/A</v>
      </c>
      <c r="AE522" s="458" t="n">
        <f aca="false">IF(t&lt;T_para, pos_z, NA())</f>
        <v>1411.54129383475</v>
      </c>
      <c r="AF522" s="444"/>
      <c r="AG522" s="450" t="n">
        <f aca="false">IF(AND(L521&lt;L_rampe,Poussee&lt;Poids*SIN(M521)),0,(-W521+Poussee)/m-Poids*SIN(M521)/m)</f>
        <v>-4.91543547624783</v>
      </c>
      <c r="AH522" s="449" t="n">
        <f aca="false">IF(AND(L521&lt;L_rampe,Poussee&lt;Poids*SIN(M521)), g*SIN(M521), (-W521+Poussee)/m)</f>
        <v>-0.319364954716905</v>
      </c>
    </row>
    <row r="523" customFormat="false" ht="12" hidden="false" customHeight="false" outlineLevel="0" collapsed="false">
      <c r="A523" s="448" t="n">
        <f aca="false">IF(B522+0.01&lt;=T_ini+ROUNDUP(Temps_fin_propu,0), 0.01, IF(K522&gt;0, 0.1, 0.0001))</f>
        <v>0.1</v>
      </c>
      <c r="B523" s="449" t="n">
        <f aca="false">B522+pas</f>
        <v>15.8999999999999</v>
      </c>
      <c r="C523" s="432"/>
      <c r="D523" s="450" t="n">
        <f aca="false">IF(AND(L522&lt;L_rampe,Poussee&lt;Poids*SIN(M522)),0,(-W522+Poussee)/m*COS(M522)-U522/m*SIN(M522))</f>
        <v>-0.277877124225181</v>
      </c>
      <c r="E523" s="451" t="n">
        <f aca="false">IF(AND(L522&lt;L_rampe,Poussee&lt;Poids*SIN(M522)),0,(-W522+Poussee)/m*SIN(M522)+U522/m*COS(M522)-Poids/m)</f>
        <v>-9.94832592811814</v>
      </c>
      <c r="F523" s="449" t="n">
        <f aca="false">SQRT(acc_x^2+acc_z^2)</f>
        <v>9.95220601013842</v>
      </c>
      <c r="G523" s="450" t="n">
        <f aca="false">G522+acc_x*pas</f>
        <v>30.1414617030409</v>
      </c>
      <c r="H523" s="451" t="n">
        <f aca="false">H522+acc_z*pas</f>
        <v>14.0232781554472</v>
      </c>
      <c r="I523" s="449" t="n">
        <f aca="false">SQRT(vit_x^2+vit_z^2)</f>
        <v>33.2439474765095</v>
      </c>
      <c r="J523" s="450" t="n">
        <f aca="false">J522+0.5*(vit_x+G522)*pas*(K522&gt;=0)</f>
        <v>507.868584805021</v>
      </c>
      <c r="K523" s="451" t="n">
        <f aca="false">K522+0.5*(vit_z+H522)*pas</f>
        <v>1412.99336327994</v>
      </c>
      <c r="L523" s="449" t="n">
        <f aca="false">SQRT(pos_x^2+pos_z^2)</f>
        <v>1501.49283851273</v>
      </c>
      <c r="M523" s="450" t="n">
        <f aca="false">IF(AND(L522&gt;L_rampe,G523&gt;0),ATAN2(G523,H523),$M$4)</f>
        <v>0.435462200841454</v>
      </c>
      <c r="N523" s="449" t="n">
        <f aca="false">DEGREES(Beta)</f>
        <v>24.9501462456935</v>
      </c>
      <c r="O523" s="438"/>
      <c r="P523" s="452" t="n">
        <f aca="false">MATCH(t-pas/2-T_ini,CdP_t)</f>
        <v>23</v>
      </c>
      <c r="Q523" s="449" t="n">
        <f aca="false">(INDEX(CdP,2,i_P+1)-INDEX(CdP,2,i_P+0))/(INDEX(CdP,1,i_P+1)-INDEX(CdP,1,i_P+0))*(t-pas/2-T_ini-INDEX(CdP,1,i_P+0))+INDEX(CdP,2,i_P+0)</f>
        <v>0</v>
      </c>
      <c r="R523" s="450" t="n">
        <f aca="false">Poussee/(g*ISP)</f>
        <v>0</v>
      </c>
      <c r="S523" s="451" t="n">
        <f aca="false">S522-Débit*pas</f>
        <v>8.652</v>
      </c>
      <c r="T523" s="449" t="n">
        <f aca="false">m*g</f>
        <v>84.87612</v>
      </c>
      <c r="U523" s="453" t="n">
        <f aca="false">IF(pos_xz&lt;L_rampe,Poids*COS(Beta),0)</f>
        <v>0</v>
      </c>
      <c r="V523" s="450" t="n">
        <f aca="false">Rho_moyen*(20000-Alt_rampe-pos_z)/(20000+Alt_rampe+pos_z)</f>
        <v>1.06333022869318</v>
      </c>
      <c r="W523" s="449" t="n">
        <f aca="false">1/2*Rho*Sref*Cx*vit_xz^2</f>
        <v>2.61294081192623</v>
      </c>
      <c r="X523" s="438"/>
      <c r="Y523" s="454" t="str">
        <f aca="false">IF(AND(pos_z&lt;=0,K522&gt;0),"Impact balistique","") &amp; IF(AND(H524&lt;0,vit_z&gt;=0),"Apogée","") &amp; IF(AND(Poussee=0,Q522&gt;0),"Fin de propulsion","") &amp; IF(AND(L524&gt;L_rampe,pos_xz&lt;=L_rampe),"Sortie de rampe","")</f>
        <v/>
      </c>
      <c r="Z523" s="455" t="str">
        <f aca="false">IF(ABS(t-T_para)&lt;pas/2,"Para","")</f>
        <v/>
      </c>
      <c r="AA523" s="456" t="str">
        <f aca="false">IF(ABS(t-T_satellite)&lt;pas/2,"Satellite","")</f>
        <v/>
      </c>
      <c r="AB523" s="444"/>
      <c r="AC523" s="452" t="e">
        <f aca="false">IF(ABS(t-ROUND(t,0))&lt;0.001,t,NA())</f>
        <v>#N/A</v>
      </c>
      <c r="AD523" s="457" t="e">
        <f aca="false">IF(ABS(t-ROUND(t,0))&lt;0.001,pos_x,NA())</f>
        <v>#N/A</v>
      </c>
      <c r="AE523" s="458" t="n">
        <f aca="false">IF(t&lt;T_para, pos_z, NA())</f>
        <v>1412.99336327994</v>
      </c>
      <c r="AF523" s="444"/>
      <c r="AG523" s="450" t="n">
        <f aca="false">IF(AND(L522&lt;L_rampe,Poussee&lt;Poids*SIN(M522)),0,(-W522+Poussee)/m-Poids*SIN(M522)/m)</f>
        <v>-4.68207170467552</v>
      </c>
      <c r="AH523" s="449" t="n">
        <f aca="false">IF(AND(L522&lt;L_rampe,Poussee&lt;Poids*SIN(M522)), g*SIN(M522), (-W522+Poussee)/m)</f>
        <v>-0.310402574985131</v>
      </c>
    </row>
    <row r="524" customFormat="false" ht="12" hidden="false" customHeight="false" outlineLevel="0" collapsed="false">
      <c r="A524" s="448" t="n">
        <f aca="false">IF(B523+0.01&lt;=T_ini+ROUNDUP(Temps_fin_propu,0), 0.01, IF(K523&gt;0, 0.1, 0.0001))</f>
        <v>0.1</v>
      </c>
      <c r="B524" s="449" t="n">
        <f aca="false">B523+pas</f>
        <v>15.9999999999999</v>
      </c>
      <c r="C524" s="432"/>
      <c r="D524" s="450" t="n">
        <f aca="false">IF(AND(L523&lt;L_rampe,Poussee&lt;Poids*SIN(M523)),0,(-W523+Poussee)/m*COS(M523)-U523/m*SIN(M523))</f>
        <v>-0.273819758755779</v>
      </c>
      <c r="E524" s="451" t="n">
        <f aca="false">IF(AND(L523&lt;L_rampe,Poussee&lt;Poids*SIN(M523)),0,(-W523+Poussee)/m*SIN(M523)+U523/m*COS(M523)-Poids/m)</f>
        <v>-9.93739430752631</v>
      </c>
      <c r="F524" s="449" t="n">
        <f aca="false">SQRT(acc_x^2+acc_z^2)</f>
        <v>9.94116607262656</v>
      </c>
      <c r="G524" s="450" t="n">
        <f aca="false">G523+acc_x*pas</f>
        <v>30.1140797271653</v>
      </c>
      <c r="H524" s="451" t="n">
        <f aca="false">H523+acc_z*pas</f>
        <v>13.0295387246945</v>
      </c>
      <c r="I524" s="449" t="n">
        <f aca="false">SQRT(vit_x^2+vit_z^2)</f>
        <v>32.8119898389656</v>
      </c>
      <c r="J524" s="450" t="n">
        <f aca="false">J523+0.5*(vit_x+G523)*pas*(K523&gt;=0)</f>
        <v>510.881361876531</v>
      </c>
      <c r="K524" s="451" t="n">
        <f aca="false">K523+0.5*(vit_z+H523)*pas</f>
        <v>1414.34600412394</v>
      </c>
      <c r="L524" s="449" t="n">
        <f aca="false">SQRT(pos_x^2+pos_z^2)</f>
        <v>1503.78668211093</v>
      </c>
      <c r="M524" s="450" t="n">
        <f aca="false">IF(AND(L523&gt;L_rampe,G524&gt;0),ATAN2(G524,H524),$M$4)</f>
        <v>0.408351461414921</v>
      </c>
      <c r="N524" s="449" t="n">
        <f aca="false">DEGREES(Beta)</f>
        <v>23.3968152970743</v>
      </c>
      <c r="O524" s="438"/>
      <c r="P524" s="452" t="n">
        <f aca="false">MATCH(t-pas/2-T_ini,CdP_t)</f>
        <v>23</v>
      </c>
      <c r="Q524" s="449" t="n">
        <f aca="false">(INDEX(CdP,2,i_P+1)-INDEX(CdP,2,i_P+0))/(INDEX(CdP,1,i_P+1)-INDEX(CdP,1,i_P+0))*(t-pas/2-T_ini-INDEX(CdP,1,i_P+0))+INDEX(CdP,2,i_P+0)</f>
        <v>0</v>
      </c>
      <c r="R524" s="450" t="n">
        <f aca="false">Poussee/(g*ISP)</f>
        <v>0</v>
      </c>
      <c r="S524" s="451" t="n">
        <f aca="false">S523-Débit*pas</f>
        <v>8.652</v>
      </c>
      <c r="T524" s="449" t="n">
        <f aca="false">m*g</f>
        <v>84.87612</v>
      </c>
      <c r="U524" s="453" t="n">
        <f aca="false">IF(pos_xz&lt;L_rampe,Poids*COS(Beta),0)</f>
        <v>0</v>
      </c>
      <c r="V524" s="450" t="n">
        <f aca="false">Rho_moyen*(20000-Alt_rampe-pos_z)/(20000+Alt_rampe+pos_z)</f>
        <v>1.06318568592119</v>
      </c>
      <c r="W524" s="449" t="n">
        <f aca="false">1/2*Rho*Sref*Cx*vit_xz^2</f>
        <v>2.54513307400995</v>
      </c>
      <c r="X524" s="438"/>
      <c r="Y524" s="454" t="str">
        <f aca="false">IF(AND(pos_z&lt;=0,K523&gt;0),"Impact balistique","") &amp; IF(AND(H525&lt;0,vit_z&gt;=0),"Apogée","") &amp; IF(AND(Poussee=0,Q523&gt;0),"Fin de propulsion","") &amp; IF(AND(L525&gt;L_rampe,pos_xz&lt;=L_rampe),"Sortie de rampe","")</f>
        <v/>
      </c>
      <c r="Z524" s="455" t="str">
        <f aca="false">IF(ABS(t-T_para)&lt;pas/2,"Para","")</f>
        <v>Para</v>
      </c>
      <c r="AA524" s="456" t="str">
        <f aca="false">IF(ABS(t-T_satellite)&lt;pas/2,"Satellite","")</f>
        <v/>
      </c>
      <c r="AB524" s="444"/>
      <c r="AC524" s="452" t="n">
        <f aca="false">IF(ABS(t-ROUND(t,0))&lt;0.001,t,NA())</f>
        <v>15.9999999999999</v>
      </c>
      <c r="AD524" s="457" t="n">
        <f aca="false">IF(ABS(t-ROUND(t,0))&lt;0.001,pos_x,NA())</f>
        <v>510.881361876531</v>
      </c>
      <c r="AE524" s="458" t="n">
        <f aca="false">IF(t&lt;T_para, pos_z, NA())</f>
        <v>1414.34600412394</v>
      </c>
      <c r="AF524" s="444"/>
      <c r="AG524" s="450" t="n">
        <f aca="false">IF(AND(L523&lt;L_rampe,Poussee&lt;Poids*SIN(M523)),0,(-W523+Poussee)/m-Poids*SIN(M523)/m)</f>
        <v>-4.44015177172246</v>
      </c>
      <c r="AH524" s="449" t="n">
        <f aca="false">IF(AND(L523&lt;L_rampe,Poussee&lt;Poids*SIN(M523)), g*SIN(M523), (-W523+Poussee)/m)</f>
        <v>-0.302004254730263</v>
      </c>
    </row>
    <row r="525" customFormat="false" ht="12" hidden="false" customHeight="false" outlineLevel="0" collapsed="false">
      <c r="A525" s="448" t="n">
        <f aca="false">IF(B524+0.01&lt;=T_ini+ROUNDUP(Temps_fin_propu,0), 0.01, IF(K524&gt;0, 0.1, 0.0001))</f>
        <v>0.1</v>
      </c>
      <c r="B525" s="449" t="n">
        <f aca="false">B524+pas</f>
        <v>16.0999999999999</v>
      </c>
      <c r="C525" s="432"/>
      <c r="D525" s="450" t="n">
        <f aca="false">IF(AND(L524&lt;L_rampe,Poussee&lt;Poids*SIN(M524)),0,(-W524+Poussee)/m*COS(M524)-U524/m*SIN(M524))</f>
        <v>-0.269979638416447</v>
      </c>
      <c r="E525" s="451" t="n">
        <f aca="false">IF(AND(L524&lt;L_rampe,Poussee&lt;Poids*SIN(M524)),0,(-W524+Poussee)/m*SIN(M524)+U524/m*COS(M524)-Poids/m)</f>
        <v>-9.92681280601953</v>
      </c>
      <c r="F525" s="449" t="n">
        <f aca="false">SQRT(acc_x^2+acc_z^2)</f>
        <v>9.93048344698851</v>
      </c>
      <c r="G525" s="450" t="n">
        <f aca="false">G524+acc_x*pas</f>
        <v>30.0870817633237</v>
      </c>
      <c r="H525" s="451" t="n">
        <f aca="false">H524+acc_z*pas</f>
        <v>12.0368574440926</v>
      </c>
      <c r="I525" s="449" t="n">
        <f aca="false">SQRT(vit_x^2+vit_z^2)</f>
        <v>32.4055307958739</v>
      </c>
      <c r="J525" s="450" t="n">
        <f aca="false">J524+0.5*(vit_x+G524)*pas*(K524&gt;=0)</f>
        <v>513.891419951056</v>
      </c>
      <c r="K525" s="451" t="n">
        <f aca="false">K524+0.5*(vit_z+H524)*pas</f>
        <v>1415.59932393238</v>
      </c>
      <c r="L525" s="449" t="n">
        <f aca="false">SQRT(pos_x^2+pos_z^2)</f>
        <v>1505.98998582897</v>
      </c>
      <c r="M525" s="450" t="n">
        <f aca="false">IF(AND(L524&gt;L_rampe,G525&gt;0),ATAN2(G525,H525),$M$4)</f>
        <v>0.380564389516469</v>
      </c>
      <c r="N525" s="449" t="n">
        <f aca="false">DEGREES(Beta)</f>
        <v>21.8047333522664</v>
      </c>
      <c r="O525" s="438"/>
      <c r="P525" s="452" t="n">
        <f aca="false">MATCH(t-pas/2-T_ini,CdP_t)</f>
        <v>23</v>
      </c>
      <c r="Q525" s="449" t="n">
        <f aca="false">(INDEX(CdP,2,i_P+1)-INDEX(CdP,2,i_P+0))/(INDEX(CdP,1,i_P+1)-INDEX(CdP,1,i_P+0))*(t-pas/2-T_ini-INDEX(CdP,1,i_P+0))+INDEX(CdP,2,i_P+0)</f>
        <v>0</v>
      </c>
      <c r="R525" s="450" t="n">
        <f aca="false">Poussee/(g*ISP)</f>
        <v>0</v>
      </c>
      <c r="S525" s="451" t="n">
        <f aca="false">S524-Débit*pas</f>
        <v>8.652</v>
      </c>
      <c r="T525" s="449" t="n">
        <f aca="false">m*g</f>
        <v>84.87612</v>
      </c>
      <c r="U525" s="453" t="n">
        <f aca="false">IF(pos_xz&lt;L_rampe,Poids*COS(Beta),0)</f>
        <v>0</v>
      </c>
      <c r="V525" s="450" t="n">
        <f aca="false">Rho_moyen*(20000-Alt_rampe-pos_z)/(20000+Alt_rampe+pos_z)</f>
        <v>1.0630517728608</v>
      </c>
      <c r="W525" s="449" t="n">
        <f aca="false">1/2*Rho*Sref*Cx*vit_xz^2</f>
        <v>2.48215519556713</v>
      </c>
      <c r="X525" s="438"/>
      <c r="Y525" s="454" t="str">
        <f aca="false">IF(AND(pos_z&lt;=0,K524&gt;0),"Impact balistique","") &amp; IF(AND(H526&lt;0,vit_z&gt;=0),"Apogée","") &amp; IF(AND(Poussee=0,Q524&gt;0),"Fin de propulsion","") &amp; IF(AND(L526&gt;L_rampe,pos_xz&lt;=L_rampe),"Sortie de rampe","")</f>
        <v/>
      </c>
      <c r="Z525" s="455" t="str">
        <f aca="false">IF(ABS(t-T_para)&lt;pas/2,"Para","")</f>
        <v/>
      </c>
      <c r="AA525" s="456" t="str">
        <f aca="false">IF(ABS(t-T_satellite)&lt;pas/2,"Satellite","")</f>
        <v/>
      </c>
      <c r="AB525" s="444"/>
      <c r="AC525" s="452" t="e">
        <f aca="false">IF(ABS(t-ROUND(t,0))&lt;0.001,t,NA())</f>
        <v>#N/A</v>
      </c>
      <c r="AD525" s="457" t="e">
        <f aca="false">IF(ABS(t-ROUND(t,0))&lt;0.001,pos_x,NA())</f>
        <v>#N/A</v>
      </c>
      <c r="AE525" s="458" t="e">
        <f aca="false">IF(t&lt;T_para, pos_z, NA())</f>
        <v>#N/A</v>
      </c>
      <c r="AF525" s="444"/>
      <c r="AG525" s="450" t="n">
        <f aca="false">IF(AND(L524&lt;L_rampe,Poussee&lt;Poids*SIN(M524)),0,(-W524+Poussee)/m-Poids*SIN(M524)/m)</f>
        <v>-4.18968739474482</v>
      </c>
      <c r="AH525" s="449" t="n">
        <f aca="false">IF(AND(L524&lt;L_rampe,Poussee&lt;Poids*SIN(M524)), g*SIN(M524), (-W524+Poussee)/m)</f>
        <v>-0.29416702196139</v>
      </c>
    </row>
    <row r="526" customFormat="false" ht="12" hidden="false" customHeight="false" outlineLevel="0" collapsed="false">
      <c r="A526" s="448" t="n">
        <f aca="false">IF(B525+0.01&lt;=T_ini+ROUNDUP(Temps_fin_propu,0), 0.01, IF(K525&gt;0, 0.1, 0.0001))</f>
        <v>0.1</v>
      </c>
      <c r="B526" s="449" t="n">
        <f aca="false">B525+pas</f>
        <v>16.1999999999999</v>
      </c>
      <c r="C526" s="432"/>
      <c r="D526" s="450" t="n">
        <f aca="false">IF(AND(L525&lt;L_rampe,Poussee&lt;Poids*SIN(M525)),0,(-W525+Poussee)/m*COS(M525)-U525/m*SIN(M525))</f>
        <v>-0.266362662930176</v>
      </c>
      <c r="E526" s="451" t="n">
        <f aca="false">IF(AND(L525&lt;L_rampe,Poussee&lt;Poids*SIN(M525)),0,(-W525+Poussee)/m*SIN(M525)+U525/m*COS(M525)-Poids/m)</f>
        <v>-9.91656299030063</v>
      </c>
      <c r="F526" s="449" t="n">
        <f aca="false">SQRT(acc_x^2+acc_z^2)</f>
        <v>9.92013964663822</v>
      </c>
      <c r="G526" s="450" t="n">
        <f aca="false">G525+acc_x*pas</f>
        <v>30.0604454970307</v>
      </c>
      <c r="H526" s="451" t="n">
        <f aca="false">H525+acc_z*pas</f>
        <v>11.0452011450625</v>
      </c>
      <c r="I526" s="449" t="n">
        <f aca="false">SQRT(vit_x^2+vit_z^2)</f>
        <v>32.0254094714625</v>
      </c>
      <c r="J526" s="450" t="n">
        <f aca="false">J525+0.5*(vit_x+G525)*pas*(K525&gt;=0)</f>
        <v>516.898796314073</v>
      </c>
      <c r="K526" s="451" t="n">
        <f aca="false">K525+0.5*(vit_z+H525)*pas</f>
        <v>1416.75342686184</v>
      </c>
      <c r="L526" s="449" t="n">
        <f aca="false">SQRT(pos_x^2+pos_z^2)</f>
        <v>1508.10299321887</v>
      </c>
      <c r="M526" s="450" t="n">
        <f aca="false">IF(AND(L525&gt;L_rampe,G526&gt;0),ATAN2(G526,H526),$M$4)</f>
        <v>0.352120184050955</v>
      </c>
      <c r="N526" s="449" t="n">
        <f aca="false">DEGREES(Beta)</f>
        <v>20.1750004274895</v>
      </c>
      <c r="O526" s="438"/>
      <c r="P526" s="452" t="n">
        <f aca="false">MATCH(t-pas/2-T_ini,CdP_t)</f>
        <v>23</v>
      </c>
      <c r="Q526" s="449" t="n">
        <f aca="false">(INDEX(CdP,2,i_P+1)-INDEX(CdP,2,i_P+0))/(INDEX(CdP,1,i_P+1)-INDEX(CdP,1,i_P+0))*(t-pas/2-T_ini-INDEX(CdP,1,i_P+0))+INDEX(CdP,2,i_P+0)</f>
        <v>0</v>
      </c>
      <c r="R526" s="450" t="n">
        <f aca="false">Poussee/(g*ISP)</f>
        <v>0</v>
      </c>
      <c r="S526" s="451" t="n">
        <f aca="false">S525-Débit*pas</f>
        <v>8.652</v>
      </c>
      <c r="T526" s="449" t="n">
        <f aca="false">m*g</f>
        <v>84.87612</v>
      </c>
      <c r="U526" s="453" t="n">
        <f aca="false">IF(pos_xz&lt;L_rampe,Poids*COS(Beta),0)</f>
        <v>0</v>
      </c>
      <c r="V526" s="450" t="n">
        <f aca="false">Rho_moyen*(20000-Alt_rampe-pos_z)/(20000+Alt_rampe+pos_z)</f>
        <v>1.06292847465583</v>
      </c>
      <c r="W526" s="449" t="n">
        <f aca="false">1/2*Rho*Sref*Cx*vit_xz^2</f>
        <v>2.42398350950247</v>
      </c>
      <c r="X526" s="438"/>
      <c r="Y526" s="454" t="str">
        <f aca="false">IF(AND(pos_z&lt;=0,K525&gt;0),"Impact balistique","") &amp; IF(AND(H527&lt;0,vit_z&gt;=0),"Apogée","") &amp; IF(AND(Poussee=0,Q525&gt;0),"Fin de propulsion","") &amp; IF(AND(L527&gt;L_rampe,pos_xz&lt;=L_rampe),"Sortie de rampe","")</f>
        <v/>
      </c>
      <c r="Z526" s="455" t="str">
        <f aca="false">IF(ABS(t-T_para)&lt;pas/2,"Para","")</f>
        <v/>
      </c>
      <c r="AA526" s="456" t="str">
        <f aca="false">IF(ABS(t-T_satellite)&lt;pas/2,"Satellite","")</f>
        <v/>
      </c>
      <c r="AB526" s="444"/>
      <c r="AC526" s="452" t="e">
        <f aca="false">IF(ABS(t-ROUND(t,0))&lt;0.001,t,NA())</f>
        <v>#N/A</v>
      </c>
      <c r="AD526" s="457" t="e">
        <f aca="false">IF(ABS(t-ROUND(t,0))&lt;0.001,pos_x,NA())</f>
        <v>#N/A</v>
      </c>
      <c r="AE526" s="458" t="e">
        <f aca="false">IF(t&lt;T_para, pos_z, NA())</f>
        <v>#N/A</v>
      </c>
      <c r="AF526" s="444"/>
      <c r="AG526" s="450" t="n">
        <f aca="false">IF(AND(L525&lt;L_rampe,Poussee&lt;Poids*SIN(M525)),0,(-W525+Poussee)/m-Poids*SIN(M525)/m)</f>
        <v>-3.93075895192893</v>
      </c>
      <c r="AH526" s="449" t="n">
        <f aca="false">IF(AND(L525&lt;L_rampe,Poussee&lt;Poids*SIN(M525)), g*SIN(M525), (-W525+Poussee)/m)</f>
        <v>-0.286888025377616</v>
      </c>
    </row>
    <row r="527" customFormat="false" ht="12" hidden="false" customHeight="false" outlineLevel="0" collapsed="false">
      <c r="A527" s="448" t="n">
        <f aca="false">IF(B526+0.01&lt;=T_ini+ROUNDUP(Temps_fin_propu,0), 0.01, IF(K526&gt;0, 0.1, 0.0001))</f>
        <v>0.1</v>
      </c>
      <c r="B527" s="449" t="n">
        <f aca="false">B526+pas</f>
        <v>16.2999999999999</v>
      </c>
      <c r="C527" s="432"/>
      <c r="D527" s="450" t="n">
        <f aca="false">IF(AND(L526&lt;L_rampe,Poussee&lt;Poids*SIN(M526)),0,(-W526+Poussee)/m*COS(M526)-U526/m*SIN(M526))</f>
        <v>-0.262974641360117</v>
      </c>
      <c r="E527" s="451" t="n">
        <f aca="false">IF(AND(L526&lt;L_rampe,Poussee&lt;Poids*SIN(M526)),0,(-W526+Poussee)/m*SIN(M526)+U526/m*COS(M526)-Poids/m)</f>
        <v>-9.90662557430029</v>
      </c>
      <c r="F527" s="449" t="n">
        <f aca="false">SQRT(acc_x^2+acc_z^2)</f>
        <v>9.91011533390904</v>
      </c>
      <c r="G527" s="450" t="n">
        <f aca="false">G526+acc_x*pas</f>
        <v>30.0341480328946</v>
      </c>
      <c r="H527" s="451" t="n">
        <f aca="false">H526+acc_z*pas</f>
        <v>10.0545385876325</v>
      </c>
      <c r="I527" s="449" t="n">
        <f aca="false">SQRT(vit_x^2+vit_z^2)</f>
        <v>31.6724453472102</v>
      </c>
      <c r="J527" s="450" t="n">
        <f aca="false">J526+0.5*(vit_x+G526)*pas*(K526&gt;=0)</f>
        <v>519.903525990569</v>
      </c>
      <c r="K527" s="451" t="n">
        <f aca="false">K526+0.5*(vit_z+H526)*pas</f>
        <v>1417.80841384848</v>
      </c>
      <c r="L527" s="449" t="n">
        <f aca="false">SQRT(pos_x^2+pos_z^2)</f>
        <v>1510.12594664053</v>
      </c>
      <c r="M527" s="450" t="n">
        <f aca="false">IF(AND(L526&gt;L_rampe,G527&gt;0),ATAN2(G527,H527),$M$4)</f>
        <v>0.323043201743033</v>
      </c>
      <c r="N527" s="449" t="n">
        <f aca="false">DEGREES(Beta)</f>
        <v>18.509012060269</v>
      </c>
      <c r="O527" s="438"/>
      <c r="P527" s="452" t="n">
        <f aca="false">MATCH(t-pas/2-T_ini,CdP_t)</f>
        <v>23</v>
      </c>
      <c r="Q527" s="449" t="n">
        <f aca="false">(INDEX(CdP,2,i_P+1)-INDEX(CdP,2,i_P+0))/(INDEX(CdP,1,i_P+1)-INDEX(CdP,1,i_P+0))*(t-pas/2-T_ini-INDEX(CdP,1,i_P+0))+INDEX(CdP,2,i_P+0)</f>
        <v>0</v>
      </c>
      <c r="R527" s="450" t="n">
        <f aca="false">Poussee/(g*ISP)</f>
        <v>0</v>
      </c>
      <c r="S527" s="451" t="n">
        <f aca="false">S526-Débit*pas</f>
        <v>8.652</v>
      </c>
      <c r="T527" s="449" t="n">
        <f aca="false">m*g</f>
        <v>84.87612</v>
      </c>
      <c r="U527" s="453" t="n">
        <f aca="false">IF(pos_xz&lt;L_rampe,Poids*COS(Beta),0)</f>
        <v>0</v>
      </c>
      <c r="V527" s="450" t="n">
        <f aca="false">Rho_moyen*(20000-Alt_rampe-pos_z)/(20000+Alt_rampe+pos_z)</f>
        <v>1.06281577709497</v>
      </c>
      <c r="W527" s="449" t="n">
        <f aca="false">1/2*Rho*Sref*Cx*vit_xz^2</f>
        <v>2.37059530818128</v>
      </c>
      <c r="X527" s="438"/>
      <c r="Y527" s="454" t="str">
        <f aca="false">IF(AND(pos_z&lt;=0,K526&gt;0),"Impact balistique","") &amp; IF(AND(H528&lt;0,vit_z&gt;=0),"Apogée","") &amp; IF(AND(Poussee=0,Q526&gt;0),"Fin de propulsion","") &amp; IF(AND(L528&gt;L_rampe,pos_xz&lt;=L_rampe),"Sortie de rampe","")</f>
        <v/>
      </c>
      <c r="Z527" s="455" t="str">
        <f aca="false">IF(ABS(t-T_para)&lt;pas/2,"Para","")</f>
        <v/>
      </c>
      <c r="AA527" s="456" t="str">
        <f aca="false">IF(ABS(t-T_satellite)&lt;pas/2,"Satellite","")</f>
        <v/>
      </c>
      <c r="AB527" s="444"/>
      <c r="AC527" s="452" t="e">
        <f aca="false">IF(ABS(t-ROUND(t,0))&lt;0.001,t,NA())</f>
        <v>#N/A</v>
      </c>
      <c r="AD527" s="457" t="e">
        <f aca="false">IF(ABS(t-ROUND(t,0))&lt;0.001,pos_x,NA())</f>
        <v>#N/A</v>
      </c>
      <c r="AE527" s="458" t="e">
        <f aca="false">IF(t&lt;T_para, pos_z, NA())</f>
        <v>#N/A</v>
      </c>
      <c r="AF527" s="444"/>
      <c r="AG527" s="450" t="n">
        <f aca="false">IF(AND(L526&lt;L_rampe,Poussee&lt;Poids*SIN(M526)),0,(-W526+Poussee)/m-Poids*SIN(M526)/m)</f>
        <v>-3.66352246378682</v>
      </c>
      <c r="AH527" s="449" t="n">
        <f aca="false">IF(AND(L526&lt;L_rampe,Poussee&lt;Poids*SIN(M526)), g*SIN(M526), (-W526+Poussee)/m)</f>
        <v>-0.28016452953103</v>
      </c>
    </row>
    <row r="528" customFormat="false" ht="12" hidden="false" customHeight="false" outlineLevel="0" collapsed="false">
      <c r="A528" s="448" t="n">
        <f aca="false">IF(B527+0.01&lt;=T_ini+ROUNDUP(Temps_fin_propu,0), 0.01, IF(K527&gt;0, 0.1, 0.0001))</f>
        <v>0.1</v>
      </c>
      <c r="B528" s="449" t="n">
        <f aca="false">B527+pas</f>
        <v>16.3999999999999</v>
      </c>
      <c r="C528" s="432"/>
      <c r="D528" s="450" t="n">
        <f aca="false">IF(AND(L527&lt;L_rampe,Poussee&lt;Poids*SIN(M527)),0,(-W527+Poussee)/m*COS(M527)-U527/m*SIN(M527))</f>
        <v>-0.259821228164928</v>
      </c>
      <c r="E528" s="451" t="n">
        <f aca="false">IF(AND(L527&lt;L_rampe,Poussee&lt;Poids*SIN(M527)),0,(-W527+Poussee)/m*SIN(M527)+U527/m*COS(M527)-Poids/m)</f>
        <v>-9.89698041181688</v>
      </c>
      <c r="F528" s="449" t="n">
        <f aca="false">SQRT(acc_x^2+acc_z^2)</f>
        <v>9.90039031263375</v>
      </c>
      <c r="G528" s="450" t="n">
        <f aca="false">G527+acc_x*pas</f>
        <v>30.0081659100781</v>
      </c>
      <c r="H528" s="451" t="n">
        <f aca="false">H527+acc_z*pas</f>
        <v>9.06484054645079</v>
      </c>
      <c r="I528" s="449" t="n">
        <f aca="false">SQRT(vit_x^2+vit_z^2)</f>
        <v>31.3474298056372</v>
      </c>
      <c r="J528" s="450" t="n">
        <f aca="false">J527+0.5*(vit_x+G527)*pas*(K527&gt;=0)</f>
        <v>522.905641687718</v>
      </c>
      <c r="K528" s="451" t="n">
        <f aca="false">K527+0.5*(vit_z+H527)*pas</f>
        <v>1418.76438280518</v>
      </c>
      <c r="L528" s="449" t="n">
        <f aca="false">SQRT(pos_x^2+pos_z^2)</f>
        <v>1512.0590874782</v>
      </c>
      <c r="M528" s="450" t="n">
        <f aca="false">IF(AND(L527&gt;L_rampe,G528&gt;0),ATAN2(G528,H528),$M$4)</f>
        <v>0.293363156795641</v>
      </c>
      <c r="N528" s="449" t="n">
        <f aca="false">DEGREES(Beta)</f>
        <v>16.8084707490248</v>
      </c>
      <c r="O528" s="438"/>
      <c r="P528" s="452" t="n">
        <f aca="false">MATCH(t-pas/2-T_ini,CdP_t)</f>
        <v>23</v>
      </c>
      <c r="Q528" s="449" t="n">
        <f aca="false">(INDEX(CdP,2,i_P+1)-INDEX(CdP,2,i_P+0))/(INDEX(CdP,1,i_P+1)-INDEX(CdP,1,i_P+0))*(t-pas/2-T_ini-INDEX(CdP,1,i_P+0))+INDEX(CdP,2,i_P+0)</f>
        <v>0</v>
      </c>
      <c r="R528" s="450" t="n">
        <f aca="false">Poussee/(g*ISP)</f>
        <v>0</v>
      </c>
      <c r="S528" s="451" t="n">
        <f aca="false">S527-Débit*pas</f>
        <v>8.652</v>
      </c>
      <c r="T528" s="449" t="n">
        <f aca="false">m*g</f>
        <v>84.87612</v>
      </c>
      <c r="U528" s="453" t="n">
        <f aca="false">IF(pos_xz&lt;L_rampe,Poids*COS(Beta),0)</f>
        <v>0</v>
      </c>
      <c r="V528" s="450" t="n">
        <f aca="false">Rho_moyen*(20000-Alt_rampe-pos_z)/(20000+Alt_rampe+pos_z)</f>
        <v>1.06271366658932</v>
      </c>
      <c r="W528" s="449" t="n">
        <f aca="false">1/2*Rho*Sref*Cx*vit_xz^2</f>
        <v>2.3219687994427</v>
      </c>
      <c r="X528" s="438"/>
      <c r="Y528" s="454" t="str">
        <f aca="false">IF(AND(pos_z&lt;=0,K527&gt;0),"Impact balistique","") &amp; IF(AND(H529&lt;0,vit_z&gt;=0),"Apogée","") &amp; IF(AND(Poussee=0,Q527&gt;0),"Fin de propulsion","") &amp; IF(AND(L529&gt;L_rampe,pos_xz&lt;=L_rampe),"Sortie de rampe","")</f>
        <v/>
      </c>
      <c r="Z528" s="455" t="str">
        <f aca="false">IF(ABS(t-T_para)&lt;pas/2,"Para","")</f>
        <v/>
      </c>
      <c r="AA528" s="456" t="str">
        <f aca="false">IF(ABS(t-T_satellite)&lt;pas/2,"Satellite","")</f>
        <v/>
      </c>
      <c r="AB528" s="444"/>
      <c r="AC528" s="452" t="e">
        <f aca="false">IF(ABS(t-ROUND(t,0))&lt;0.001,t,NA())</f>
        <v>#N/A</v>
      </c>
      <c r="AD528" s="457" t="e">
        <f aca="false">IF(ABS(t-ROUND(t,0))&lt;0.001,pos_x,NA())</f>
        <v>#N/A</v>
      </c>
      <c r="AE528" s="458" t="e">
        <f aca="false">IF(t&lt;T_para, pos_z, NA())</f>
        <v>#N/A</v>
      </c>
      <c r="AF528" s="444"/>
      <c r="AG528" s="450" t="n">
        <f aca="false">IF(AND(L527&lt;L_rampe,Poussee&lt;Poids*SIN(M527)),0,(-W527+Poussee)/m-Poids*SIN(M527)/m)</f>
        <v>-3.38821582937554</v>
      </c>
      <c r="AH528" s="449" t="n">
        <f aca="false">IF(AND(L527&lt;L_rampe,Poussee&lt;Poids*SIN(M527)), g*SIN(M527), (-W527+Poussee)/m)</f>
        <v>-0.273993909868387</v>
      </c>
    </row>
    <row r="529" customFormat="false" ht="12" hidden="false" customHeight="false" outlineLevel="0" collapsed="false">
      <c r="A529" s="448" t="n">
        <f aca="false">IF(B528+0.01&lt;=T_ini+ROUNDUP(Temps_fin_propu,0), 0.01, IF(K528&gt;0, 0.1, 0.0001))</f>
        <v>0.1</v>
      </c>
      <c r="B529" s="449" t="n">
        <f aca="false">B528+pas</f>
        <v>16.4999999999999</v>
      </c>
      <c r="C529" s="432"/>
      <c r="D529" s="450" t="n">
        <f aca="false">IF(AND(L528&lt;L_rampe,Poussee&lt;Poids*SIN(M528)),0,(-W528+Poussee)/m*COS(M528)-U528/m*SIN(M528))</f>
        <v>-0.256907854788106</v>
      </c>
      <c r="E529" s="451" t="n">
        <f aca="false">IF(AND(L528&lt;L_rampe,Poussee&lt;Poids*SIN(M528)),0,(-W528+Poussee)/m*SIN(M528)+U528/m*COS(M528)-Poids/m)</f>
        <v>-9.88760650036938</v>
      </c>
      <c r="F529" s="449" t="n">
        <f aca="false">SQRT(acc_x^2+acc_z^2)</f>
        <v>9.89094353193863</v>
      </c>
      <c r="G529" s="450" t="n">
        <f aca="false">G528+acc_x*pas</f>
        <v>29.9824751245993</v>
      </c>
      <c r="H529" s="451" t="n">
        <f aca="false">H528+acc_z*pas</f>
        <v>8.07607989641385</v>
      </c>
      <c r="I529" s="449" t="n">
        <f aca="false">SQRT(vit_x^2+vit_z^2)</f>
        <v>31.051117227734</v>
      </c>
      <c r="J529" s="450" t="n">
        <f aca="false">J528+0.5*(vit_x+G528)*pas*(K528&gt;=0)</f>
        <v>525.905173739452</v>
      </c>
      <c r="K529" s="451" t="n">
        <f aca="false">K528+0.5*(vit_z+H528)*pas</f>
        <v>1419.62142882732</v>
      </c>
      <c r="L529" s="449" t="n">
        <f aca="false">SQRT(pos_x^2+pos_z^2)</f>
        <v>1513.90265636588</v>
      </c>
      <c r="M529" s="450" t="n">
        <f aca="false">IF(AND(L528&gt;L_rampe,G529&gt;0),ATAN2(G529,H529),$M$4)</f>
        <v>0.263115236663857</v>
      </c>
      <c r="N529" s="449" t="n">
        <f aca="false">DEGREES(Beta)</f>
        <v>15.0753925864248</v>
      </c>
      <c r="O529" s="438"/>
      <c r="P529" s="452" t="n">
        <f aca="false">MATCH(t-pas/2-T_ini,CdP_t)</f>
        <v>23</v>
      </c>
      <c r="Q529" s="449" t="n">
        <f aca="false">(INDEX(CdP,2,i_P+1)-INDEX(CdP,2,i_P+0))/(INDEX(CdP,1,i_P+1)-INDEX(CdP,1,i_P+0))*(t-pas/2-T_ini-INDEX(CdP,1,i_P+0))+INDEX(CdP,2,i_P+0)</f>
        <v>0</v>
      </c>
      <c r="R529" s="450" t="n">
        <f aca="false">Poussee/(g*ISP)</f>
        <v>0</v>
      </c>
      <c r="S529" s="451" t="n">
        <f aca="false">S528-Débit*pas</f>
        <v>8.652</v>
      </c>
      <c r="T529" s="449" t="n">
        <f aca="false">m*g</f>
        <v>84.87612</v>
      </c>
      <c r="U529" s="453" t="n">
        <f aca="false">IF(pos_xz&lt;L_rampe,Poids*COS(Beta),0)</f>
        <v>0</v>
      </c>
      <c r="V529" s="450" t="n">
        <f aca="false">Rho_moyen*(20000-Alt_rampe-pos_z)/(20000+Alt_rampe+pos_z)</f>
        <v>1.06262213014904</v>
      </c>
      <c r="W529" s="449" t="n">
        <f aca="false">1/2*Rho*Sref*Cx*vit_xz^2</f>
        <v>2.27808306150726</v>
      </c>
      <c r="X529" s="438"/>
      <c r="Y529" s="454" t="str">
        <f aca="false">IF(AND(pos_z&lt;=0,K528&gt;0),"Impact balistique","") &amp; IF(AND(H530&lt;0,vit_z&gt;=0),"Apogée","") &amp; IF(AND(Poussee=0,Q528&gt;0),"Fin de propulsion","") &amp; IF(AND(L530&gt;L_rampe,pos_xz&lt;=L_rampe),"Sortie de rampe","")</f>
        <v/>
      </c>
      <c r="Z529" s="455" t="str">
        <f aca="false">IF(ABS(t-T_para)&lt;pas/2,"Para","")</f>
        <v/>
      </c>
      <c r="AA529" s="456" t="str">
        <f aca="false">IF(ABS(t-T_satellite)&lt;pas/2,"Satellite","")</f>
        <v/>
      </c>
      <c r="AB529" s="444"/>
      <c r="AC529" s="452" t="e">
        <f aca="false">IF(ABS(t-ROUND(t,0))&lt;0.001,t,NA())</f>
        <v>#N/A</v>
      </c>
      <c r="AD529" s="457" t="e">
        <f aca="false">IF(ABS(t-ROUND(t,0))&lt;0.001,pos_x,NA())</f>
        <v>#N/A</v>
      </c>
      <c r="AE529" s="458" t="e">
        <f aca="false">IF(t&lt;T_para, pos_z, NA())</f>
        <v>#N/A</v>
      </c>
      <c r="AF529" s="444"/>
      <c r="AG529" s="450" t="n">
        <f aca="false">IF(AND(L528&lt;L_rampe,Poussee&lt;Poids*SIN(M528)),0,(-W528+Poussee)/m-Poids*SIN(M528)/m)</f>
        <v>-3.10516397821163</v>
      </c>
      <c r="AH529" s="449" t="n">
        <f aca="false">IF(AND(L528&lt;L_rampe,Poussee&lt;Poids*SIN(M528)), g*SIN(M528), (-W528+Poussee)/m)</f>
        <v>-0.268373647647099</v>
      </c>
    </row>
    <row r="530" customFormat="false" ht="12" hidden="false" customHeight="false" outlineLevel="0" collapsed="false">
      <c r="A530" s="448" t="n">
        <f aca="false">IF(B529+0.01&lt;=T_ini+ROUNDUP(Temps_fin_propu,0), 0.01, IF(K529&gt;0, 0.1, 0.0001))</f>
        <v>0.1</v>
      </c>
      <c r="B530" s="449" t="n">
        <f aca="false">B529+pas</f>
        <v>16.5999999999999</v>
      </c>
      <c r="C530" s="432"/>
      <c r="D530" s="450" t="n">
        <f aca="false">IF(AND(L529&lt;L_rampe,Poussee&lt;Poids*SIN(M529)),0,(-W529+Poussee)/m*COS(M529)-U529/m*SIN(M529))</f>
        <v>-0.254239657816361</v>
      </c>
      <c r="E530" s="451" t="n">
        <f aca="false">IF(AND(L529&lt;L_rampe,Poussee&lt;Poids*SIN(M529)),0,(-W529+Poussee)/m*SIN(M529)+U529/m*COS(M529)-Poids/m)</f>
        <v>-9.87848199759456</v>
      </c>
      <c r="F530" s="449" t="n">
        <f aca="false">SQRT(acc_x^2+acc_z^2)</f>
        <v>9.88175310258289</v>
      </c>
      <c r="G530" s="450" t="n">
        <f aca="false">G529+acc_x*pas</f>
        <v>29.9570511588177</v>
      </c>
      <c r="H530" s="451" t="n">
        <f aca="false">H529+acc_z*pas</f>
        <v>7.0882316966544</v>
      </c>
      <c r="I530" s="449" t="n">
        <f aca="false">SQRT(vit_x^2+vit_z^2)</f>
        <v>30.7842158048159</v>
      </c>
      <c r="J530" s="450" t="n">
        <f aca="false">J529+0.5*(vit_x+G529)*pas*(K529&gt;=0)</f>
        <v>528.902150053623</v>
      </c>
      <c r="K530" s="451" t="n">
        <f aca="false">K529+0.5*(vit_z+H529)*pas</f>
        <v>1420.37964440698</v>
      </c>
      <c r="L530" s="449" t="n">
        <f aca="false">SQRT(pos_x^2+pos_z^2)</f>
        <v>1515.6568934218</v>
      </c>
      <c r="M530" s="450" t="n">
        <f aca="false">IF(AND(L529&gt;L_rampe,G530&gt;0),ATAN2(G530,H530),$M$4)</f>
        <v>0.232340119158665</v>
      </c>
      <c r="N530" s="449" t="n">
        <f aca="false">DEGREES(Beta)</f>
        <v>13.3121082393582</v>
      </c>
      <c r="O530" s="438"/>
      <c r="P530" s="452" t="n">
        <f aca="false">MATCH(t-pas/2-T_ini,CdP_t)</f>
        <v>23</v>
      </c>
      <c r="Q530" s="449" t="n">
        <f aca="false">(INDEX(CdP,2,i_P+1)-INDEX(CdP,2,i_P+0))/(INDEX(CdP,1,i_P+1)-INDEX(CdP,1,i_P+0))*(t-pas/2-T_ini-INDEX(CdP,1,i_P+0))+INDEX(CdP,2,i_P+0)</f>
        <v>0</v>
      </c>
      <c r="R530" s="450" t="n">
        <f aca="false">Poussee/(g*ISP)</f>
        <v>0</v>
      </c>
      <c r="S530" s="451" t="n">
        <f aca="false">S529-Débit*pas</f>
        <v>8.652</v>
      </c>
      <c r="T530" s="449" t="n">
        <f aca="false">m*g</f>
        <v>84.87612</v>
      </c>
      <c r="U530" s="453" t="n">
        <f aca="false">IF(pos_xz&lt;L_rampe,Poids*COS(Beta),0)</f>
        <v>0</v>
      </c>
      <c r="V530" s="450" t="n">
        <f aca="false">Rho_moyen*(20000-Alt_rampe-pos_z)/(20000+Alt_rampe+pos_z)</f>
        <v>1.06254115535923</v>
      </c>
      <c r="W530" s="449" t="n">
        <f aca="false">1/2*Rho*Sref*Cx*vit_xz^2</f>
        <v>2.23891799678297</v>
      </c>
      <c r="X530" s="438"/>
      <c r="Y530" s="454" t="str">
        <f aca="false">IF(AND(pos_z&lt;=0,K529&gt;0),"Impact balistique","") &amp; IF(AND(H531&lt;0,vit_z&gt;=0),"Apogée","") &amp; IF(AND(Poussee=0,Q529&gt;0),"Fin de propulsion","") &amp; IF(AND(L531&gt;L_rampe,pos_xz&lt;=L_rampe),"Sortie de rampe","")</f>
        <v/>
      </c>
      <c r="Z530" s="455" t="str">
        <f aca="false">IF(ABS(t-T_para)&lt;pas/2,"Para","")</f>
        <v/>
      </c>
      <c r="AA530" s="456" t="str">
        <f aca="false">IF(ABS(t-T_satellite)&lt;pas/2,"Satellite","")</f>
        <v/>
      </c>
      <c r="AB530" s="444"/>
      <c r="AC530" s="452" t="e">
        <f aca="false">IF(ABS(t-ROUND(t,0))&lt;0.001,t,NA())</f>
        <v>#N/A</v>
      </c>
      <c r="AD530" s="457" t="e">
        <f aca="false">IF(ABS(t-ROUND(t,0))&lt;0.001,pos_x,NA())</f>
        <v>#N/A</v>
      </c>
      <c r="AE530" s="458" t="e">
        <f aca="false">IF(t&lt;T_para, pos_z, NA())</f>
        <v>#N/A</v>
      </c>
      <c r="AF530" s="444"/>
      <c r="AG530" s="450" t="n">
        <f aca="false">IF(AND(L529&lt;L_rampe,Poussee&lt;Poids*SIN(M529)),0,(-W529+Poussee)/m-Poids*SIN(M529)/m)</f>
        <v>-2.81478258714505</v>
      </c>
      <c r="AH530" s="449" t="n">
        <f aca="false">IF(AND(L529&lt;L_rampe,Poussee&lt;Poids*SIN(M529)), g*SIN(M529), (-W529+Poussee)/m)</f>
        <v>-0.263301324723447</v>
      </c>
    </row>
    <row r="531" customFormat="false" ht="12" hidden="false" customHeight="false" outlineLevel="0" collapsed="false">
      <c r="A531" s="448" t="n">
        <f aca="false">IF(B530+0.01&lt;=T_ini+ROUNDUP(Temps_fin_propu,0), 0.01, IF(K530&gt;0, 0.1, 0.0001))</f>
        <v>0.1</v>
      </c>
      <c r="B531" s="449" t="n">
        <f aca="false">B530+pas</f>
        <v>16.6999999999999</v>
      </c>
      <c r="C531" s="432"/>
      <c r="D531" s="450" t="n">
        <f aca="false">IF(AND(L530&lt;L_rampe,Poussee&lt;Poids*SIN(M530)),0,(-W530+Poussee)/m*COS(M530)-U530/m*SIN(M530))</f>
        <v>-0.251821405020549</v>
      </c>
      <c r="E531" s="451" t="n">
        <f aca="false">IF(AND(L530&lt;L_rampe,Poussee&lt;Poids*SIN(M530)),0,(-W530+Poussee)/m*SIN(M530)+U530/m*COS(M530)-Poids/m)</f>
        <v>-9.86958425131698</v>
      </c>
      <c r="F531" s="449" t="n">
        <f aca="false">SQRT(acc_x^2+acc_z^2)</f>
        <v>9.87279632697195</v>
      </c>
      <c r="G531" s="450" t="n">
        <f aca="false">G530+acc_x*pas</f>
        <v>29.9318690183156</v>
      </c>
      <c r="H531" s="451" t="n">
        <f aca="false">H530+acc_z*pas</f>
        <v>6.1012732715227</v>
      </c>
      <c r="I531" s="449" t="n">
        <f aca="false">SQRT(vit_x^2+vit_z^2)</f>
        <v>30.5473782584267</v>
      </c>
      <c r="J531" s="450" t="n">
        <f aca="false">J530+0.5*(vit_x+G530)*pas*(K530&gt;=0)</f>
        <v>531.89659606248</v>
      </c>
      <c r="K531" s="451" t="n">
        <f aca="false">K530+0.5*(vit_z+H530)*pas</f>
        <v>1421.03911965539</v>
      </c>
      <c r="L531" s="449" t="n">
        <f aca="false">SQRT(pos_x^2+pos_z^2)</f>
        <v>1517.32203849209</v>
      </c>
      <c r="M531" s="450" t="n">
        <f aca="false">IF(AND(L530&gt;L_rampe,G531&gt;0),ATAN2(G531,H531),$M$4)</f>
        <v>0.201083878118247</v>
      </c>
      <c r="N531" s="449" t="n">
        <f aca="false">DEGREES(Beta)</f>
        <v>11.5212575442986</v>
      </c>
      <c r="O531" s="438"/>
      <c r="P531" s="452" t="n">
        <f aca="false">MATCH(t-pas/2-T_ini,CdP_t)</f>
        <v>23</v>
      </c>
      <c r="Q531" s="449" t="n">
        <f aca="false">(INDEX(CdP,2,i_P+1)-INDEX(CdP,2,i_P+0))/(INDEX(CdP,1,i_P+1)-INDEX(CdP,1,i_P+0))*(t-pas/2-T_ini-INDEX(CdP,1,i_P+0))+INDEX(CdP,2,i_P+0)</f>
        <v>0</v>
      </c>
      <c r="R531" s="450" t="n">
        <f aca="false">Poussee/(g*ISP)</f>
        <v>0</v>
      </c>
      <c r="S531" s="451" t="n">
        <f aca="false">S530-Débit*pas</f>
        <v>8.652</v>
      </c>
      <c r="T531" s="449" t="n">
        <f aca="false">m*g</f>
        <v>84.87612</v>
      </c>
      <c r="U531" s="453" t="n">
        <f aca="false">IF(pos_xz&lt;L_rampe,Poids*COS(Beta),0)</f>
        <v>0</v>
      </c>
      <c r="V531" s="450" t="n">
        <f aca="false">Rho_moyen*(20000-Alt_rampe-pos_z)/(20000+Alt_rampe+pos_z)</f>
        <v>1.06247073035495</v>
      </c>
      <c r="W531" s="449" t="n">
        <f aca="false">1/2*Rho*Sref*Cx*vit_xz^2</f>
        <v>2.2044542845985</v>
      </c>
      <c r="X531" s="438"/>
      <c r="Y531" s="454" t="str">
        <f aca="false">IF(AND(pos_z&lt;=0,K530&gt;0),"Impact balistique","") &amp; IF(AND(H532&lt;0,vit_z&gt;=0),"Apogée","") &amp; IF(AND(Poussee=0,Q530&gt;0),"Fin de propulsion","") &amp; IF(AND(L532&gt;L_rampe,pos_xz&lt;=L_rampe),"Sortie de rampe","")</f>
        <v/>
      </c>
      <c r="Z531" s="455" t="str">
        <f aca="false">IF(ABS(t-T_para)&lt;pas/2,"Para","")</f>
        <v/>
      </c>
      <c r="AA531" s="456" t="str">
        <f aca="false">IF(ABS(t-T_satellite)&lt;pas/2,"Satellite","")</f>
        <v/>
      </c>
      <c r="AB531" s="444"/>
      <c r="AC531" s="452" t="e">
        <f aca="false">IF(ABS(t-ROUND(t,0))&lt;0.001,t,NA())</f>
        <v>#N/A</v>
      </c>
      <c r="AD531" s="457" t="e">
        <f aca="false">IF(ABS(t-ROUND(t,0))&lt;0.001,pos_x,NA())</f>
        <v>#N/A</v>
      </c>
      <c r="AE531" s="458" t="e">
        <f aca="false">IF(t&lt;T_para, pos_z, NA())</f>
        <v>#N/A</v>
      </c>
      <c r="AF531" s="444"/>
      <c r="AG531" s="450" t="n">
        <f aca="false">IF(AND(L530&lt;L_rampe,Poussee&lt;Poids*SIN(M530)),0,(-W530+Poussee)/m-Poids*SIN(M530)/m)</f>
        <v>-2.51758001982132</v>
      </c>
      <c r="AH531" s="449" t="n">
        <f aca="false">IF(AND(L530&lt;L_rampe,Poussee&lt;Poids*SIN(M530)), g*SIN(M530), (-W530+Poussee)/m)</f>
        <v>-0.258774618213473</v>
      </c>
    </row>
    <row r="532" customFormat="false" ht="12" hidden="false" customHeight="false" outlineLevel="0" collapsed="false">
      <c r="A532" s="448" t="n">
        <f aca="false">IF(B531+0.01&lt;=T_ini+ROUNDUP(Temps_fin_propu,0), 0.01, IF(K531&gt;0, 0.1, 0.0001))</f>
        <v>0.1</v>
      </c>
      <c r="B532" s="449" t="n">
        <f aca="false">B531+pas</f>
        <v>16.7999999999999</v>
      </c>
      <c r="C532" s="432"/>
      <c r="D532" s="450" t="n">
        <f aca="false">IF(AND(L531&lt;L_rampe,Poussee&lt;Poids*SIN(M531)),0,(-W531+Poussee)/m*COS(M531)-U531/m*SIN(M531))</f>
        <v>-0.249657420853704</v>
      </c>
      <c r="E532" s="451" t="n">
        <f aca="false">IF(AND(L531&lt;L_rampe,Poussee&lt;Poids*SIN(M531)),0,(-W531+Poussee)/m*SIN(M531)+U531/m*COS(M531)-Poids/m)</f>
        <v>-9.86088984413101</v>
      </c>
      <c r="F532" s="449" t="n">
        <f aca="false">SQRT(acc_x^2+acc_z^2)</f>
        <v>9.86404974368406</v>
      </c>
      <c r="G532" s="450" t="n">
        <f aca="false">G531+acc_x*pas</f>
        <v>29.9069032762303</v>
      </c>
      <c r="H532" s="451" t="n">
        <f aca="false">H531+acc_z*pas</f>
        <v>5.1151842871096</v>
      </c>
      <c r="I532" s="449" t="n">
        <f aca="false">SQRT(vit_x^2+vit_z^2)</f>
        <v>30.3411926902171</v>
      </c>
      <c r="J532" s="450" t="n">
        <f aca="false">J531+0.5*(vit_x+G531)*pas*(K531&gt;=0)</f>
        <v>534.888534677207</v>
      </c>
      <c r="K532" s="451" t="n">
        <f aca="false">K531+0.5*(vit_z+H531)*pas</f>
        <v>1421.59994253332</v>
      </c>
      <c r="L532" s="449" t="n">
        <f aca="false">SQRT(pos_x^2+pos_z^2)</f>
        <v>1518.89833140334</v>
      </c>
      <c r="M532" s="450" t="n">
        <f aca="false">IF(AND(L531&gt;L_rampe,G532&gt;0),ATAN2(G532,H532),$M$4)</f>
        <v>0.169397767992419</v>
      </c>
      <c r="N532" s="449" t="n">
        <f aca="false">DEGREES(Beta)</f>
        <v>9.7057771649019</v>
      </c>
      <c r="O532" s="438"/>
      <c r="P532" s="452" t="n">
        <f aca="false">MATCH(t-pas/2-T_ini,CdP_t)</f>
        <v>23</v>
      </c>
      <c r="Q532" s="449" t="n">
        <f aca="false">(INDEX(CdP,2,i_P+1)-INDEX(CdP,2,i_P+0))/(INDEX(CdP,1,i_P+1)-INDEX(CdP,1,i_P+0))*(t-pas/2-T_ini-INDEX(CdP,1,i_P+0))+INDEX(CdP,2,i_P+0)</f>
        <v>0</v>
      </c>
      <c r="R532" s="450" t="n">
        <f aca="false">Poussee/(g*ISP)</f>
        <v>0</v>
      </c>
      <c r="S532" s="451" t="n">
        <f aca="false">S531-Débit*pas</f>
        <v>8.652</v>
      </c>
      <c r="T532" s="449" t="n">
        <f aca="false">m*g</f>
        <v>84.87612</v>
      </c>
      <c r="U532" s="453" t="n">
        <f aca="false">IF(pos_xz&lt;L_rampe,Poids*COS(Beta),0)</f>
        <v>0</v>
      </c>
      <c r="V532" s="450" t="n">
        <f aca="false">Rho_moyen*(20000-Alt_rampe-pos_z)/(20000+Alt_rampe+pos_z)</f>
        <v>1.06241084379551</v>
      </c>
      <c r="W532" s="449" t="n">
        <f aca="false">1/2*Rho*Sref*Cx*vit_xz^2</f>
        <v>2.17467333291829</v>
      </c>
      <c r="X532" s="438"/>
      <c r="Y532" s="454" t="str">
        <f aca="false">IF(AND(pos_z&lt;=0,K531&gt;0),"Impact balistique","") &amp; IF(AND(H533&lt;0,vit_z&gt;=0),"Apogée","") &amp; IF(AND(Poussee=0,Q531&gt;0),"Fin de propulsion","") &amp; IF(AND(L533&gt;L_rampe,pos_xz&lt;=L_rampe),"Sortie de rampe","")</f>
        <v/>
      </c>
      <c r="Z532" s="455" t="str">
        <f aca="false">IF(ABS(t-T_para)&lt;pas/2,"Para","")</f>
        <v/>
      </c>
      <c r="AA532" s="456" t="str">
        <f aca="false">IF(ABS(t-T_satellite)&lt;pas/2,"Satellite","")</f>
        <v/>
      </c>
      <c r="AB532" s="444"/>
      <c r="AC532" s="452" t="e">
        <f aca="false">IF(ABS(t-ROUND(t,0))&lt;0.001,t,NA())</f>
        <v>#N/A</v>
      </c>
      <c r="AD532" s="457" t="e">
        <f aca="false">IF(ABS(t-ROUND(t,0))&lt;0.001,pos_x,NA())</f>
        <v>#N/A</v>
      </c>
      <c r="AE532" s="458" t="e">
        <f aca="false">IF(t&lt;T_para, pos_z, NA())</f>
        <v>#N/A</v>
      </c>
      <c r="AF532" s="444"/>
      <c r="AG532" s="450" t="n">
        <f aca="false">IF(AND(L531&lt;L_rampe,Poussee&lt;Poids*SIN(M531)),0,(-W531+Poussee)/m-Poids*SIN(M531)/m)</f>
        <v>-2.21415717865122</v>
      </c>
      <c r="AH532" s="449" t="n">
        <f aca="false">IF(AND(L531&lt;L_rampe,Poussee&lt;Poids*SIN(M531)), g*SIN(M531), (-W531+Poussee)/m)</f>
        <v>-0.254791295029878</v>
      </c>
    </row>
    <row r="533" customFormat="false" ht="12" hidden="false" customHeight="false" outlineLevel="0" collapsed="false">
      <c r="A533" s="448" t="n">
        <f aca="false">IF(B532+0.01&lt;=T_ini+ROUNDUP(Temps_fin_propu,0), 0.01, IF(K532&gt;0, 0.1, 0.0001))</f>
        <v>0.1</v>
      </c>
      <c r="B533" s="449" t="n">
        <f aca="false">B532+pas</f>
        <v>16.8999999999999</v>
      </c>
      <c r="C533" s="432"/>
      <c r="D533" s="450" t="n">
        <f aca="false">IF(AND(L532&lt;L_rampe,Poussee&lt;Poids*SIN(M532)),0,(-W532+Poussee)/m*COS(M532)-U532/m*SIN(M532))</f>
        <v>-0.247751513203764</v>
      </c>
      <c r="E533" s="451" t="n">
        <f aca="false">IF(AND(L532&lt;L_rampe,Poussee&lt;Poids*SIN(M532)),0,(-W532+Poussee)/m*SIN(M532)+U532/m*COS(M532)-Poids/m)</f>
        <v>-9.8523746529603</v>
      </c>
      <c r="F533" s="449" t="n">
        <f aca="false">SQRT(acc_x^2+acc_z^2)</f>
        <v>9.85548918697542</v>
      </c>
      <c r="G533" s="450" t="n">
        <f aca="false">G532+acc_x*pas</f>
        <v>29.8821281249099</v>
      </c>
      <c r="H533" s="451" t="n">
        <f aca="false">H532+acc_z*pas</f>
        <v>4.12994682181357</v>
      </c>
      <c r="I533" s="449" t="n">
        <f aca="false">SQRT(vit_x^2+vit_z^2)</f>
        <v>30.166173804852</v>
      </c>
      <c r="J533" s="450" t="n">
        <f aca="false">J532+0.5*(vit_x+G532)*pas*(K532&gt;=0)</f>
        <v>537.877986247264</v>
      </c>
      <c r="K533" s="451" t="n">
        <f aca="false">K532+0.5*(vit_z+H532)*pas</f>
        <v>1422.06219908876</v>
      </c>
      <c r="L533" s="449" t="n">
        <f aca="false">SQRT(pos_x^2+pos_z^2)</f>
        <v>1520.38601222406</v>
      </c>
      <c r="M533" s="450" t="n">
        <f aca="false">IF(AND(L532&gt;L_rampe,G533&gt;0),ATAN2(G533,H533),$M$4)</f>
        <v>0.137337881839004</v>
      </c>
      <c r="N533" s="449" t="n">
        <f aca="false">DEGREES(Beta)</f>
        <v>7.8688809966413</v>
      </c>
      <c r="O533" s="438"/>
      <c r="P533" s="452" t="n">
        <f aca="false">MATCH(t-pas/2-T_ini,CdP_t)</f>
        <v>23</v>
      </c>
      <c r="Q533" s="449" t="n">
        <f aca="false">(INDEX(CdP,2,i_P+1)-INDEX(CdP,2,i_P+0))/(INDEX(CdP,1,i_P+1)-INDEX(CdP,1,i_P+0))*(t-pas/2-T_ini-INDEX(CdP,1,i_P+0))+INDEX(CdP,2,i_P+0)</f>
        <v>0</v>
      </c>
      <c r="R533" s="450" t="n">
        <f aca="false">Poussee/(g*ISP)</f>
        <v>0</v>
      </c>
      <c r="S533" s="451" t="n">
        <f aca="false">S532-Débit*pas</f>
        <v>8.652</v>
      </c>
      <c r="T533" s="449" t="n">
        <f aca="false">m*g</f>
        <v>84.87612</v>
      </c>
      <c r="U533" s="453" t="n">
        <f aca="false">IF(pos_xz&lt;L_rampe,Poids*COS(Beta),0)</f>
        <v>0</v>
      </c>
      <c r="V533" s="450" t="n">
        <f aca="false">Rho_moyen*(20000-Alt_rampe-pos_z)/(20000+Alt_rampe+pos_z)</f>
        <v>1.06236148483802</v>
      </c>
      <c r="W533" s="449" t="n">
        <f aca="false">1/2*Rho*Sref*Cx*vit_xz^2</f>
        <v>2.14955722912174</v>
      </c>
      <c r="X533" s="438"/>
      <c r="Y533" s="454" t="str">
        <f aca="false">IF(AND(pos_z&lt;=0,K532&gt;0),"Impact balistique","") &amp; IF(AND(H534&lt;0,vit_z&gt;=0),"Apogée","") &amp; IF(AND(Poussee=0,Q532&gt;0),"Fin de propulsion","") &amp; IF(AND(L534&gt;L_rampe,pos_xz&lt;=L_rampe),"Sortie de rampe","")</f>
        <v/>
      </c>
      <c r="Z533" s="455" t="str">
        <f aca="false">IF(ABS(t-T_para)&lt;pas/2,"Para","")</f>
        <v/>
      </c>
      <c r="AA533" s="456" t="str">
        <f aca="false">IF(ABS(t-T_satellite)&lt;pas/2,"Satellite","")</f>
        <v/>
      </c>
      <c r="AB533" s="444"/>
      <c r="AC533" s="452" t="e">
        <f aca="false">IF(ABS(t-ROUND(t,0))&lt;0.001,t,NA())</f>
        <v>#N/A</v>
      </c>
      <c r="AD533" s="457" t="e">
        <f aca="false">IF(ABS(t-ROUND(t,0))&lt;0.001,pos_x,NA())</f>
        <v>#N/A</v>
      </c>
      <c r="AE533" s="458" t="e">
        <f aca="false">IF(t&lt;T_para, pos_z, NA())</f>
        <v>#N/A</v>
      </c>
      <c r="AF533" s="444"/>
      <c r="AG533" s="450" t="n">
        <f aca="false">IF(AND(L532&lt;L_rampe,Poussee&lt;Poids*SIN(M532)),0,(-W532+Poussee)/m-Poids*SIN(M532)/m)</f>
        <v>-1.90520501773493</v>
      </c>
      <c r="AH533" s="449" t="n">
        <f aca="false">IF(AND(L532&lt;L_rampe,Poussee&lt;Poids*SIN(M532)), g*SIN(M532), (-W532+Poussee)/m)</f>
        <v>-0.251349206301235</v>
      </c>
    </row>
    <row r="534" customFormat="false" ht="12" hidden="false" customHeight="false" outlineLevel="0" collapsed="false">
      <c r="A534" s="448" t="n">
        <f aca="false">IF(B533+0.01&lt;=T_ini+ROUNDUP(Temps_fin_propu,0), 0.01, IF(K533&gt;0, 0.1, 0.0001))</f>
        <v>0.1</v>
      </c>
      <c r="B534" s="449" t="n">
        <f aca="false">B533+pas</f>
        <v>16.9999999999999</v>
      </c>
      <c r="C534" s="432"/>
      <c r="D534" s="450" t="n">
        <f aca="false">IF(AND(L533&lt;L_rampe,Poussee&lt;Poids*SIN(M533)),0,(-W533+Poussee)/m*COS(M533)-U533/m*SIN(M533))</f>
        <v>-0.246106903362607</v>
      </c>
      <c r="E534" s="451" t="n">
        <f aca="false">IF(AND(L533&lt;L_rampe,Poussee&lt;Poids*SIN(M533)),0,(-W533+Poussee)/m*SIN(M533)+U533/m*COS(M533)-Poids/m)</f>
        <v>-9.8440139236108</v>
      </c>
      <c r="F534" s="449" t="n">
        <f aca="false">SQRT(acc_x^2+acc_z^2)</f>
        <v>9.84708986128013</v>
      </c>
      <c r="G534" s="450" t="n">
        <f aca="false">G533+acc_x*pas</f>
        <v>29.8575174345736</v>
      </c>
      <c r="H534" s="451" t="n">
        <f aca="false">H533+acc_z*pas</f>
        <v>3.14554542945249</v>
      </c>
      <c r="I534" s="449" t="n">
        <f aca="false">SQRT(vit_x^2+vit_z^2)</f>
        <v>30.0227547604249</v>
      </c>
      <c r="J534" s="450" t="n">
        <f aca="false">J533+0.5*(vit_x+G533)*pas*(K533&gt;=0)</f>
        <v>540.864968525238</v>
      </c>
      <c r="K534" s="451" t="n">
        <f aca="false">K533+0.5*(vit_z+H533)*pas</f>
        <v>1422.42597370133</v>
      </c>
      <c r="L534" s="449" t="n">
        <f aca="false">SQRT(pos_x^2+pos_z^2)</f>
        <v>1521.78532153454</v>
      </c>
      <c r="M534" s="450" t="n">
        <f aca="false">IF(AND(L533&gt;L_rampe,G534&gt;0),ATAN2(G534,H534),$M$4)</f>
        <v>0.104964682281579</v>
      </c>
      <c r="N534" s="449" t="n">
        <f aca="false">DEGREES(Beta)</f>
        <v>6.01403329266608</v>
      </c>
      <c r="O534" s="438"/>
      <c r="P534" s="452" t="n">
        <f aca="false">MATCH(t-pas/2-T_ini,CdP_t)</f>
        <v>23</v>
      </c>
      <c r="Q534" s="449" t="n">
        <f aca="false">(INDEX(CdP,2,i_P+1)-INDEX(CdP,2,i_P+0))/(INDEX(CdP,1,i_P+1)-INDEX(CdP,1,i_P+0))*(t-pas/2-T_ini-INDEX(CdP,1,i_P+0))+INDEX(CdP,2,i_P+0)</f>
        <v>0</v>
      </c>
      <c r="R534" s="450" t="n">
        <f aca="false">Poussee/(g*ISP)</f>
        <v>0</v>
      </c>
      <c r="S534" s="451" t="n">
        <f aca="false">S533-Débit*pas</f>
        <v>8.652</v>
      </c>
      <c r="T534" s="449" t="n">
        <f aca="false">m*g</f>
        <v>84.87612</v>
      </c>
      <c r="U534" s="453" t="n">
        <f aca="false">IF(pos_xz&lt;L_rampe,Poids*COS(Beta),0)</f>
        <v>0</v>
      </c>
      <c r="V534" s="450" t="n">
        <f aca="false">Rho_moyen*(20000-Alt_rampe-pos_z)/(20000+Alt_rampe+pos_z)</f>
        <v>1.06232264311024</v>
      </c>
      <c r="W534" s="449" t="n">
        <f aca="false">1/2*Rho*Sref*Cx*vit_xz^2</f>
        <v>2.12908868995638</v>
      </c>
      <c r="X534" s="438"/>
      <c r="Y534" s="454" t="str">
        <f aca="false">IF(AND(pos_z&lt;=0,K533&gt;0),"Impact balistique","") &amp; IF(AND(H535&lt;0,vit_z&gt;=0),"Apogée","") &amp; IF(AND(Poussee=0,Q533&gt;0),"Fin de propulsion","") &amp; IF(AND(L535&gt;L_rampe,pos_xz&lt;=L_rampe),"Sortie de rampe","")</f>
        <v/>
      </c>
      <c r="Z534" s="455" t="str">
        <f aca="false">IF(ABS(t-T_para)&lt;pas/2,"Para","")</f>
        <v/>
      </c>
      <c r="AA534" s="456" t="str">
        <f aca="false">IF(ABS(t-T_satellite)&lt;pas/2,"Satellite","")</f>
        <v/>
      </c>
      <c r="AB534" s="444"/>
      <c r="AC534" s="452" t="n">
        <f aca="false">IF(ABS(t-ROUND(t,0))&lt;0.001,t,NA())</f>
        <v>16.9999999999999</v>
      </c>
      <c r="AD534" s="457" t="n">
        <f aca="false">IF(ABS(t-ROUND(t,0))&lt;0.001,pos_x,NA())</f>
        <v>540.864968525238</v>
      </c>
      <c r="AE534" s="458" t="e">
        <f aca="false">IF(t&lt;T_para, pos_z, NA())</f>
        <v>#N/A</v>
      </c>
      <c r="AF534" s="444"/>
      <c r="AG534" s="450" t="n">
        <f aca="false">IF(AND(L533&lt;L_rampe,Poussee&lt;Poids*SIN(M533)),0,(-W533+Poussee)/m-Poids*SIN(M533)/m)</f>
        <v>-1.59149955002544</v>
      </c>
      <c r="AH534" s="449" t="n">
        <f aca="false">IF(AND(L533&lt;L_rampe,Poussee&lt;Poids*SIN(M533)), g*SIN(M533), (-W533+Poussee)/m)</f>
        <v>-0.248446281683049</v>
      </c>
    </row>
    <row r="535" customFormat="false" ht="12" hidden="false" customHeight="false" outlineLevel="0" collapsed="false">
      <c r="A535" s="448" t="n">
        <f aca="false">IF(B534+0.01&lt;=T_ini+ROUNDUP(Temps_fin_propu,0), 0.01, IF(K534&gt;0, 0.1, 0.0001))</f>
        <v>0.1</v>
      </c>
      <c r="B535" s="449" t="n">
        <f aca="false">B534+pas</f>
        <v>17.0999999999999</v>
      </c>
      <c r="C535" s="432"/>
      <c r="D535" s="450" t="n">
        <f aca="false">IF(AND(L534&lt;L_rampe,Poussee&lt;Poids*SIN(M534)),0,(-W534+Poussee)/m*COS(M534)-U534/m*SIN(M534))</f>
        <v>-0.244726161257678</v>
      </c>
      <c r="E535" s="451" t="n">
        <f aca="false">IF(AND(L534&lt;L_rampe,Poussee&lt;Poids*SIN(M534)),0,(-W534+Poussee)/m*SIN(M534)+U534/m*COS(M534)-Poids/m)</f>
        <v>-9.83578235982608</v>
      </c>
      <c r="F535" s="449" t="n">
        <f aca="false">SQRT(acc_x^2+acc_z^2)</f>
        <v>9.8388264302136</v>
      </c>
      <c r="G535" s="450" t="n">
        <f aca="false">G534+acc_x*pas</f>
        <v>29.8330448184479</v>
      </c>
      <c r="H535" s="451" t="n">
        <f aca="false">H534+acc_z*pas</f>
        <v>2.16196719346988</v>
      </c>
      <c r="I535" s="449" t="n">
        <f aca="false">SQRT(vit_x^2+vit_z^2)</f>
        <v>29.911279900485</v>
      </c>
      <c r="J535" s="450" t="n">
        <f aca="false">J534+0.5*(vit_x+G534)*pas*(K534&gt;=0)</f>
        <v>543.849496637889</v>
      </c>
      <c r="K535" s="451" t="n">
        <f aca="false">K534+0.5*(vit_z+H534)*pas</f>
        <v>1422.69134933247</v>
      </c>
      <c r="L535" s="449" t="n">
        <f aca="false">SQRT(pos_x^2+pos_z^2)</f>
        <v>1523.09650070465</v>
      </c>
      <c r="M535" s="450" t="n">
        <f aca="false">IF(AND(L534&gt;L_rampe,G535&gt;0),ATAN2(G535,H535),$M$4)</f>
        <v>0.072342410666342</v>
      </c>
      <c r="N535" s="449" t="n">
        <f aca="false">DEGREES(Beta)</f>
        <v>4.14491481098359</v>
      </c>
      <c r="O535" s="438"/>
      <c r="P535" s="452" t="n">
        <f aca="false">MATCH(t-pas/2-T_ini,CdP_t)</f>
        <v>23</v>
      </c>
      <c r="Q535" s="449" t="n">
        <f aca="false">(INDEX(CdP,2,i_P+1)-INDEX(CdP,2,i_P+0))/(INDEX(CdP,1,i_P+1)-INDEX(CdP,1,i_P+0))*(t-pas/2-T_ini-INDEX(CdP,1,i_P+0))+INDEX(CdP,2,i_P+0)</f>
        <v>0</v>
      </c>
      <c r="R535" s="450" t="n">
        <f aca="false">Poussee/(g*ISP)</f>
        <v>0</v>
      </c>
      <c r="S535" s="451" t="n">
        <f aca="false">S534-Débit*pas</f>
        <v>8.652</v>
      </c>
      <c r="T535" s="449" t="n">
        <f aca="false">m*g</f>
        <v>84.87612</v>
      </c>
      <c r="U535" s="453" t="n">
        <f aca="false">IF(pos_xz&lt;L_rampe,Poids*COS(Beta),0)</f>
        <v>0</v>
      </c>
      <c r="V535" s="450" t="n">
        <f aca="false">Rho_moyen*(20000-Alt_rampe-pos_z)/(20000+Alt_rampe+pos_z)</f>
        <v>1.06229430868297</v>
      </c>
      <c r="W535" s="449" t="n">
        <f aca="false">1/2*Rho*Sref*Cx*vit_xz^2</f>
        <v>2.11325101080206</v>
      </c>
      <c r="X535" s="438"/>
      <c r="Y535" s="454" t="str">
        <f aca="false">IF(AND(pos_z&lt;=0,K534&gt;0),"Impact balistique","") &amp; IF(AND(H536&lt;0,vit_z&gt;=0),"Apogée","") &amp; IF(AND(Poussee=0,Q534&gt;0),"Fin de propulsion","") &amp; IF(AND(L536&gt;L_rampe,pos_xz&lt;=L_rampe),"Sortie de rampe","")</f>
        <v/>
      </c>
      <c r="Z535" s="455" t="str">
        <f aca="false">IF(ABS(t-T_para)&lt;pas/2,"Para","")</f>
        <v/>
      </c>
      <c r="AA535" s="456" t="str">
        <f aca="false">IF(ABS(t-T_satellite)&lt;pas/2,"Satellite","")</f>
        <v/>
      </c>
      <c r="AB535" s="444"/>
      <c r="AC535" s="452" t="e">
        <f aca="false">IF(ABS(t-ROUND(t,0))&lt;0.001,t,NA())</f>
        <v>#N/A</v>
      </c>
      <c r="AD535" s="457" t="e">
        <f aca="false">IF(ABS(t-ROUND(t,0))&lt;0.001,pos_x,NA())</f>
        <v>#N/A</v>
      </c>
      <c r="AE535" s="458" t="e">
        <f aca="false">IF(t&lt;T_para, pos_z, NA())</f>
        <v>#N/A</v>
      </c>
      <c r="AF535" s="444"/>
      <c r="AG535" s="450" t="n">
        <f aca="false">IF(AND(L534&lt;L_rampe,Poussee&lt;Poids*SIN(M534)),0,(-W534+Poussee)/m-Poids*SIN(M534)/m)</f>
        <v>-1.27389429047005</v>
      </c>
      <c r="AH535" s="449" t="n">
        <f aca="false">IF(AND(L534&lt;L_rampe,Poussee&lt;Poids*SIN(M534)), g*SIN(M534), (-W534+Poussee)/m)</f>
        <v>-0.246080523573322</v>
      </c>
    </row>
    <row r="536" customFormat="false" ht="12" hidden="false" customHeight="false" outlineLevel="0" collapsed="false">
      <c r="A536" s="448" t="n">
        <f aca="false">IF(B535+0.01&lt;=T_ini+ROUNDUP(Temps_fin_propu,0), 0.01, IF(K535&gt;0, 0.1, 0.0001))</f>
        <v>0.1</v>
      </c>
      <c r="B536" s="449" t="n">
        <f aca="false">B535+pas</f>
        <v>17.1999999999999</v>
      </c>
      <c r="C536" s="432"/>
      <c r="D536" s="450" t="n">
        <f aca="false">IF(AND(L535&lt;L_rampe,Poussee&lt;Poids*SIN(M535)),0,(-W535+Poussee)/m*COS(M535)-U535/m*SIN(M535))</f>
        <v>-0.243611147981481</v>
      </c>
      <c r="E536" s="451" t="n">
        <f aca="false">IF(AND(L535&lt;L_rampe,Poussee&lt;Poids*SIN(M535)),0,(-W535+Poussee)/m*SIN(M535)+U535/m*COS(M535)-Poids/m)</f>
        <v>-9.82765422581251</v>
      </c>
      <c r="F536" s="449" t="n">
        <f aca="false">SQRT(acc_x^2+acc_z^2)</f>
        <v>9.8306731190469</v>
      </c>
      <c r="G536" s="450" t="n">
        <f aca="false">G535+acc_x*pas</f>
        <v>29.8086837036497</v>
      </c>
      <c r="H536" s="451" t="n">
        <f aca="false">H535+acc_z*pas</f>
        <v>1.17920177088863</v>
      </c>
      <c r="I536" s="449" t="n">
        <f aca="false">SQRT(vit_x^2+vit_z^2)</f>
        <v>29.8319986082176</v>
      </c>
      <c r="J536" s="450" t="n">
        <f aca="false">J535+0.5*(vit_x+G535)*pas*(K535&gt;=0)</f>
        <v>546.831583063994</v>
      </c>
      <c r="K536" s="451" t="n">
        <f aca="false">K535+0.5*(vit_z+H535)*pas</f>
        <v>1422.85840778069</v>
      </c>
      <c r="L536" s="449" t="n">
        <f aca="false">SQRT(pos_x^2+pos_z^2)</f>
        <v>1524.31979217895</v>
      </c>
      <c r="M536" s="450" t="n">
        <f aca="false">IF(AND(L535&gt;L_rampe,G536&gt;0),ATAN2(G536,H536),$M$4)</f>
        <v>0.0395383856203497</v>
      </c>
      <c r="N536" s="449" t="n">
        <f aca="false">DEGREES(Beta)</f>
        <v>2.26538262480678</v>
      </c>
      <c r="O536" s="438"/>
      <c r="P536" s="452" t="n">
        <f aca="false">MATCH(t-pas/2-T_ini,CdP_t)</f>
        <v>23</v>
      </c>
      <c r="Q536" s="449" t="n">
        <f aca="false">(INDEX(CdP,2,i_P+1)-INDEX(CdP,2,i_P+0))/(INDEX(CdP,1,i_P+1)-INDEX(CdP,1,i_P+0))*(t-pas/2-T_ini-INDEX(CdP,1,i_P+0))+INDEX(CdP,2,i_P+0)</f>
        <v>0</v>
      </c>
      <c r="R536" s="450" t="n">
        <f aca="false">Poussee/(g*ISP)</f>
        <v>0</v>
      </c>
      <c r="S536" s="451" t="n">
        <f aca="false">S535-Débit*pas</f>
        <v>8.652</v>
      </c>
      <c r="T536" s="449" t="n">
        <f aca="false">m*g</f>
        <v>84.87612</v>
      </c>
      <c r="U536" s="453" t="n">
        <f aca="false">IF(pos_xz&lt;L_rampe,Poids*COS(Beta),0)</f>
        <v>0</v>
      </c>
      <c r="V536" s="450" t="n">
        <f aca="false">Rho_moyen*(20000-Alt_rampe-pos_z)/(20000+Alt_rampe+pos_z)</f>
        <v>1.06227647204182</v>
      </c>
      <c r="W536" s="449" t="n">
        <f aca="false">1/2*Rho*Sref*Cx*vit_xz^2</f>
        <v>2.10202801440872</v>
      </c>
      <c r="X536" s="438"/>
      <c r="Y536" s="454" t="str">
        <f aca="false">IF(AND(pos_z&lt;=0,K535&gt;0),"Impact balistique","") &amp; IF(AND(H537&lt;0,vit_z&gt;=0),"Apogée","") &amp; IF(AND(Poussee=0,Q535&gt;0),"Fin de propulsion","") &amp; IF(AND(L537&gt;L_rampe,pos_xz&lt;=L_rampe),"Sortie de rampe","")</f>
        <v/>
      </c>
      <c r="Z536" s="455" t="str">
        <f aca="false">IF(ABS(t-T_para)&lt;pas/2,"Para","")</f>
        <v/>
      </c>
      <c r="AA536" s="456" t="str">
        <f aca="false">IF(ABS(t-T_satellite)&lt;pas/2,"Satellite","")</f>
        <v/>
      </c>
      <c r="AB536" s="444"/>
      <c r="AC536" s="452" t="e">
        <f aca="false">IF(ABS(t-ROUND(t,0))&lt;0.001,t,NA())</f>
        <v>#N/A</v>
      </c>
      <c r="AD536" s="457" t="e">
        <f aca="false">IF(ABS(t-ROUND(t,0))&lt;0.001,pos_x,NA())</f>
        <v>#N/A</v>
      </c>
      <c r="AE536" s="458" t="e">
        <f aca="false">IF(t&lt;T_para, pos_z, NA())</f>
        <v>#N/A</v>
      </c>
      <c r="AF536" s="444"/>
      <c r="AG536" s="450" t="n">
        <f aca="false">IF(AND(L535&lt;L_rampe,Poussee&lt;Poids*SIN(M535)),0,(-W535+Poussee)/m-Poids*SIN(M535)/m)</f>
        <v>-0.953310203235902</v>
      </c>
      <c r="AH536" s="449" t="n">
        <f aca="false">IF(AND(L535&lt;L_rampe,Poussee&lt;Poids*SIN(M535)), g*SIN(M535), (-W535+Poussee)/m)</f>
        <v>-0.244250001248504</v>
      </c>
    </row>
    <row r="537" customFormat="false" ht="12" hidden="false" customHeight="false" outlineLevel="0" collapsed="false">
      <c r="A537" s="448" t="n">
        <f aca="false">IF(B536+0.01&lt;=T_ini+ROUNDUP(Temps_fin_propu,0), 0.01, IF(K536&gt;0, 0.1, 0.0001))</f>
        <v>0.1</v>
      </c>
      <c r="B537" s="449" t="n">
        <f aca="false">B536+pas</f>
        <v>17.2999999999999</v>
      </c>
      <c r="C537" s="432"/>
      <c r="D537" s="450" t="n">
        <f aca="false">IF(AND(L536&lt;L_rampe,Poussee&lt;Poids*SIN(M536)),0,(-W536+Poussee)/m*COS(M536)-U536/m*SIN(M536))</f>
        <v>-0.242762967536526</v>
      </c>
      <c r="E537" s="451" t="n">
        <f aca="false">IF(AND(L536&lt;L_rampe,Poussee&lt;Poids*SIN(M536)),0,(-W536+Poussee)/m*SIN(M536)+U536/m*COS(M536)-Poids/m)</f>
        <v>-9.81960346065835</v>
      </c>
      <c r="F537" s="449" t="n">
        <f aca="false">SQRT(acc_x^2+acc_z^2)</f>
        <v>9.82260382907611</v>
      </c>
      <c r="G537" s="450" t="n">
        <f aca="false">G536+acc_x*pas</f>
        <v>29.7844074068961</v>
      </c>
      <c r="H537" s="451" t="n">
        <f aca="false">H536+acc_z*pas</f>
        <v>0.197241424822792</v>
      </c>
      <c r="I537" s="449" t="n">
        <f aca="false">SQRT(vit_x^2+vit_z^2)</f>
        <v>29.7850604961553</v>
      </c>
      <c r="J537" s="450" t="n">
        <f aca="false">J536+0.5*(vit_x+G536)*pas*(K536&gt;=0)</f>
        <v>549.811237619521</v>
      </c>
      <c r="K537" s="451" t="n">
        <f aca="false">K536+0.5*(vit_z+H536)*pas</f>
        <v>1422.92722994048</v>
      </c>
      <c r="L537" s="449" t="n">
        <f aca="false">SQRT(pos_x^2+pos_z^2)</f>
        <v>1525.45543976833</v>
      </c>
      <c r="M537" s="450" t="n">
        <f aca="false">IF(AND(L536&gt;L_rampe,G537&gt;0),ATAN2(G537,H537),$M$4)</f>
        <v>0.0066222080187259</v>
      </c>
      <c r="N537" s="449" t="n">
        <f aca="false">DEGREES(Beta)</f>
        <v>0.379424570530685</v>
      </c>
      <c r="O537" s="438"/>
      <c r="P537" s="452" t="n">
        <f aca="false">MATCH(t-pas/2-T_ini,CdP_t)</f>
        <v>23</v>
      </c>
      <c r="Q537" s="449" t="n">
        <f aca="false">(INDEX(CdP,2,i_P+1)-INDEX(CdP,2,i_P+0))/(INDEX(CdP,1,i_P+1)-INDEX(CdP,1,i_P+0))*(t-pas/2-T_ini-INDEX(CdP,1,i_P+0))+INDEX(CdP,2,i_P+0)</f>
        <v>0</v>
      </c>
      <c r="R537" s="450" t="n">
        <f aca="false">Poussee/(g*ISP)</f>
        <v>0</v>
      </c>
      <c r="S537" s="451" t="n">
        <f aca="false">S536-Débit*pas</f>
        <v>8.652</v>
      </c>
      <c r="T537" s="449" t="n">
        <f aca="false">m*g</f>
        <v>84.87612</v>
      </c>
      <c r="U537" s="453" t="n">
        <f aca="false">IF(pos_xz&lt;L_rampe,Poids*COS(Beta),0)</f>
        <v>0</v>
      </c>
      <c r="V537" s="450" t="n">
        <f aca="false">Rho_moyen*(20000-Alt_rampe-pos_z)/(20000+Alt_rampe+pos_z)</f>
        <v>1.06226912405874</v>
      </c>
      <c r="W537" s="449" t="n">
        <f aca="false">1/2*Rho*Sref*Cx*vit_xz^2</f>
        <v>2.09540399929386</v>
      </c>
      <c r="X537" s="438"/>
      <c r="Y537" s="454" t="str">
        <f aca="false">IF(AND(pos_z&lt;=0,K536&gt;0),"Impact balistique","") &amp; IF(AND(H538&lt;0,vit_z&gt;=0),"Apogée","") &amp; IF(AND(Poussee=0,Q536&gt;0),"Fin de propulsion","") &amp; IF(AND(L538&gt;L_rampe,pos_xz&lt;=L_rampe),"Sortie de rampe","")</f>
        <v>Apogée</v>
      </c>
      <c r="Z537" s="455" t="str">
        <f aca="false">IF(ABS(t-T_para)&lt;pas/2,"Para","")</f>
        <v/>
      </c>
      <c r="AA537" s="456" t="str">
        <f aca="false">IF(ABS(t-T_satellite)&lt;pas/2,"Satellite","")</f>
        <v/>
      </c>
      <c r="AB537" s="444"/>
      <c r="AC537" s="452" t="e">
        <f aca="false">IF(ABS(t-ROUND(t,0))&lt;0.001,t,NA())</f>
        <v>#N/A</v>
      </c>
      <c r="AD537" s="457" t="e">
        <f aca="false">IF(ABS(t-ROUND(t,0))&lt;0.001,pos_x,NA())</f>
        <v>#N/A</v>
      </c>
      <c r="AE537" s="458" t="e">
        <f aca="false">IF(t&lt;T_para, pos_z, NA())</f>
        <v>#N/A</v>
      </c>
      <c r="AF537" s="444"/>
      <c r="AG537" s="450" t="n">
        <f aca="false">IF(AND(L536&lt;L_rampe,Poussee&lt;Poids*SIN(M536)),0,(-W536+Poussee)/m-Poids*SIN(M536)/m)</f>
        <v>-0.630723356875763</v>
      </c>
      <c r="AH537" s="449" t="n">
        <f aca="false">IF(AND(L536&lt;L_rampe,Poussee&lt;Poids*SIN(M536)), g*SIN(M536), (-W536+Poussee)/m)</f>
        <v>-0.242952844938595</v>
      </c>
    </row>
    <row r="538" customFormat="false" ht="12" hidden="false" customHeight="false" outlineLevel="0" collapsed="false">
      <c r="A538" s="448" t="n">
        <f aca="false">IF(B537+0.01&lt;=T_ini+ROUNDUP(Temps_fin_propu,0), 0.01, IF(K537&gt;0, 0.1, 0.0001))</f>
        <v>0.1</v>
      </c>
      <c r="B538" s="449" t="n">
        <f aca="false">B537+pas</f>
        <v>17.3999999999999</v>
      </c>
      <c r="C538" s="432"/>
      <c r="D538" s="450" t="n">
        <f aca="false">IF(AND(L537&lt;L_rampe,Poussee&lt;Poids*SIN(M537)),0,(-W537+Poussee)/m*COS(M537)-U537/m*SIN(M537))</f>
        <v>-0.242181929486413</v>
      </c>
      <c r="E538" s="451" t="n">
        <f aca="false">IF(AND(L537&lt;L_rampe,Poussee&lt;Poids*SIN(M537)),0,(-W537+Poussee)/m*SIN(M537)+U537/m*COS(M537)-Poids/m)</f>
        <v>-9.8116038025597</v>
      </c>
      <c r="F538" s="449" t="n">
        <f aca="false">SQRT(acc_x^2+acc_z^2)</f>
        <v>9.81459226179945</v>
      </c>
      <c r="G538" s="450" t="n">
        <f aca="false">G537+acc_x*pas</f>
        <v>29.7601892139474</v>
      </c>
      <c r="H538" s="451" t="n">
        <f aca="false">H537+acc_z*pas</f>
        <v>-0.783918955433178</v>
      </c>
      <c r="I538" s="449" t="n">
        <f aca="false">SQRT(vit_x^2+vit_z^2)</f>
        <v>29.7705121047428</v>
      </c>
      <c r="J538" s="450" t="n">
        <f aca="false">J537+0.5*(vit_x+G537)*pas*(K537&gt;=0)</f>
        <v>552.788467450563</v>
      </c>
      <c r="K538" s="451" t="n">
        <f aca="false">K537+0.5*(vit_z+H537)*pas</f>
        <v>1422.89789606395</v>
      </c>
      <c r="L538" s="449" t="n">
        <f aca="false">SQRT(pos_x^2+pos_z^2)</f>
        <v>1526.50368894724</v>
      </c>
      <c r="M538" s="450" t="n">
        <f aca="false">IF(AND(L537&gt;L_rampe,G538&gt;0),ATAN2(G538,H538),$M$4)</f>
        <v>-0.0263351054529712</v>
      </c>
      <c r="N538" s="449" t="n">
        <f aca="false">DEGREES(Beta)</f>
        <v>-1.50889039548721</v>
      </c>
      <c r="O538" s="438"/>
      <c r="P538" s="452" t="n">
        <f aca="false">MATCH(t-pas/2-T_ini,CdP_t)</f>
        <v>23</v>
      </c>
      <c r="Q538" s="449" t="n">
        <f aca="false">(INDEX(CdP,2,i_P+1)-INDEX(CdP,2,i_P+0))/(INDEX(CdP,1,i_P+1)-INDEX(CdP,1,i_P+0))*(t-pas/2-T_ini-INDEX(CdP,1,i_P+0))+INDEX(CdP,2,i_P+0)</f>
        <v>0</v>
      </c>
      <c r="R538" s="450" t="n">
        <f aca="false">Poussee/(g*ISP)</f>
        <v>0</v>
      </c>
      <c r="S538" s="451" t="n">
        <f aca="false">S537-Débit*pas</f>
        <v>8.652</v>
      </c>
      <c r="T538" s="449" t="n">
        <f aca="false">m*g</f>
        <v>84.87612</v>
      </c>
      <c r="U538" s="453" t="n">
        <f aca="false">IF(pos_xz&lt;L_rampe,Poids*COS(Beta),0)</f>
        <v>0</v>
      </c>
      <c r="V538" s="450" t="n">
        <f aca="false">Rho_moyen*(20000-Alt_rampe-pos_z)/(20000+Alt_rampe+pos_z)</f>
        <v>1.06227225596322</v>
      </c>
      <c r="W538" s="449" t="n">
        <f aca="false">1/2*Rho*Sref*Cx*vit_xz^2</f>
        <v>2.0933636880049</v>
      </c>
      <c r="X538" s="438"/>
      <c r="Y538" s="454" t="str">
        <f aca="false">IF(AND(pos_z&lt;=0,K537&gt;0),"Impact balistique","") &amp; IF(AND(H539&lt;0,vit_z&gt;=0),"Apogée","") &amp; IF(AND(Poussee=0,Q537&gt;0),"Fin de propulsion","") &amp; IF(AND(L539&gt;L_rampe,pos_xz&lt;=L_rampe),"Sortie de rampe","")</f>
        <v/>
      </c>
      <c r="Z538" s="455" t="str">
        <f aca="false">IF(ABS(t-T_para)&lt;pas/2,"Para","")</f>
        <v/>
      </c>
      <c r="AA538" s="456" t="str">
        <f aca="false">IF(ABS(t-T_satellite)&lt;pas/2,"Satellite","")</f>
        <v/>
      </c>
      <c r="AB538" s="444"/>
      <c r="AC538" s="452" t="e">
        <f aca="false">IF(ABS(t-ROUND(t,0))&lt;0.001,t,NA())</f>
        <v>#N/A</v>
      </c>
      <c r="AD538" s="457" t="e">
        <f aca="false">IF(ABS(t-ROUND(t,0))&lt;0.001,pos_x,NA())</f>
        <v>#N/A</v>
      </c>
      <c r="AE538" s="458" t="e">
        <f aca="false">IF(t&lt;T_para, pos_z, NA())</f>
        <v>#N/A</v>
      </c>
      <c r="AF538" s="444"/>
      <c r="AG538" s="450" t="n">
        <f aca="false">IF(AND(L537&lt;L_rampe,Poussee&lt;Poids*SIN(M537)),0,(-W537+Poussee)/m-Poids*SIN(M537)/m)</f>
        <v>-0.307150625710698</v>
      </c>
      <c r="AH538" s="449" t="n">
        <f aca="false">IF(AND(L537&lt;L_rampe,Poussee&lt;Poids*SIN(M537)), g*SIN(M537), (-W537+Poussee)/m)</f>
        <v>-0.242187239862906</v>
      </c>
    </row>
    <row r="539" customFormat="false" ht="12" hidden="false" customHeight="false" outlineLevel="0" collapsed="false">
      <c r="A539" s="448" t="n">
        <f aca="false">IF(B538+0.01&lt;=T_ini+ROUNDUP(Temps_fin_propu,0), 0.01, IF(K538&gt;0, 0.1, 0.0001))</f>
        <v>0.1</v>
      </c>
      <c r="B539" s="449" t="n">
        <f aca="false">B538+pas</f>
        <v>17.4999999999999</v>
      </c>
      <c r="C539" s="432"/>
      <c r="D539" s="450" t="n">
        <f aca="false">IF(AND(L538&lt;L_rampe,Poussee&lt;Poids*SIN(M538)),0,(-W538+Poussee)/m*COS(M538)-U538/m*SIN(M538))</f>
        <v>-0.241867523873824</v>
      </c>
      <c r="E539" s="451" t="n">
        <f aca="false">IF(AND(L538&lt;L_rampe,Poussee&lt;Poids*SIN(M538)),0,(-W538+Poussee)/m*SIN(M538)+U538/m*COS(M538)-Poids/m)</f>
        <v>-9.80362892032355</v>
      </c>
      <c r="F539" s="449" t="n">
        <f aca="false">SQRT(acc_x^2+acc_z^2)</f>
        <v>9.8066120503724</v>
      </c>
      <c r="G539" s="450" t="n">
        <f aca="false">G538+acc_x*pas</f>
        <v>29.73600246156</v>
      </c>
      <c r="H539" s="451" t="n">
        <f aca="false">H538+acc_z*pas</f>
        <v>-1.76428184746553</v>
      </c>
      <c r="I539" s="449" t="n">
        <f aca="false">SQRT(vit_x^2+vit_z^2)</f>
        <v>29.7882952320404</v>
      </c>
      <c r="J539" s="450" t="n">
        <f aca="false">J538+0.5*(vit_x+G538)*pas*(K538&gt;=0)</f>
        <v>555.763277034339</v>
      </c>
      <c r="K539" s="451" t="n">
        <f aca="false">K538+0.5*(vit_z+H538)*pas</f>
        <v>1422.7704860238</v>
      </c>
      <c r="L539" s="449" t="n">
        <f aca="false">SQRT(pos_x^2+pos_z^2)</f>
        <v>1527.46478715562</v>
      </c>
      <c r="M539" s="450" t="n">
        <f aca="false">IF(AND(L538&gt;L_rampe,G539&gt;0),ATAN2(G539,H539),$M$4)</f>
        <v>-0.0592620338504156</v>
      </c>
      <c r="N539" s="449" t="n">
        <f aca="false">DEGREES(Beta)</f>
        <v>-3.39546442499023</v>
      </c>
      <c r="O539" s="438"/>
      <c r="P539" s="452" t="n">
        <f aca="false">MATCH(t-pas/2-T_ini,CdP_t)</f>
        <v>23</v>
      </c>
      <c r="Q539" s="449" t="n">
        <f aca="false">(INDEX(CdP,2,i_P+1)-INDEX(CdP,2,i_P+0))/(INDEX(CdP,1,i_P+1)-INDEX(CdP,1,i_P+0))*(t-pas/2-T_ini-INDEX(CdP,1,i_P+0))+INDEX(CdP,2,i_P+0)</f>
        <v>0</v>
      </c>
      <c r="R539" s="450" t="n">
        <f aca="false">Poussee/(g*ISP)</f>
        <v>0</v>
      </c>
      <c r="S539" s="451" t="n">
        <f aca="false">S538-Débit*pas</f>
        <v>8.652</v>
      </c>
      <c r="T539" s="449" t="n">
        <f aca="false">m*g</f>
        <v>84.87612</v>
      </c>
      <c r="U539" s="453" t="n">
        <f aca="false">IF(pos_xz&lt;L_rampe,Poids*COS(Beta),0)</f>
        <v>0</v>
      </c>
      <c r="V539" s="450" t="n">
        <f aca="false">Rho_moyen*(20000-Alt_rampe-pos_z)/(20000+Alt_rampe+pos_z)</f>
        <v>1.06228585931346</v>
      </c>
      <c r="W539" s="449" t="n">
        <f aca="false">1/2*Rho*Sref*Cx*vit_xz^2</f>
        <v>2.09589217546773</v>
      </c>
      <c r="X539" s="438"/>
      <c r="Y539" s="454" t="str">
        <f aca="false">IF(AND(pos_z&lt;=0,K538&gt;0),"Impact balistique","") &amp; IF(AND(H540&lt;0,vit_z&gt;=0),"Apogée","") &amp; IF(AND(Poussee=0,Q538&gt;0),"Fin de propulsion","") &amp; IF(AND(L540&gt;L_rampe,pos_xz&lt;=L_rampe),"Sortie de rampe","")</f>
        <v/>
      </c>
      <c r="Z539" s="455" t="str">
        <f aca="false">IF(ABS(t-T_para)&lt;pas/2,"Para","")</f>
        <v/>
      </c>
      <c r="AA539" s="456" t="str">
        <f aca="false">IF(ABS(t-T_satellite)&lt;pas/2,"Satellite","")</f>
        <v/>
      </c>
      <c r="AB539" s="444"/>
      <c r="AC539" s="452" t="e">
        <f aca="false">IF(ABS(t-ROUND(t,0))&lt;0.001,t,NA())</f>
        <v>#N/A</v>
      </c>
      <c r="AD539" s="457" t="e">
        <f aca="false">IF(ABS(t-ROUND(t,0))&lt;0.001,pos_x,NA())</f>
        <v>#N/A</v>
      </c>
      <c r="AE539" s="458" t="e">
        <f aca="false">IF(t&lt;T_para, pos_z, NA())</f>
        <v>#N/A</v>
      </c>
      <c r="AF539" s="444"/>
      <c r="AG539" s="450" t="n">
        <f aca="false">IF(AND(L538&lt;L_rampe,Poussee&lt;Poids*SIN(M538)),0,(-W538+Poussee)/m-Poids*SIN(M538)/m)</f>
        <v>0.01636610300039</v>
      </c>
      <c r="AH539" s="449" t="n">
        <f aca="false">IF(AND(L538&lt;L_rampe,Poussee&lt;Poids*SIN(M538)), g*SIN(M538), (-W538+Poussee)/m)</f>
        <v>-0.24195142025022</v>
      </c>
    </row>
    <row r="540" customFormat="false" ht="12" hidden="false" customHeight="false" outlineLevel="0" collapsed="false">
      <c r="A540" s="448" t="n">
        <f aca="false">IF(B539+0.01&lt;=T_ini+ROUNDUP(Temps_fin_propu,0), 0.01, IF(K539&gt;0, 0.1, 0.0001))</f>
        <v>0.1</v>
      </c>
      <c r="B540" s="449" t="n">
        <f aca="false">B539+pas</f>
        <v>17.5999999999999</v>
      </c>
      <c r="C540" s="432"/>
      <c r="D540" s="450" t="n">
        <f aca="false">IF(AND(L539&lt;L_rampe,Poussee&lt;Poids*SIN(M539)),0,(-W539+Poussee)/m*COS(M539)-U539/m*SIN(M539))</f>
        <v>-0.241818409349153</v>
      </c>
      <c r="E540" s="451" t="n">
        <f aca="false">IF(AND(L539&lt;L_rampe,Poussee&lt;Poids*SIN(M539)),0,(-W539+Poussee)/m*SIN(M539)+U539/m*COS(M539)-Poids/m)</f>
        <v>-9.79565254927763</v>
      </c>
      <c r="F540" s="449" t="n">
        <f aca="false">SQRT(acc_x^2+acc_z^2)</f>
        <v>9.79863689547018</v>
      </c>
      <c r="G540" s="450" t="n">
        <f aca="false">G539+acc_x*pas</f>
        <v>29.7118206206251</v>
      </c>
      <c r="H540" s="451" t="n">
        <f aca="false">H539+acc_z*pas</f>
        <v>-2.7438471023933</v>
      </c>
      <c r="I540" s="449" t="n">
        <f aca="false">SQRT(vit_x^2+vit_z^2)</f>
        <v>29.8382469577808</v>
      </c>
      <c r="J540" s="450" t="n">
        <f aca="false">J539+0.5*(vit_x+G539)*pas*(K539&gt;=0)</f>
        <v>558.735668188448</v>
      </c>
      <c r="K540" s="451" t="n">
        <f aca="false">K539+0.5*(vit_z+H539)*pas</f>
        <v>1422.54507957631</v>
      </c>
      <c r="L540" s="449" t="n">
        <f aca="false">SQRT(pos_x^2+pos_z^2)</f>
        <v>1528.33898410423</v>
      </c>
      <c r="M540" s="450" t="n">
        <f aca="false">IF(AND(L539&gt;L_rampe,G540&gt;0),ATAN2(G540,H540),$M$4)</f>
        <v>-0.0920874796869573</v>
      </c>
      <c r="N540" s="449" t="n">
        <f aca="false">DEGREES(Beta)</f>
        <v>-5.27622393205935</v>
      </c>
      <c r="O540" s="438"/>
      <c r="P540" s="452" t="n">
        <f aca="false">MATCH(t-pas/2-T_ini,CdP_t)</f>
        <v>23</v>
      </c>
      <c r="Q540" s="449" t="n">
        <f aca="false">(INDEX(CdP,2,i_P+1)-INDEX(CdP,2,i_P+0))/(INDEX(CdP,1,i_P+1)-INDEX(CdP,1,i_P+0))*(t-pas/2-T_ini-INDEX(CdP,1,i_P+0))+INDEX(CdP,2,i_P+0)</f>
        <v>0</v>
      </c>
      <c r="R540" s="450" t="n">
        <f aca="false">Poussee/(g*ISP)</f>
        <v>0</v>
      </c>
      <c r="S540" s="451" t="n">
        <f aca="false">S539-Débit*pas</f>
        <v>8.652</v>
      </c>
      <c r="T540" s="449" t="n">
        <f aca="false">m*g</f>
        <v>84.87612</v>
      </c>
      <c r="U540" s="453" t="n">
        <f aca="false">IF(pos_xz&lt;L_rampe,Poids*COS(Beta),0)</f>
        <v>0</v>
      </c>
      <c r="V540" s="450" t="n">
        <f aca="false">Rho_moyen*(20000-Alt_rampe-pos_z)/(20000+Alt_rampe+pos_z)</f>
        <v>1.06230992596745</v>
      </c>
      <c r="W540" s="449" t="n">
        <f aca="false">1/2*Rho*Sref*Cx*vit_xz^2</f>
        <v>2.10297487765248</v>
      </c>
      <c r="X540" s="438"/>
      <c r="Y540" s="454" t="str">
        <f aca="false">IF(AND(pos_z&lt;=0,K539&gt;0),"Impact balistique","") &amp; IF(AND(H541&lt;0,vit_z&gt;=0),"Apogée","") &amp; IF(AND(Poussee=0,Q539&gt;0),"Fin de propulsion","") &amp; IF(AND(L541&gt;L_rampe,pos_xz&lt;=L_rampe),"Sortie de rampe","")</f>
        <v/>
      </c>
      <c r="Z540" s="455" t="str">
        <f aca="false">IF(ABS(t-T_para)&lt;pas/2,"Para","")</f>
        <v/>
      </c>
      <c r="AA540" s="456" t="str">
        <f aca="false">IF(ABS(t-T_satellite)&lt;pas/2,"Satellite","")</f>
        <v/>
      </c>
      <c r="AB540" s="444"/>
      <c r="AC540" s="452" t="e">
        <f aca="false">IF(ABS(t-ROUND(t,0))&lt;0.001,t,NA())</f>
        <v>#N/A</v>
      </c>
      <c r="AD540" s="457" t="e">
        <f aca="false">IF(ABS(t-ROUND(t,0))&lt;0.001,pos_x,NA())</f>
        <v>#N/A</v>
      </c>
      <c r="AE540" s="458" t="e">
        <f aca="false">IF(t&lt;T_para, pos_z, NA())</f>
        <v>#N/A</v>
      </c>
      <c r="AF540" s="444"/>
      <c r="AG540" s="450" t="n">
        <f aca="false">IF(AND(L539&lt;L_rampe,Poussee&lt;Poids*SIN(M539)),0,(-W539+Poussee)/m-Poids*SIN(M539)/m)</f>
        <v>0.338776659842504</v>
      </c>
      <c r="AH540" s="449" t="n">
        <f aca="false">IF(AND(L539&lt;L_rampe,Poussee&lt;Poids*SIN(M539)), g*SIN(M539), (-W539+Poussee)/m)</f>
        <v>-0.242243663368901</v>
      </c>
    </row>
    <row r="541" customFormat="false" ht="12" hidden="false" customHeight="false" outlineLevel="0" collapsed="false">
      <c r="A541" s="448" t="n">
        <f aca="false">IF(B540+0.01&lt;=T_ini+ROUNDUP(Temps_fin_propu,0), 0.01, IF(K540&gt;0, 0.1, 0.0001))</f>
        <v>0.1</v>
      </c>
      <c r="B541" s="449" t="n">
        <f aca="false">B540+pas</f>
        <v>17.6999999999999</v>
      </c>
      <c r="C541" s="432"/>
      <c r="D541" s="450" t="n">
        <f aca="false">IF(AND(L540&lt;L_rampe,Poussee&lt;Poids*SIN(M540)),0,(-W540+Poussee)/m*COS(M540)-U540/m*SIN(M540))</f>
        <v>-0.242032414973748</v>
      </c>
      <c r="E541" s="451" t="n">
        <f aca="false">IF(AND(L540&lt;L_rampe,Poussee&lt;Poids*SIN(M540)),0,(-W540+Poussee)/m*SIN(M540)+U540/m*COS(M540)-Poids/m)</f>
        <v>-9.78764862850411</v>
      </c>
      <c r="F541" s="449" t="n">
        <f aca="false">SQRT(acc_x^2+acc_z^2)</f>
        <v>9.79064070247481</v>
      </c>
      <c r="G541" s="450" t="n">
        <f aca="false">G540+acc_x*pas</f>
        <v>29.6876173791278</v>
      </c>
      <c r="H541" s="451" t="n">
        <f aca="false">H540+acc_z*pas</f>
        <v>-3.72261196524371</v>
      </c>
      <c r="I541" s="449" t="n">
        <f aca="false">SQRT(vit_x^2+vit_z^2)</f>
        <v>29.920101361681</v>
      </c>
      <c r="J541" s="450" t="n">
        <f aca="false">J540+0.5*(vit_x+G540)*pas*(K540&gt;=0)</f>
        <v>561.705640088436</v>
      </c>
      <c r="K541" s="451" t="n">
        <f aca="false">K540+0.5*(vit_z+H540)*pas</f>
        <v>1422.22175662293</v>
      </c>
      <c r="L541" s="449" t="n">
        <f aca="false">SQRT(pos_x^2+pos_z^2)</f>
        <v>1529.12653208254</v>
      </c>
      <c r="M541" s="450" t="n">
        <f aca="false">IF(AND(L540&gt;L_rampe,G541&gt;0),ATAN2(G541,H541),$M$4)</f>
        <v>-0.124741682901968</v>
      </c>
      <c r="N541" s="449" t="n">
        <f aca="false">DEGREES(Beta)</f>
        <v>-7.147171959642</v>
      </c>
      <c r="O541" s="438"/>
      <c r="P541" s="452" t="n">
        <f aca="false">MATCH(t-pas/2-T_ini,CdP_t)</f>
        <v>23</v>
      </c>
      <c r="Q541" s="449" t="n">
        <f aca="false">(INDEX(CdP,2,i_P+1)-INDEX(CdP,2,i_P+0))/(INDEX(CdP,1,i_P+1)-INDEX(CdP,1,i_P+0))*(t-pas/2-T_ini-INDEX(CdP,1,i_P+0))+INDEX(CdP,2,i_P+0)</f>
        <v>0</v>
      </c>
      <c r="R541" s="450" t="n">
        <f aca="false">Poussee/(g*ISP)</f>
        <v>0</v>
      </c>
      <c r="S541" s="451" t="n">
        <f aca="false">S540-Débit*pas</f>
        <v>8.652</v>
      </c>
      <c r="T541" s="449" t="n">
        <f aca="false">m*g</f>
        <v>84.87612</v>
      </c>
      <c r="U541" s="453" t="n">
        <f aca="false">IF(pos_xz&lt;L_rampe,Poids*COS(Beta),0)</f>
        <v>0</v>
      </c>
      <c r="V541" s="450" t="n">
        <f aca="false">Rho_moyen*(20000-Alt_rampe-pos_z)/(20000+Alt_rampe+pos_z)</f>
        <v>1.06234444805432</v>
      </c>
      <c r="W541" s="449" t="n">
        <f aca="false">1/2*Rho*Sref*Cx*vit_xz^2</f>
        <v>2.11459748079284</v>
      </c>
      <c r="X541" s="438"/>
      <c r="Y541" s="454" t="str">
        <f aca="false">IF(AND(pos_z&lt;=0,K540&gt;0),"Impact balistique","") &amp; IF(AND(H542&lt;0,vit_z&gt;=0),"Apogée","") &amp; IF(AND(Poussee=0,Q540&gt;0),"Fin de propulsion","") &amp; IF(AND(L542&gt;L_rampe,pos_xz&lt;=L_rampe),"Sortie de rampe","")</f>
        <v/>
      </c>
      <c r="Z541" s="455" t="str">
        <f aca="false">IF(ABS(t-T_para)&lt;pas/2,"Para","")</f>
        <v/>
      </c>
      <c r="AA541" s="456" t="str">
        <f aca="false">IF(ABS(t-T_satellite)&lt;pas/2,"Satellite","")</f>
        <v/>
      </c>
      <c r="AB541" s="444"/>
      <c r="AC541" s="452" t="e">
        <f aca="false">IF(ABS(t-ROUND(t,0))&lt;0.001,t,NA())</f>
        <v>#N/A</v>
      </c>
      <c r="AD541" s="457" t="e">
        <f aca="false">IF(ABS(t-ROUND(t,0))&lt;0.001,pos_x,NA())</f>
        <v>#N/A</v>
      </c>
      <c r="AE541" s="458" t="e">
        <f aca="false">IF(t&lt;T_para, pos_z, NA())</f>
        <v>#N/A</v>
      </c>
      <c r="AF541" s="444"/>
      <c r="AG541" s="450" t="n">
        <f aca="false">IF(AND(L540&lt;L_rampe,Poussee&lt;Poids*SIN(M540)),0,(-W540+Poussee)/m-Poids*SIN(M540)/m)</f>
        <v>0.659039643257598</v>
      </c>
      <c r="AH541" s="449" t="n">
        <f aca="false">IF(AND(L540&lt;L_rampe,Poussee&lt;Poids*SIN(M540)), g*SIN(M540), (-W540+Poussee)/m)</f>
        <v>-0.243062283593675</v>
      </c>
    </row>
    <row r="542" customFormat="false" ht="12" hidden="false" customHeight="false" outlineLevel="0" collapsed="false">
      <c r="A542" s="448" t="n">
        <f aca="false">IF(B541+0.01&lt;=T_ini+ROUNDUP(Temps_fin_propu,0), 0.01, IF(K541&gt;0, 0.1, 0.0001))</f>
        <v>0.1</v>
      </c>
      <c r="B542" s="449" t="n">
        <f aca="false">B541+pas</f>
        <v>17.7999999999999</v>
      </c>
      <c r="C542" s="432"/>
      <c r="D542" s="450" t="n">
        <f aca="false">IF(AND(L541&lt;L_rampe,Poussee&lt;Poids*SIN(M541)),0,(-W541+Poussee)/m*COS(M541)-U541/m*SIN(M541))</f>
        <v>-0.24250655564994</v>
      </c>
      <c r="E542" s="451" t="n">
        <f aca="false">IF(AND(L541&lt;L_rampe,Poussee&lt;Poids*SIN(M541)),0,(-W541+Poussee)/m*SIN(M541)+U541/m*COS(M541)-Poids/m)</f>
        <v>-9.77959143624819</v>
      </c>
      <c r="F542" s="449" t="n">
        <f aca="false">SQRT(acc_x^2+acc_z^2)</f>
        <v>9.78259771683739</v>
      </c>
      <c r="G542" s="450" t="n">
        <f aca="false">G541+acc_x*pas</f>
        <v>29.6633667235628</v>
      </c>
      <c r="H542" s="451" t="n">
        <f aca="false">H541+acc_z*pas</f>
        <v>-4.70057110886853</v>
      </c>
      <c r="I542" s="449" t="n">
        <f aca="false">SQRT(vit_x^2+vit_z^2)</f>
        <v>30.0334928725598</v>
      </c>
      <c r="J542" s="450" t="n">
        <f aca="false">J541+0.5*(vit_x+G541)*pas*(K541&gt;=0)</f>
        <v>564.67318929357</v>
      </c>
      <c r="K542" s="451" t="n">
        <f aca="false">K541+0.5*(vit_z+H541)*pas</f>
        <v>1421.80059746922</v>
      </c>
      <c r="L542" s="449" t="n">
        <f aca="false">SQRT(pos_x^2+pos_z^2)</f>
        <v>1529.82768626758</v>
      </c>
      <c r="M542" s="450" t="n">
        <f aca="false">IF(AND(L541&gt;L_rampe,G542&gt;0),ATAN2(G542,H542),$M$4)</f>
        <v>-0.157157091990908</v>
      </c>
      <c r="N542" s="449" t="n">
        <f aca="false">DEGREES(Beta)</f>
        <v>-9.00443809162827</v>
      </c>
      <c r="O542" s="438"/>
      <c r="P542" s="452" t="n">
        <f aca="false">MATCH(t-pas/2-T_ini,CdP_t)</f>
        <v>23</v>
      </c>
      <c r="Q542" s="449" t="n">
        <f aca="false">(INDEX(CdP,2,i_P+1)-INDEX(CdP,2,i_P+0))/(INDEX(CdP,1,i_P+1)-INDEX(CdP,1,i_P+0))*(t-pas/2-T_ini-INDEX(CdP,1,i_P+0))+INDEX(CdP,2,i_P+0)</f>
        <v>0</v>
      </c>
      <c r="R542" s="450" t="n">
        <f aca="false">Poussee/(g*ISP)</f>
        <v>0</v>
      </c>
      <c r="S542" s="451" t="n">
        <f aca="false">S541-Débit*pas</f>
        <v>8.652</v>
      </c>
      <c r="T542" s="449" t="n">
        <f aca="false">m*g</f>
        <v>84.87612</v>
      </c>
      <c r="U542" s="453" t="n">
        <f aca="false">IF(pos_xz&lt;L_rampe,Poids*COS(Beta),0)</f>
        <v>0</v>
      </c>
      <c r="V542" s="450" t="n">
        <f aca="false">Rho_moyen*(20000-Alt_rampe-pos_z)/(20000+Alt_rampe+pos_z)</f>
        <v>1.06238941794598</v>
      </c>
      <c r="W542" s="449" t="n">
        <f aca="false">1/2*Rho*Sref*Cx*vit_xz^2</f>
        <v>2.13074589139435</v>
      </c>
      <c r="X542" s="438"/>
      <c r="Y542" s="454" t="str">
        <f aca="false">IF(AND(pos_z&lt;=0,K541&gt;0),"Impact balistique","") &amp; IF(AND(H543&lt;0,vit_z&gt;=0),"Apogée","") &amp; IF(AND(Poussee=0,Q541&gt;0),"Fin de propulsion","") &amp; IF(AND(L543&gt;L_rampe,pos_xz&lt;=L_rampe),"Sortie de rampe","")</f>
        <v/>
      </c>
      <c r="Z542" s="455" t="str">
        <f aca="false">IF(ABS(t-T_para)&lt;pas/2,"Para","")</f>
        <v/>
      </c>
      <c r="AA542" s="456" t="str">
        <f aca="false">IF(ABS(t-T_satellite)&lt;pas/2,"Satellite","")</f>
        <v/>
      </c>
      <c r="AB542" s="444"/>
      <c r="AC542" s="452" t="e">
        <f aca="false">IF(ABS(t-ROUND(t,0))&lt;0.001,t,NA())</f>
        <v>#N/A</v>
      </c>
      <c r="AD542" s="457" t="e">
        <f aca="false">IF(ABS(t-ROUND(t,0))&lt;0.001,pos_x,NA())</f>
        <v>#N/A</v>
      </c>
      <c r="AE542" s="458" t="e">
        <f aca="false">IF(t&lt;T_para, pos_z, NA())</f>
        <v>#N/A</v>
      </c>
      <c r="AF542" s="444"/>
      <c r="AG542" s="450" t="n">
        <f aca="false">IF(AND(L541&lt;L_rampe,Poussee&lt;Poids*SIN(M541)),0,(-W541+Poussee)/m-Poids*SIN(M541)/m)</f>
        <v>0.976139148282149</v>
      </c>
      <c r="AH542" s="449" t="n">
        <f aca="false">IF(AND(L541&lt;L_rampe,Poussee&lt;Poids*SIN(M541)), g*SIN(M541), (-W541+Poussee)/m)</f>
        <v>-0.244405626536389</v>
      </c>
    </row>
    <row r="543" customFormat="false" ht="12" hidden="false" customHeight="false" outlineLevel="0" collapsed="false">
      <c r="A543" s="448" t="n">
        <f aca="false">IF(B542+0.01&lt;=T_ini+ROUNDUP(Temps_fin_propu,0), 0.01, IF(K542&gt;0, 0.1, 0.0001))</f>
        <v>0.1</v>
      </c>
      <c r="B543" s="449" t="n">
        <f aca="false">B542+pas</f>
        <v>17.8999999999999</v>
      </c>
      <c r="C543" s="432"/>
      <c r="D543" s="450" t="n">
        <f aca="false">IF(AND(L542&lt;L_rampe,Poussee&lt;Poids*SIN(M542)),0,(-W542+Poussee)/m*COS(M542)-U542/m*SIN(M542))</f>
        <v>-0.243237060620421</v>
      </c>
      <c r="E543" s="451" t="n">
        <f aca="false">IF(AND(L542&lt;L_rampe,Poussee&lt;Poids*SIN(M542)),0,(-W542+Poussee)/m*SIN(M542)+U542/m*COS(M542)-Poids/m)</f>
        <v>-9.77145572043748</v>
      </c>
      <c r="F543" s="449" t="n">
        <f aca="false">SQRT(acc_x^2+acc_z^2)</f>
        <v>9.77448265455158</v>
      </c>
      <c r="G543" s="450" t="n">
        <f aca="false">G542+acc_x*pas</f>
        <v>29.6390430175007</v>
      </c>
      <c r="H543" s="451" t="n">
        <f aca="false">H542+acc_z*pas</f>
        <v>-5.67771668091227</v>
      </c>
      <c r="I543" s="449" t="n">
        <f aca="false">SQRT(vit_x^2+vit_z^2)</f>
        <v>30.177961125662</v>
      </c>
      <c r="J543" s="450" t="n">
        <f aca="false">J542+0.5*(vit_x+G542)*pas*(K542&gt;=0)</f>
        <v>567.638309780623</v>
      </c>
      <c r="K543" s="451" t="n">
        <f aca="false">K542+0.5*(vit_z+H542)*pas</f>
        <v>1421.28168307973</v>
      </c>
      <c r="L543" s="449" t="n">
        <f aca="false">SQRT(pos_x^2+pos_z^2)</f>
        <v>1530.44270503294</v>
      </c>
      <c r="M543" s="450" t="n">
        <f aca="false">IF(AND(L542&gt;L_rampe,G543&gt;0),ATAN2(G543,H543),$M$4)</f>
        <v>-0.189269165737678</v>
      </c>
      <c r="N543" s="449" t="n">
        <f aca="false">DEGREES(Beta)</f>
        <v>-10.844324388731</v>
      </c>
      <c r="O543" s="438"/>
      <c r="P543" s="452" t="n">
        <f aca="false">MATCH(t-pas/2-T_ini,CdP_t)</f>
        <v>23</v>
      </c>
      <c r="Q543" s="449" t="n">
        <f aca="false">(INDEX(CdP,2,i_P+1)-INDEX(CdP,2,i_P+0))/(INDEX(CdP,1,i_P+1)-INDEX(CdP,1,i_P+0))*(t-pas/2-T_ini-INDEX(CdP,1,i_P+0))+INDEX(CdP,2,i_P+0)</f>
        <v>0</v>
      </c>
      <c r="R543" s="450" t="n">
        <f aca="false">Poussee/(g*ISP)</f>
        <v>0</v>
      </c>
      <c r="S543" s="451" t="n">
        <f aca="false">S542-Débit*pas</f>
        <v>8.652</v>
      </c>
      <c r="T543" s="449" t="n">
        <f aca="false">m*g</f>
        <v>84.87612</v>
      </c>
      <c r="U543" s="453" t="n">
        <f aca="false">IF(pos_xz&lt;L_rampe,Poids*COS(Beta),0)</f>
        <v>0</v>
      </c>
      <c r="V543" s="450" t="n">
        <f aca="false">Rho_moyen*(20000-Alt_rampe-pos_z)/(20000+Alt_rampe+pos_z)</f>
        <v>1.06244482822912</v>
      </c>
      <c r="W543" s="449" t="n">
        <f aca="false">1/2*Rho*Sref*Cx*vit_xz^2</f>
        <v>2.15140618726037</v>
      </c>
      <c r="X543" s="438"/>
      <c r="Y543" s="454" t="str">
        <f aca="false">IF(AND(pos_z&lt;=0,K542&gt;0),"Impact balistique","") &amp; IF(AND(H544&lt;0,vit_z&gt;=0),"Apogée","") &amp; IF(AND(Poussee=0,Q542&gt;0),"Fin de propulsion","") &amp; IF(AND(L544&gt;L_rampe,pos_xz&lt;=L_rampe),"Sortie de rampe","")</f>
        <v/>
      </c>
      <c r="Z543" s="455" t="str">
        <f aca="false">IF(ABS(t-T_para)&lt;pas/2,"Para","")</f>
        <v/>
      </c>
      <c r="AA543" s="456" t="str">
        <f aca="false">IF(ABS(t-T_satellite)&lt;pas/2,"Satellite","")</f>
        <v/>
      </c>
      <c r="AB543" s="444"/>
      <c r="AC543" s="452" t="e">
        <f aca="false">IF(ABS(t-ROUND(t,0))&lt;0.001,t,NA())</f>
        <v>#N/A</v>
      </c>
      <c r="AD543" s="457" t="e">
        <f aca="false">IF(ABS(t-ROUND(t,0))&lt;0.001,pos_x,NA())</f>
        <v>#N/A</v>
      </c>
      <c r="AE543" s="458" t="e">
        <f aca="false">IF(t&lt;T_para, pos_z, NA())</f>
        <v>#N/A</v>
      </c>
      <c r="AF543" s="444"/>
      <c r="AG543" s="450" t="n">
        <f aca="false">IF(AND(L542&lt;L_rampe,Poussee&lt;Poids*SIN(M542)),0,(-W542+Poussee)/m-Poids*SIN(M542)/m)</f>
        <v>1.28910055468456</v>
      </c>
      <c r="AH543" s="449" t="n">
        <f aca="false">IF(AND(L542&lt;L_rampe,Poussee&lt;Poids*SIN(M542)), g*SIN(M542), (-W542+Poussee)/m)</f>
        <v>-0.246272063267956</v>
      </c>
    </row>
    <row r="544" customFormat="false" ht="12" hidden="false" customHeight="false" outlineLevel="0" collapsed="false">
      <c r="A544" s="448" t="n">
        <f aca="false">IF(B543+0.01&lt;=T_ini+ROUNDUP(Temps_fin_propu,0), 0.01, IF(K543&gt;0, 0.1, 0.0001))</f>
        <v>0.1</v>
      </c>
      <c r="B544" s="449" t="n">
        <f aca="false">B543+pas</f>
        <v>17.9999999999999</v>
      </c>
      <c r="C544" s="432"/>
      <c r="D544" s="450" t="n">
        <f aca="false">IF(AND(L543&lt;L_rampe,Poussee&lt;Poids*SIN(M543)),0,(-W543+Poussee)/m*COS(M543)-U543/m*SIN(M543))</f>
        <v>-0.244219414006076</v>
      </c>
      <c r="E544" s="451" t="n">
        <f aca="false">IF(AND(L543&lt;L_rampe,Poussee&lt;Poids*SIN(M543)),0,(-W543+Poussee)/m*SIN(M543)+U543/m*COS(M543)-Poids/m)</f>
        <v>-9.76321682147814</v>
      </c>
      <c r="F544" s="449" t="n">
        <f aca="false">SQRT(acc_x^2+acc_z^2)</f>
        <v>9.766270824904</v>
      </c>
      <c r="G544" s="450" t="n">
        <f aca="false">G543+acc_x*pas</f>
        <v>29.6146210761001</v>
      </c>
      <c r="H544" s="451" t="n">
        <f aca="false">H543+acc_z*pas</f>
        <v>-6.65403836306009</v>
      </c>
      <c r="I544" s="449" t="n">
        <f aca="false">SQRT(vit_x^2+vit_z^2)</f>
        <v>30.3529571544202</v>
      </c>
      <c r="J544" s="450" t="n">
        <f aca="false">J543+0.5*(vit_x+G543)*pas*(K543&gt;=0)</f>
        <v>570.600992985303</v>
      </c>
      <c r="K544" s="451" t="n">
        <f aca="false">K543+0.5*(vit_z+H543)*pas</f>
        <v>1420.66509532753</v>
      </c>
      <c r="L544" s="449" t="n">
        <f aca="false">SQRT(pos_x^2+pos_z^2)</f>
        <v>1530.9718502565</v>
      </c>
      <c r="M544" s="450" t="n">
        <f aca="false">IF(AND(L543&gt;L_rampe,G544&gt;0),ATAN2(G544,H544),$M$4)</f>
        <v>-0.221017082991411</v>
      </c>
      <c r="N544" s="449" t="n">
        <f aca="false">DEGREES(Beta)</f>
        <v>-12.6633460557005</v>
      </c>
      <c r="O544" s="438"/>
      <c r="P544" s="452" t="n">
        <f aca="false">MATCH(t-pas/2-T_ini,CdP_t)</f>
        <v>23</v>
      </c>
      <c r="Q544" s="449" t="n">
        <f aca="false">(INDEX(CdP,2,i_P+1)-INDEX(CdP,2,i_P+0))/(INDEX(CdP,1,i_P+1)-INDEX(CdP,1,i_P+0))*(t-pas/2-T_ini-INDEX(CdP,1,i_P+0))+INDEX(CdP,2,i_P+0)</f>
        <v>0</v>
      </c>
      <c r="R544" s="450" t="n">
        <f aca="false">Poussee/(g*ISP)</f>
        <v>0</v>
      </c>
      <c r="S544" s="451" t="n">
        <f aca="false">S543-Débit*pas</f>
        <v>8.652</v>
      </c>
      <c r="T544" s="449" t="n">
        <f aca="false">m*g</f>
        <v>84.87612</v>
      </c>
      <c r="U544" s="453" t="n">
        <f aca="false">IF(pos_xz&lt;L_rampe,Poids*COS(Beta),0)</f>
        <v>0</v>
      </c>
      <c r="V544" s="450" t="n">
        <f aca="false">Rho_moyen*(20000-Alt_rampe-pos_z)/(20000+Alt_rampe+pos_z)</f>
        <v>1.0625106716779</v>
      </c>
      <c r="W544" s="449" t="n">
        <f aca="false">1/2*Rho*Sref*Cx*vit_xz^2</f>
        <v>2.1765645697529</v>
      </c>
      <c r="X544" s="438"/>
      <c r="Y544" s="454" t="str">
        <f aca="false">IF(AND(pos_z&lt;=0,K543&gt;0),"Impact balistique","") &amp; IF(AND(H545&lt;0,vit_z&gt;=0),"Apogée","") &amp; IF(AND(Poussee=0,Q543&gt;0),"Fin de propulsion","") &amp; IF(AND(L545&gt;L_rampe,pos_xz&lt;=L_rampe),"Sortie de rampe","")</f>
        <v/>
      </c>
      <c r="Z544" s="455" t="str">
        <f aca="false">IF(ABS(t-T_para)&lt;pas/2,"Para","")</f>
        <v/>
      </c>
      <c r="AA544" s="456" t="str">
        <f aca="false">IF(ABS(t-T_satellite)&lt;pas/2,"Satellite","")</f>
        <v/>
      </c>
      <c r="AB544" s="444"/>
      <c r="AC544" s="452" t="n">
        <f aca="false">IF(ABS(t-ROUND(t,0))&lt;0.001,t,NA())</f>
        <v>17.9999999999999</v>
      </c>
      <c r="AD544" s="457" t="n">
        <f aca="false">IF(ABS(t-ROUND(t,0))&lt;0.001,pos_x,NA())</f>
        <v>570.600992985303</v>
      </c>
      <c r="AE544" s="458" t="e">
        <f aca="false">IF(t&lt;T_para, pos_z, NA())</f>
        <v>#N/A</v>
      </c>
      <c r="AF544" s="444"/>
      <c r="AG544" s="450" t="n">
        <f aca="false">IF(AND(L543&lt;L_rampe,Poussee&lt;Poids*SIN(M543)),0,(-W543+Poussee)/m-Poids*SIN(M543)/m)</f>
        <v>1.59700481714295</v>
      </c>
      <c r="AH544" s="449" t="n">
        <f aca="false">IF(AND(L543&lt;L_rampe,Poussee&lt;Poids*SIN(M543)), g*SIN(M543), (-W543+Poussee)/m)</f>
        <v>-0.248659984657925</v>
      </c>
    </row>
    <row r="545" customFormat="false" ht="12" hidden="false" customHeight="false" outlineLevel="0" collapsed="false">
      <c r="A545" s="448" t="n">
        <f aca="false">IF(B544+0.01&lt;=T_ini+ROUNDUP(Temps_fin_propu,0), 0.01, IF(K544&gt;0, 0.1, 0.0001))</f>
        <v>0.1</v>
      </c>
      <c r="B545" s="449" t="n">
        <f aca="false">B544+pas</f>
        <v>18.0999999999999</v>
      </c>
      <c r="C545" s="432"/>
      <c r="D545" s="450" t="n">
        <f aca="false">IF(AND(L544&lt;L_rampe,Poussee&lt;Poids*SIN(M544)),0,(-W544+Poussee)/m*COS(M544)-U544/m*SIN(M544))</f>
        <v>-0.24544840594431</v>
      </c>
      <c r="E545" s="451" t="n">
        <f aca="false">IF(AND(L544&lt;L_rampe,Poussee&lt;Poids*SIN(M544)),0,(-W544+Poussee)/m*SIN(M544)+U544/m*COS(M544)-Poids/m)</f>
        <v>-9.75485078485021</v>
      </c>
      <c r="F545" s="449" t="n">
        <f aca="false">SQRT(acc_x^2+acc_z^2)</f>
        <v>9.75793824302416</v>
      </c>
      <c r="G545" s="450" t="n">
        <f aca="false">G544+acc_x*pas</f>
        <v>29.5900762355057</v>
      </c>
      <c r="H545" s="451" t="n">
        <f aca="false">H544+acc_z*pas</f>
        <v>-7.62952344154511</v>
      </c>
      <c r="I545" s="449" t="n">
        <f aca="false">SQRT(vit_x^2+vit_z^2)</f>
        <v>30.5578507026938</v>
      </c>
      <c r="J545" s="450" t="n">
        <f aca="false">J544+0.5*(vit_x+G544)*pas*(K544&gt;=0)</f>
        <v>573.561227850884</v>
      </c>
      <c r="K545" s="451" t="n">
        <f aca="false">K544+0.5*(vit_z+H544)*pas</f>
        <v>1419.9509172373</v>
      </c>
      <c r="L545" s="449" t="n">
        <f aca="false">SQRT(pos_x^2+pos_z^2)</f>
        <v>1531.41538762573</v>
      </c>
      <c r="M545" s="450" t="n">
        <f aca="false">IF(AND(L544&gt;L_rampe,G545&gt;0),ATAN2(G545,H545),$M$4)</f>
        <v>-0.25234434303823</v>
      </c>
      <c r="N545" s="449" t="n">
        <f aca="false">DEGREES(Beta)</f>
        <v>-14.458265840092</v>
      </c>
      <c r="O545" s="438"/>
      <c r="P545" s="452" t="n">
        <f aca="false">MATCH(t-pas/2-T_ini,CdP_t)</f>
        <v>23</v>
      </c>
      <c r="Q545" s="449" t="n">
        <f aca="false">(INDEX(CdP,2,i_P+1)-INDEX(CdP,2,i_P+0))/(INDEX(CdP,1,i_P+1)-INDEX(CdP,1,i_P+0))*(t-pas/2-T_ini-INDEX(CdP,1,i_P+0))+INDEX(CdP,2,i_P+0)</f>
        <v>0</v>
      </c>
      <c r="R545" s="450" t="n">
        <f aca="false">Poussee/(g*ISP)</f>
        <v>0</v>
      </c>
      <c r="S545" s="451" t="n">
        <f aca="false">S544-Débit*pas</f>
        <v>8.652</v>
      </c>
      <c r="T545" s="449" t="n">
        <f aca="false">m*g</f>
        <v>84.87612</v>
      </c>
      <c r="U545" s="453" t="n">
        <f aca="false">IF(pos_xz&lt;L_rampe,Poids*COS(Beta),0)</f>
        <v>0</v>
      </c>
      <c r="V545" s="450" t="n">
        <f aca="false">Rho_moyen*(20000-Alt_rampe-pos_z)/(20000+Alt_rampe+pos_z)</f>
        <v>1.06258694122722</v>
      </c>
      <c r="W545" s="449" t="n">
        <f aca="false">1/2*Rho*Sref*Cx*vit_xz^2</f>
        <v>2.20620731748873</v>
      </c>
      <c r="X545" s="438"/>
      <c r="Y545" s="454" t="str">
        <f aca="false">IF(AND(pos_z&lt;=0,K544&gt;0),"Impact balistique","") &amp; IF(AND(H546&lt;0,vit_z&gt;=0),"Apogée","") &amp; IF(AND(Poussee=0,Q544&gt;0),"Fin de propulsion","") &amp; IF(AND(L546&gt;L_rampe,pos_xz&lt;=L_rampe),"Sortie de rampe","")</f>
        <v/>
      </c>
      <c r="Z545" s="455" t="str">
        <f aca="false">IF(ABS(t-T_para)&lt;pas/2,"Para","")</f>
        <v/>
      </c>
      <c r="AA545" s="456" t="str">
        <f aca="false">IF(ABS(t-T_satellite)&lt;pas/2,"Satellite","")</f>
        <v/>
      </c>
      <c r="AB545" s="444"/>
      <c r="AC545" s="452" t="e">
        <f aca="false">IF(ABS(t-ROUND(t,0))&lt;0.001,t,NA())</f>
        <v>#N/A</v>
      </c>
      <c r="AD545" s="457" t="e">
        <f aca="false">IF(ABS(t-ROUND(t,0))&lt;0.001,pos_x,NA())</f>
        <v>#N/A</v>
      </c>
      <c r="AE545" s="458" t="e">
        <f aca="false">IF(t&lt;T_para, pos_z, NA())</f>
        <v>#N/A</v>
      </c>
      <c r="AF545" s="444"/>
      <c r="AG545" s="450" t="n">
        <f aca="false">IF(AND(L544&lt;L_rampe,Poussee&lt;Poids*SIN(M544)),0,(-W544+Poussee)/m-Poids*SIN(M544)/m)</f>
        <v>1.89900079650567</v>
      </c>
      <c r="AH545" s="449" t="n">
        <f aca="false">IF(AND(L544&lt;L_rampe,Poussee&lt;Poids*SIN(M544)), g*SIN(M544), (-W544+Poussee)/m)</f>
        <v>-0.251567795856785</v>
      </c>
    </row>
    <row r="546" customFormat="false" ht="12" hidden="false" customHeight="false" outlineLevel="0" collapsed="false">
      <c r="A546" s="448" t="n">
        <f aca="false">IF(B545+0.01&lt;=T_ini+ROUNDUP(Temps_fin_propu,0), 0.01, IF(K545&gt;0, 0.1, 0.0001))</f>
        <v>0.1</v>
      </c>
      <c r="B546" s="449" t="n">
        <f aca="false">B545+pas</f>
        <v>18.1999999999999</v>
      </c>
      <c r="C546" s="432"/>
      <c r="D546" s="450" t="n">
        <f aca="false">IF(AND(L545&lt;L_rampe,Poussee&lt;Poids*SIN(M545)),0,(-W545+Poussee)/m*COS(M545)-U545/m*SIN(M545))</f>
        <v>-0.246918192573072</v>
      </c>
      <c r="E546" s="451" t="n">
        <f aca="false">IF(AND(L545&lt;L_rampe,Poussee&lt;Poids*SIN(M545)),0,(-W545+Poussee)/m*SIN(M545)+U545/m*COS(M545)-Poids/m)</f>
        <v>-9.74633446148004</v>
      </c>
      <c r="F546" s="449" t="n">
        <f aca="false">SQRT(acc_x^2+acc_z^2)</f>
        <v>9.74946173021142</v>
      </c>
      <c r="G546" s="450" t="n">
        <f aca="false">G545+acc_x*pas</f>
        <v>29.5653844162484</v>
      </c>
      <c r="H546" s="451" t="n">
        <f aca="false">H545+acc_z*pas</f>
        <v>-8.60415688769311</v>
      </c>
      <c r="I546" s="449" t="n">
        <f aca="false">SQRT(vit_x^2+vit_z^2)</f>
        <v>30.7919384162248</v>
      </c>
      <c r="J546" s="450" t="n">
        <f aca="false">J545+0.5*(vit_x+G545)*pas*(K545&gt;=0)</f>
        <v>576.519000883471</v>
      </c>
      <c r="K546" s="451" t="n">
        <f aca="false">K545+0.5*(vit_z+H545)*pas</f>
        <v>1419.13923322084</v>
      </c>
      <c r="L546" s="449" t="n">
        <f aca="false">SQRT(pos_x^2+pos_z^2)</f>
        <v>1531.77358693976</v>
      </c>
      <c r="M546" s="450" t="n">
        <f aca="false">IF(AND(L545&gt;L_rampe,G546&gt;0),ATAN2(G546,H546),$M$4)</f>
        <v>-0.283199244890374</v>
      </c>
      <c r="N546" s="449" t="n">
        <f aca="false">DEGREES(Beta)</f>
        <v>-16.2261214935103</v>
      </c>
      <c r="O546" s="438"/>
      <c r="P546" s="452" t="n">
        <f aca="false">MATCH(t-pas/2-T_ini,CdP_t)</f>
        <v>23</v>
      </c>
      <c r="Q546" s="449" t="n">
        <f aca="false">(INDEX(CdP,2,i_P+1)-INDEX(CdP,2,i_P+0))/(INDEX(CdP,1,i_P+1)-INDEX(CdP,1,i_P+0))*(t-pas/2-T_ini-INDEX(CdP,1,i_P+0))+INDEX(CdP,2,i_P+0)</f>
        <v>0</v>
      </c>
      <c r="R546" s="450" t="n">
        <f aca="false">Poussee/(g*ISP)</f>
        <v>0</v>
      </c>
      <c r="S546" s="451" t="n">
        <f aca="false">S545-Débit*pas</f>
        <v>8.652</v>
      </c>
      <c r="T546" s="449" t="n">
        <f aca="false">m*g</f>
        <v>84.87612</v>
      </c>
      <c r="U546" s="453" t="n">
        <f aca="false">IF(pos_xz&lt;L_rampe,Poids*COS(Beta),0)</f>
        <v>0</v>
      </c>
      <c r="V546" s="450" t="n">
        <f aca="false">Rho_moyen*(20000-Alt_rampe-pos_z)/(20000+Alt_rampe+pos_z)</f>
        <v>1.06267362994688</v>
      </c>
      <c r="W546" s="449" t="n">
        <f aca="false">1/2*Rho*Sref*Cx*vit_xz^2</f>
        <v>2.24032074165057</v>
      </c>
      <c r="X546" s="438"/>
      <c r="Y546" s="454" t="str">
        <f aca="false">IF(AND(pos_z&lt;=0,K545&gt;0),"Impact balistique","") &amp; IF(AND(H547&lt;0,vit_z&gt;=0),"Apogée","") &amp; IF(AND(Poussee=0,Q545&gt;0),"Fin de propulsion","") &amp; IF(AND(L547&gt;L_rampe,pos_xz&lt;=L_rampe),"Sortie de rampe","")</f>
        <v/>
      </c>
      <c r="Z546" s="455" t="str">
        <f aca="false">IF(ABS(t-T_para)&lt;pas/2,"Para","")</f>
        <v/>
      </c>
      <c r="AA546" s="456" t="str">
        <f aca="false">IF(ABS(t-T_satellite)&lt;pas/2,"Satellite","")</f>
        <v/>
      </c>
      <c r="AB546" s="444"/>
      <c r="AC546" s="452" t="e">
        <f aca="false">IF(ABS(t-ROUND(t,0))&lt;0.001,t,NA())</f>
        <v>#N/A</v>
      </c>
      <c r="AD546" s="457" t="e">
        <f aca="false">IF(ABS(t-ROUND(t,0))&lt;0.001,pos_x,NA())</f>
        <v>#N/A</v>
      </c>
      <c r="AE546" s="458" t="e">
        <f aca="false">IF(t&lt;T_para, pos_z, NA())</f>
        <v>#N/A</v>
      </c>
      <c r="AF546" s="444"/>
      <c r="AG546" s="450" t="n">
        <f aca="false">IF(AND(L545&lt;L_rampe,Poussee&lt;Poids*SIN(M545)),0,(-W545+Poussee)/m-Poids*SIN(M545)/m)</f>
        <v>2.19431529243381</v>
      </c>
      <c r="AH546" s="449" t="n">
        <f aca="false">IF(AND(L545&lt;L_rampe,Poussee&lt;Poids*SIN(M545)), g*SIN(M545), (-W545+Poussee)/m)</f>
        <v>-0.254993910944143</v>
      </c>
    </row>
    <row r="547" customFormat="false" ht="12" hidden="false" customHeight="false" outlineLevel="0" collapsed="false">
      <c r="A547" s="448" t="n">
        <f aca="false">IF(B546+0.01&lt;=T_ini+ROUNDUP(Temps_fin_propu,0), 0.01, IF(K546&gt;0, 0.1, 0.0001))</f>
        <v>0.1</v>
      </c>
      <c r="B547" s="449" t="n">
        <f aca="false">B546+pas</f>
        <v>18.2999999999999</v>
      </c>
      <c r="C547" s="432"/>
      <c r="D547" s="450" t="n">
        <f aca="false">IF(AND(L546&lt;L_rampe,Poussee&lt;Poids*SIN(M546)),0,(-W546+Poussee)/m*COS(M546)-U546/m*SIN(M546))</f>
        <v>-0.248622362893848</v>
      </c>
      <c r="E547" s="451" t="n">
        <f aca="false">IF(AND(L546&lt;L_rampe,Poussee&lt;Poids*SIN(M546)),0,(-W546+Poussee)/m*SIN(M546)+U546/m*COS(M546)-Poids/m)</f>
        <v>-9.73764559438801</v>
      </c>
      <c r="F547" s="449" t="n">
        <f aca="false">SQRT(acc_x^2+acc_z^2)</f>
        <v>9.74081900053764</v>
      </c>
      <c r="G547" s="450" t="n">
        <f aca="false">G546+acc_x*pas</f>
        <v>29.540522179959</v>
      </c>
      <c r="H547" s="451" t="n">
        <f aca="false">H546+acc_z*pas</f>
        <v>-9.57792144713191</v>
      </c>
      <c r="I547" s="449" t="n">
        <f aca="false">SQRT(vit_x^2+vit_z^2)</f>
        <v>31.0544526583883</v>
      </c>
      <c r="J547" s="450" t="n">
        <f aca="false">J546+0.5*(vit_x+G546)*pas*(K546&gt;=0)</f>
        <v>579.474296213282</v>
      </c>
      <c r="K547" s="451" t="n">
        <f aca="false">K546+0.5*(vit_z+H546)*pas</f>
        <v>1418.2301293041</v>
      </c>
      <c r="L547" s="449" t="n">
        <f aca="false">SQRT(pos_x^2+pos_z^2)</f>
        <v>1532.04672240692</v>
      </c>
      <c r="M547" s="450" t="n">
        <f aca="false">IF(AND(L546&gt;L_rampe,G547&gt;0),ATAN2(G547,H547),$M$4)</f>
        <v>-0.313535239782668</v>
      </c>
      <c r="N547" s="449" t="n">
        <f aca="false">DEGREES(Beta)</f>
        <v>-17.9642459681691</v>
      </c>
      <c r="O547" s="438"/>
      <c r="P547" s="452" t="n">
        <f aca="false">MATCH(t-pas/2-T_ini,CdP_t)</f>
        <v>23</v>
      </c>
      <c r="Q547" s="449" t="n">
        <f aca="false">(INDEX(CdP,2,i_P+1)-INDEX(CdP,2,i_P+0))/(INDEX(CdP,1,i_P+1)-INDEX(CdP,1,i_P+0))*(t-pas/2-T_ini-INDEX(CdP,1,i_P+0))+INDEX(CdP,2,i_P+0)</f>
        <v>0</v>
      </c>
      <c r="R547" s="450" t="n">
        <f aca="false">Poussee/(g*ISP)</f>
        <v>0</v>
      </c>
      <c r="S547" s="451" t="n">
        <f aca="false">S546-Débit*pas</f>
        <v>8.652</v>
      </c>
      <c r="T547" s="449" t="n">
        <f aca="false">m*g</f>
        <v>84.87612</v>
      </c>
      <c r="U547" s="453" t="n">
        <f aca="false">IF(pos_xz&lt;L_rampe,Poids*COS(Beta),0)</f>
        <v>0</v>
      </c>
      <c r="V547" s="450" t="n">
        <f aca="false">Rho_moyen*(20000-Alt_rampe-pos_z)/(20000+Alt_rampe+pos_z)</f>
        <v>1.06277073101661</v>
      </c>
      <c r="W547" s="449" t="n">
        <f aca="false">1/2*Rho*Sref*Cx*vit_xz^2</f>
        <v>2.27889114306959</v>
      </c>
      <c r="X547" s="438"/>
      <c r="Y547" s="454" t="str">
        <f aca="false">IF(AND(pos_z&lt;=0,K546&gt;0),"Impact balistique","") &amp; IF(AND(H548&lt;0,vit_z&gt;=0),"Apogée","") &amp; IF(AND(Poussee=0,Q546&gt;0),"Fin de propulsion","") &amp; IF(AND(L548&gt;L_rampe,pos_xz&lt;=L_rampe),"Sortie de rampe","")</f>
        <v/>
      </c>
      <c r="Z547" s="455" t="str">
        <f aca="false">IF(ABS(t-T_para)&lt;pas/2,"Para","")</f>
        <v/>
      </c>
      <c r="AA547" s="456" t="str">
        <f aca="false">IF(ABS(t-T_satellite)&lt;pas/2,"Satellite","")</f>
        <v/>
      </c>
      <c r="AB547" s="444"/>
      <c r="AC547" s="452" t="e">
        <f aca="false">IF(ABS(t-ROUND(t,0))&lt;0.001,t,NA())</f>
        <v>#N/A</v>
      </c>
      <c r="AD547" s="457" t="e">
        <f aca="false">IF(ABS(t-ROUND(t,0))&lt;0.001,pos_x,NA())</f>
        <v>#N/A</v>
      </c>
      <c r="AE547" s="458" t="e">
        <f aca="false">IF(t&lt;T_para, pos_z, NA())</f>
        <v>#N/A</v>
      </c>
      <c r="AF547" s="444"/>
      <c r="AG547" s="450" t="n">
        <f aca="false">IF(AND(L546&lt;L_rampe,Poussee&lt;Poids*SIN(M546)),0,(-W546+Poussee)/m-Poids*SIN(M546)/m)</f>
        <v>2.48226057236986</v>
      </c>
      <c r="AH547" s="449" t="n">
        <f aca="false">IF(AND(L546&lt;L_rampe,Poussee&lt;Poids*SIN(M546)), g*SIN(M546), (-W546+Poussee)/m)</f>
        <v>-0.258936747763589</v>
      </c>
    </row>
    <row r="548" customFormat="false" ht="12" hidden="false" customHeight="false" outlineLevel="0" collapsed="false">
      <c r="A548" s="448" t="n">
        <f aca="false">IF(B547+0.01&lt;=T_ini+ROUNDUP(Temps_fin_propu,0), 0.01, IF(K547&gt;0, 0.1, 0.0001))</f>
        <v>0.1</v>
      </c>
      <c r="B548" s="449" t="n">
        <f aca="false">B547+pas</f>
        <v>18.4</v>
      </c>
      <c r="C548" s="432"/>
      <c r="D548" s="450" t="n">
        <f aca="false">IF(AND(L547&lt;L_rampe,Poussee&lt;Poids*SIN(M547)),0,(-W547+Poussee)/m*COS(M547)-U547/m*SIN(M547))</f>
        <v>-0.250554010445567</v>
      </c>
      <c r="E548" s="451" t="n">
        <f aca="false">IF(AND(L547&lt;L_rampe,Poussee&lt;Poids*SIN(M547)),0,(-W547+Poussee)/m*SIN(M547)+U547/m*COS(M547)-Poids/m)</f>
        <v>-9.72876289065941</v>
      </c>
      <c r="F548" s="449" t="n">
        <f aca="false">SQRT(acc_x^2+acc_z^2)</f>
        <v>9.73198873277307</v>
      </c>
      <c r="G548" s="450" t="n">
        <f aca="false">G547+acc_x*pas</f>
        <v>29.5154667789144</v>
      </c>
      <c r="H548" s="451" t="n">
        <f aca="false">H547+acc_z*pas</f>
        <v>-10.5507977361979</v>
      </c>
      <c r="I548" s="449" t="n">
        <f aca="false">SQRT(vit_x^2+vit_z^2)</f>
        <v>31.3445706948964</v>
      </c>
      <c r="J548" s="450" t="n">
        <f aca="false">J547+0.5*(vit_x+G547)*pas*(K547&gt;=0)</f>
        <v>582.427095661226</v>
      </c>
      <c r="K548" s="451" t="n">
        <f aca="false">K547+0.5*(vit_z+H547)*pas</f>
        <v>1417.22369334493</v>
      </c>
      <c r="L548" s="449" t="n">
        <f aca="false">SQRT(pos_x^2+pos_z^2)</f>
        <v>1532.23507293712</v>
      </c>
      <c r="M548" s="450" t="n">
        <f aca="false">IF(AND(L547&gt;L_rampe,G548&gt;0),ATAN2(G548,H548),$M$4)</f>
        <v>-0.343311156889865</v>
      </c>
      <c r="N548" s="449" t="n">
        <f aca="false">DEGREES(Beta)</f>
        <v>-19.6702803495429</v>
      </c>
      <c r="O548" s="438"/>
      <c r="P548" s="452" t="n">
        <f aca="false">MATCH(t-pas/2-T_ini,CdP_t)</f>
        <v>23</v>
      </c>
      <c r="Q548" s="449" t="n">
        <f aca="false">(INDEX(CdP,2,i_P+1)-INDEX(CdP,2,i_P+0))/(INDEX(CdP,1,i_P+1)-INDEX(CdP,1,i_P+0))*(t-pas/2-T_ini-INDEX(CdP,1,i_P+0))+INDEX(CdP,2,i_P+0)</f>
        <v>0</v>
      </c>
      <c r="R548" s="450" t="n">
        <f aca="false">Poussee/(g*ISP)</f>
        <v>0</v>
      </c>
      <c r="S548" s="451" t="n">
        <f aca="false">S547-Débit*pas</f>
        <v>8.652</v>
      </c>
      <c r="T548" s="449" t="n">
        <f aca="false">m*g</f>
        <v>84.87612</v>
      </c>
      <c r="U548" s="453" t="n">
        <f aca="false">IF(pos_xz&lt;L_rampe,Poids*COS(Beta),0)</f>
        <v>0</v>
      </c>
      <c r="V548" s="450" t="n">
        <f aca="false">Rho_moyen*(20000-Alt_rampe-pos_z)/(20000+Alt_rampe+pos_z)</f>
        <v>1.06287823770202</v>
      </c>
      <c r="W548" s="449" t="n">
        <f aca="false">1/2*Rho*Sref*Cx*vit_xz^2</f>
        <v>2.32190477120938</v>
      </c>
      <c r="X548" s="438"/>
      <c r="Y548" s="454" t="str">
        <f aca="false">IF(AND(pos_z&lt;=0,K547&gt;0),"Impact balistique","") &amp; IF(AND(H549&lt;0,vit_z&gt;=0),"Apogée","") &amp; IF(AND(Poussee=0,Q547&gt;0),"Fin de propulsion","") &amp; IF(AND(L549&gt;L_rampe,pos_xz&lt;=L_rampe),"Sortie de rampe","")</f>
        <v/>
      </c>
      <c r="Z548" s="455" t="str">
        <f aca="false">IF(ABS(t-T_para)&lt;pas/2,"Para","")</f>
        <v/>
      </c>
      <c r="AA548" s="456" t="str">
        <f aca="false">IF(ABS(t-T_satellite)&lt;pas/2,"Satellite","")</f>
        <v/>
      </c>
      <c r="AB548" s="444"/>
      <c r="AC548" s="452" t="e">
        <f aca="false">IF(ABS(t-ROUND(t,0))&lt;0.001,t,NA())</f>
        <v>#N/A</v>
      </c>
      <c r="AD548" s="457" t="e">
        <f aca="false">IF(ABS(t-ROUND(t,0))&lt;0.001,pos_x,NA())</f>
        <v>#N/A</v>
      </c>
      <c r="AE548" s="458" t="e">
        <f aca="false">IF(t&lt;T_para, pos_z, NA())</f>
        <v>#N/A</v>
      </c>
      <c r="AF548" s="444"/>
      <c r="AG548" s="450" t="n">
        <f aca="false">IF(AND(L547&lt;L_rampe,Poussee&lt;Poids*SIN(M547)),0,(-W547+Poussee)/m-Poids*SIN(M547)/m)</f>
        <v>2.76223932797258</v>
      </c>
      <c r="AH548" s="449" t="n">
        <f aca="false">IF(AND(L547&lt;L_rampe,Poussee&lt;Poids*SIN(M547)), g*SIN(M547), (-W547+Poussee)/m)</f>
        <v>-0.263394722962273</v>
      </c>
    </row>
    <row r="549" customFormat="false" ht="12" hidden="false" customHeight="false" outlineLevel="0" collapsed="false">
      <c r="A549" s="448" t="n">
        <f aca="false">IF(B548+0.01&lt;=T_ini+ROUNDUP(Temps_fin_propu,0), 0.01, IF(K548&gt;0, 0.1, 0.0001))</f>
        <v>0.1</v>
      </c>
      <c r="B549" s="449" t="n">
        <f aca="false">B548+pas</f>
        <v>18.5</v>
      </c>
      <c r="C549" s="432"/>
      <c r="D549" s="450" t="n">
        <f aca="false">IF(AND(L548&lt;L_rampe,Poussee&lt;Poids*SIN(M548)),0,(-W548+Poussee)/m*COS(M548)-U548/m*SIN(M548))</f>
        <v>-0.252705807726603</v>
      </c>
      <c r="E549" s="451" t="n">
        <f aca="false">IF(AND(L548&lt;L_rampe,Poussee&lt;Poids*SIN(M548)),0,(-W548+Poussee)/m*SIN(M548)+U548/m*COS(M548)-Poids/m)</f>
        <v>-9.71966607832912</v>
      </c>
      <c r="F549" s="449" t="n">
        <f aca="false">SQRT(acc_x^2+acc_z^2)</f>
        <v>9.72295062722631</v>
      </c>
      <c r="G549" s="450" t="n">
        <f aca="false">G548+acc_x*pas</f>
        <v>29.4901961981418</v>
      </c>
      <c r="H549" s="451" t="n">
        <f aca="false">H548+acc_z*pas</f>
        <v>-11.5227643440308</v>
      </c>
      <c r="I549" s="449" t="n">
        <f aca="false">SQRT(vit_x^2+vit_z^2)</f>
        <v>31.6614240035562</v>
      </c>
      <c r="J549" s="450" t="n">
        <f aca="false">J548+0.5*(vit_x+G548)*pas*(K548&gt;=0)</f>
        <v>585.377378810078</v>
      </c>
      <c r="K549" s="451" t="n">
        <f aca="false">K548+0.5*(vit_z+H548)*pas</f>
        <v>1416.12001524092</v>
      </c>
      <c r="L549" s="449" t="n">
        <f aca="false">SQRT(pos_x^2+pos_z^2)</f>
        <v>1532.33892242823</v>
      </c>
      <c r="M549" s="450" t="n">
        <f aca="false">IF(AND(L548&gt;L_rampe,G549&gt;0),ATAN2(G549,H549),$M$4)</f>
        <v>-0.372491307389624</v>
      </c>
      <c r="N549" s="449" t="n">
        <f aca="false">DEGREES(Beta)</f>
        <v>-21.3421798187356</v>
      </c>
      <c r="O549" s="438"/>
      <c r="P549" s="452" t="n">
        <f aca="false">MATCH(t-pas/2-T_ini,CdP_t)</f>
        <v>23</v>
      </c>
      <c r="Q549" s="449" t="n">
        <f aca="false">(INDEX(CdP,2,i_P+1)-INDEX(CdP,2,i_P+0))/(INDEX(CdP,1,i_P+1)-INDEX(CdP,1,i_P+0))*(t-pas/2-T_ini-INDEX(CdP,1,i_P+0))+INDEX(CdP,2,i_P+0)</f>
        <v>0</v>
      </c>
      <c r="R549" s="450" t="n">
        <f aca="false">Poussee/(g*ISP)</f>
        <v>0</v>
      </c>
      <c r="S549" s="451" t="n">
        <f aca="false">S548-Débit*pas</f>
        <v>8.652</v>
      </c>
      <c r="T549" s="449" t="n">
        <f aca="false">m*g</f>
        <v>84.87612</v>
      </c>
      <c r="U549" s="453" t="n">
        <f aca="false">IF(pos_xz&lt;L_rampe,Poids*COS(Beta),0)</f>
        <v>0</v>
      </c>
      <c r="V549" s="450" t="n">
        <f aca="false">Rho_moyen*(20000-Alt_rampe-pos_z)/(20000+Alt_rampe+pos_z)</f>
        <v>1.0629961433317</v>
      </c>
      <c r="W549" s="449" t="n">
        <f aca="false">1/2*Rho*Sref*Cx*vit_xz^2</f>
        <v>2.36934778515508</v>
      </c>
      <c r="X549" s="438"/>
      <c r="Y549" s="454" t="str">
        <f aca="false">IF(AND(pos_z&lt;=0,K548&gt;0),"Impact balistique","") &amp; IF(AND(H550&lt;0,vit_z&gt;=0),"Apogée","") &amp; IF(AND(Poussee=0,Q548&gt;0),"Fin de propulsion","") &amp; IF(AND(L550&gt;L_rampe,pos_xz&lt;=L_rampe),"Sortie de rampe","")</f>
        <v/>
      </c>
      <c r="Z549" s="455" t="str">
        <f aca="false">IF(ABS(t-T_para)&lt;pas/2,"Para","")</f>
        <v/>
      </c>
      <c r="AA549" s="456" t="str">
        <f aca="false">IF(ABS(t-T_satellite)&lt;pas/2,"Satellite","")</f>
        <v/>
      </c>
      <c r="AB549" s="444"/>
      <c r="AC549" s="452" t="e">
        <f aca="false">IF(ABS(t-ROUND(t,0))&lt;0.001,t,NA())</f>
        <v>#N/A</v>
      </c>
      <c r="AD549" s="457" t="e">
        <f aca="false">IF(ABS(t-ROUND(t,0))&lt;0.001,pos_x,NA())</f>
        <v>#N/A</v>
      </c>
      <c r="AE549" s="458" t="e">
        <f aca="false">IF(t&lt;T_para, pos_z, NA())</f>
        <v>#N/A</v>
      </c>
      <c r="AF549" s="444"/>
      <c r="AG549" s="450" t="n">
        <f aca="false">IF(AND(L548&lt;L_rampe,Poussee&lt;Poids*SIN(M548)),0,(-W548+Poussee)/m-Poids*SIN(M548)/m)</f>
        <v>3.03374711712111</v>
      </c>
      <c r="AH549" s="449" t="n">
        <f aca="false">IF(AND(L548&lt;L_rampe,Poussee&lt;Poids*SIN(M548)), g*SIN(M548), (-W548+Poussee)/m)</f>
        <v>-0.268366247250275</v>
      </c>
    </row>
    <row r="550" customFormat="false" ht="12" hidden="false" customHeight="false" outlineLevel="0" collapsed="false">
      <c r="A550" s="448" t="n">
        <f aca="false">IF(B549+0.01&lt;=T_ini+ROUNDUP(Temps_fin_propu,0), 0.01, IF(K549&gt;0, 0.1, 0.0001))</f>
        <v>0.1</v>
      </c>
      <c r="B550" s="449" t="n">
        <f aca="false">B549+pas</f>
        <v>18.6</v>
      </c>
      <c r="C550" s="432"/>
      <c r="D550" s="450" t="n">
        <f aca="false">IF(AND(L549&lt;L_rampe,Poussee&lt;Poids*SIN(M549)),0,(-W549+Poussee)/m*COS(M549)-U549/m*SIN(M549))</f>
        <v>-0.255070081402398</v>
      </c>
      <c r="E550" s="451" t="n">
        <f aca="false">IF(AND(L549&lt;L_rampe,Poussee&lt;Poids*SIN(M549)),0,(-W549+Poussee)/m*SIN(M549)+U549/m*COS(M549)-Poids/m)</f>
        <v>-9.71033594827702</v>
      </c>
      <c r="F550" s="449" t="n">
        <f aca="false">SQRT(acc_x^2+acc_z^2)</f>
        <v>9.71368544759544</v>
      </c>
      <c r="G550" s="450" t="n">
        <f aca="false">G549+acc_x*pas</f>
        <v>29.4646891900015</v>
      </c>
      <c r="H550" s="451" t="n">
        <f aca="false">H549+acc_z*pas</f>
        <v>-12.4937979388585</v>
      </c>
      <c r="I550" s="449" t="n">
        <f aca="false">SQRT(vit_x^2+vit_z^2)</f>
        <v>32.0041074863902</v>
      </c>
      <c r="J550" s="450" t="n">
        <f aca="false">J549+0.5*(vit_x+G549)*pas*(K549&gt;=0)</f>
        <v>588.325123079486</v>
      </c>
      <c r="K550" s="451" t="n">
        <f aca="false">K549+0.5*(vit_z+H549)*pas</f>
        <v>1414.91918712678</v>
      </c>
      <c r="L550" s="449" t="n">
        <f aca="false">SQRT(pos_x^2+pos_z^2)</f>
        <v>1532.35856004592</v>
      </c>
      <c r="M550" s="450" t="n">
        <f aca="false">IF(AND(L549&gt;L_rampe,G550&gt;0),ATAN2(G550,H550),$M$4)</f>
        <v>-0.401045476226316</v>
      </c>
      <c r="N550" s="449" t="n">
        <f aca="false">DEGREES(Beta)</f>
        <v>-22.9782131805821</v>
      </c>
      <c r="O550" s="438"/>
      <c r="P550" s="452" t="n">
        <f aca="false">MATCH(t-pas/2-T_ini,CdP_t)</f>
        <v>23</v>
      </c>
      <c r="Q550" s="449" t="n">
        <f aca="false">(INDEX(CdP,2,i_P+1)-INDEX(CdP,2,i_P+0))/(INDEX(CdP,1,i_P+1)-INDEX(CdP,1,i_P+0))*(t-pas/2-T_ini-INDEX(CdP,1,i_P+0))+INDEX(CdP,2,i_P+0)</f>
        <v>0</v>
      </c>
      <c r="R550" s="450" t="n">
        <f aca="false">Poussee/(g*ISP)</f>
        <v>0</v>
      </c>
      <c r="S550" s="451" t="n">
        <f aca="false">S549-Débit*pas</f>
        <v>8.652</v>
      </c>
      <c r="T550" s="449" t="n">
        <f aca="false">m*g</f>
        <v>84.87612</v>
      </c>
      <c r="U550" s="453" t="n">
        <f aca="false">IF(pos_xz&lt;L_rampe,Poids*COS(Beta),0)</f>
        <v>0</v>
      </c>
      <c r="V550" s="450" t="n">
        <f aca="false">Rho_moyen*(20000-Alt_rampe-pos_z)/(20000+Alt_rampe+pos_z)</f>
        <v>1.06312444127529</v>
      </c>
      <c r="W550" s="449" t="n">
        <f aca="false">1/2*Rho*Sref*Cx*vit_xz^2</f>
        <v>2.42120621668383</v>
      </c>
      <c r="X550" s="438"/>
      <c r="Y550" s="454" t="str">
        <f aca="false">IF(AND(pos_z&lt;=0,K549&gt;0),"Impact balistique","") &amp; IF(AND(H551&lt;0,vit_z&gt;=0),"Apogée","") &amp; IF(AND(Poussee=0,Q549&gt;0),"Fin de propulsion","") &amp; IF(AND(L551&gt;L_rampe,pos_xz&lt;=L_rampe),"Sortie de rampe","")</f>
        <v/>
      </c>
      <c r="Z550" s="455" t="str">
        <f aca="false">IF(ABS(t-T_para)&lt;pas/2,"Para","")</f>
        <v/>
      </c>
      <c r="AA550" s="456" t="str">
        <f aca="false">IF(ABS(t-T_satellite)&lt;pas/2,"Satellite","")</f>
        <v/>
      </c>
      <c r="AB550" s="444"/>
      <c r="AC550" s="452" t="e">
        <f aca="false">IF(ABS(t-ROUND(t,0))&lt;0.001,t,NA())</f>
        <v>#N/A</v>
      </c>
      <c r="AD550" s="457" t="e">
        <f aca="false">IF(ABS(t-ROUND(t,0))&lt;0.001,pos_x,NA())</f>
        <v>#N/A</v>
      </c>
      <c r="AE550" s="458" t="e">
        <f aca="false">IF(t&lt;T_para, pos_z, NA())</f>
        <v>#N/A</v>
      </c>
      <c r="AF550" s="444"/>
      <c r="AG550" s="450" t="n">
        <f aca="false">IF(AND(L549&lt;L_rampe,Poussee&lt;Poids*SIN(M549)),0,(-W549+Poussee)/m-Poids*SIN(M549)/m)</f>
        <v>3.29637245869963</v>
      </c>
      <c r="AH550" s="449" t="n">
        <f aca="false">IF(AND(L549&lt;L_rampe,Poussee&lt;Poids*SIN(M549)), g*SIN(M549), (-W549+Poussee)/m)</f>
        <v>-0.27384972089171</v>
      </c>
    </row>
    <row r="551" customFormat="false" ht="12" hidden="false" customHeight="false" outlineLevel="0" collapsed="false">
      <c r="A551" s="448" t="n">
        <f aca="false">IF(B550+0.01&lt;=T_ini+ROUNDUP(Temps_fin_propu,0), 0.01, IF(K550&gt;0, 0.1, 0.0001))</f>
        <v>0.1</v>
      </c>
      <c r="B551" s="449" t="n">
        <f aca="false">B550+pas</f>
        <v>18.7</v>
      </c>
      <c r="C551" s="432"/>
      <c r="D551" s="450" t="n">
        <f aca="false">IF(AND(L550&lt;L_rampe,Poussee&lt;Poids*SIN(M550)),0,(-W550+Poussee)/m*COS(M550)-U550/m*SIN(M550))</f>
        <v>-0.25763888651428</v>
      </c>
      <c r="E551" s="451" t="n">
        <f aca="false">IF(AND(L550&lt;L_rampe,Poussee&lt;Poids*SIN(M550)),0,(-W550+Poussee)/m*SIN(M550)+U550/m*COS(M550)-Poids/m)</f>
        <v>-9.70075438167547</v>
      </c>
      <c r="F551" s="449" t="n">
        <f aca="false">SQRT(acc_x^2+acc_z^2)</f>
        <v>9.70417504837171</v>
      </c>
      <c r="G551" s="450" t="n">
        <f aca="false">G550+acc_x*pas</f>
        <v>29.4389253013501</v>
      </c>
      <c r="H551" s="451" t="n">
        <f aca="false">H550+acc_z*pas</f>
        <v>-13.463873377026</v>
      </c>
      <c r="I551" s="449" t="n">
        <f aca="false">SQRT(vit_x^2+vit_z^2)</f>
        <v>32.3716883898734</v>
      </c>
      <c r="J551" s="450" t="n">
        <f aca="false">J550+0.5*(vit_x+G550)*pas*(K550&gt;=0)</f>
        <v>591.270303804053</v>
      </c>
      <c r="K551" s="451" t="n">
        <f aca="false">K550+0.5*(vit_z+H550)*pas</f>
        <v>1413.62130356098</v>
      </c>
      <c r="L551" s="449" t="n">
        <f aca="false">SQRT(pos_x^2+pos_z^2)</f>
        <v>1532.2942804964</v>
      </c>
      <c r="M551" s="450" t="n">
        <f aca="false">IF(AND(L550&gt;L_rampe,G551&gt;0),ATAN2(G551,H551),$M$4)</f>
        <v>-0.428948814123987</v>
      </c>
      <c r="N551" s="449" t="n">
        <f aca="false">DEGREES(Beta)</f>
        <v>-24.5769566764461</v>
      </c>
      <c r="O551" s="438"/>
      <c r="P551" s="452" t="n">
        <f aca="false">MATCH(t-pas/2-T_ini,CdP_t)</f>
        <v>23</v>
      </c>
      <c r="Q551" s="449" t="n">
        <f aca="false">(INDEX(CdP,2,i_P+1)-INDEX(CdP,2,i_P+0))/(INDEX(CdP,1,i_P+1)-INDEX(CdP,1,i_P+0))*(t-pas/2-T_ini-INDEX(CdP,1,i_P+0))+INDEX(CdP,2,i_P+0)</f>
        <v>0</v>
      </c>
      <c r="R551" s="450" t="n">
        <f aca="false">Poussee/(g*ISP)</f>
        <v>0</v>
      </c>
      <c r="S551" s="451" t="n">
        <f aca="false">S550-Débit*pas</f>
        <v>8.652</v>
      </c>
      <c r="T551" s="449" t="n">
        <f aca="false">m*g</f>
        <v>84.87612</v>
      </c>
      <c r="U551" s="453" t="n">
        <f aca="false">IF(pos_xz&lt;L_rampe,Poids*COS(Beta),0)</f>
        <v>0</v>
      </c>
      <c r="V551" s="450" t="n">
        <f aca="false">Rho_moyen*(20000-Alt_rampe-pos_z)/(20000+Alt_rampe+pos_z)</f>
        <v>1.0632631249228</v>
      </c>
      <c r="W551" s="449" t="n">
        <f aca="false">1/2*Rho*Sref*Cx*vit_xz^2</f>
        <v>2.4774659354667</v>
      </c>
      <c r="X551" s="438"/>
      <c r="Y551" s="454" t="str">
        <f aca="false">IF(AND(pos_z&lt;=0,K550&gt;0),"Impact balistique","") &amp; IF(AND(H552&lt;0,vit_z&gt;=0),"Apogée","") &amp; IF(AND(Poussee=0,Q550&gt;0),"Fin de propulsion","") &amp; IF(AND(L552&gt;L_rampe,pos_xz&lt;=L_rampe),"Sortie de rampe","")</f>
        <v/>
      </c>
      <c r="Z551" s="455" t="str">
        <f aca="false">IF(ABS(t-T_para)&lt;pas/2,"Para","")</f>
        <v/>
      </c>
      <c r="AA551" s="456" t="str">
        <f aca="false">IF(ABS(t-T_satellite)&lt;pas/2,"Satellite","")</f>
        <v/>
      </c>
      <c r="AB551" s="444"/>
      <c r="AC551" s="452" t="e">
        <f aca="false">IF(ABS(t-ROUND(t,0))&lt;0.001,t,NA())</f>
        <v>#N/A</v>
      </c>
      <c r="AD551" s="457" t="e">
        <f aca="false">IF(ABS(t-ROUND(t,0))&lt;0.001,pos_x,NA())</f>
        <v>#N/A</v>
      </c>
      <c r="AE551" s="458" t="e">
        <f aca="false">IF(t&lt;T_para, pos_z, NA())</f>
        <v>#N/A</v>
      </c>
      <c r="AF551" s="444"/>
      <c r="AG551" s="450" t="n">
        <f aca="false">IF(AND(L550&lt;L_rampe,Poussee&lt;Poids*SIN(M550)),0,(-W550+Poussee)/m-Poids*SIN(M550)/m)</f>
        <v>3.549794832837</v>
      </c>
      <c r="AH551" s="449" t="n">
        <f aca="false">IF(AND(L550&lt;L_rampe,Poussee&lt;Poids*SIN(M550)), g*SIN(M550), (-W550+Poussee)/m)</f>
        <v>-0.279843529436412</v>
      </c>
    </row>
    <row r="552" customFormat="false" ht="12" hidden="false" customHeight="false" outlineLevel="0" collapsed="false">
      <c r="A552" s="448" t="n">
        <f aca="false">IF(B551+0.01&lt;=T_ini+ROUNDUP(Temps_fin_propu,0), 0.01, IF(K551&gt;0, 0.1, 0.0001))</f>
        <v>0.1</v>
      </c>
      <c r="B552" s="449" t="n">
        <f aca="false">B551+pas</f>
        <v>18.8</v>
      </c>
      <c r="C552" s="432"/>
      <c r="D552" s="450" t="n">
        <f aca="false">IF(AND(L551&lt;L_rampe,Poussee&lt;Poids*SIN(M551)),0,(-W551+Poussee)/m*COS(M551)-U551/m*SIN(M551))</f>
        <v>-0.260404078140161</v>
      </c>
      <c r="E552" s="451" t="n">
        <f aca="false">IF(AND(L551&lt;L_rampe,Poussee&lt;Poids*SIN(M551)),0,(-W551+Poussee)/m*SIN(M551)+U551/m*COS(M551)-Poids/m)</f>
        <v>-9.69090436389743</v>
      </c>
      <c r="F552" s="449" t="n">
        <f aca="false">SQRT(acc_x^2+acc_z^2)</f>
        <v>9.69440238870444</v>
      </c>
      <c r="G552" s="450" t="n">
        <f aca="false">G551+acc_x*pas</f>
        <v>29.4128848935361</v>
      </c>
      <c r="H552" s="451" t="n">
        <f aca="false">H551+acc_z*pas</f>
        <v>-14.4329638134158</v>
      </c>
      <c r="I552" s="449" t="n">
        <f aca="false">SQRT(vit_x^2+vit_z^2)</f>
        <v>32.7632147720545</v>
      </c>
      <c r="J552" s="450" t="n">
        <f aca="false">J551+0.5*(vit_x+G551)*pas*(K551&gt;=0)</f>
        <v>594.212894313797</v>
      </c>
      <c r="K552" s="451" t="n">
        <f aca="false">K551+0.5*(vit_z+H551)*pas</f>
        <v>1412.22646170146</v>
      </c>
      <c r="L552" s="449" t="n">
        <f aca="false">SQRT(pos_x^2+pos_z^2)</f>
        <v>1532.14638429186</v>
      </c>
      <c r="M552" s="450" t="n">
        <f aca="false">IF(AND(L551&gt;L_rampe,G552&gt;0),ATAN2(G552,H552),$M$4)</f>
        <v>-0.456181644504758</v>
      </c>
      <c r="N552" s="449" t="n">
        <f aca="false">DEGREES(Beta)</f>
        <v>-26.1372829214599</v>
      </c>
      <c r="O552" s="438"/>
      <c r="P552" s="452" t="n">
        <f aca="false">MATCH(t-pas/2-T_ini,CdP_t)</f>
        <v>23</v>
      </c>
      <c r="Q552" s="449" t="n">
        <f aca="false">(INDEX(CdP,2,i_P+1)-INDEX(CdP,2,i_P+0))/(INDEX(CdP,1,i_P+1)-INDEX(CdP,1,i_P+0))*(t-pas/2-T_ini-INDEX(CdP,1,i_P+0))+INDEX(CdP,2,i_P+0)</f>
        <v>0</v>
      </c>
      <c r="R552" s="450" t="n">
        <f aca="false">Poussee/(g*ISP)</f>
        <v>0</v>
      </c>
      <c r="S552" s="451" t="n">
        <f aca="false">S551-Débit*pas</f>
        <v>8.652</v>
      </c>
      <c r="T552" s="449" t="n">
        <f aca="false">m*g</f>
        <v>84.87612</v>
      </c>
      <c r="U552" s="453" t="n">
        <f aca="false">IF(pos_xz&lt;L_rampe,Poids*COS(Beta),0)</f>
        <v>0</v>
      </c>
      <c r="V552" s="450" t="n">
        <f aca="false">Rho_moyen*(20000-Alt_rampe-pos_z)/(20000+Alt_rampe+pos_z)</f>
        <v>1.06341218766497</v>
      </c>
      <c r="W552" s="449" t="n">
        <f aca="false">1/2*Rho*Sref*Cx*vit_xz^2</f>
        <v>2.53811261642705</v>
      </c>
      <c r="X552" s="438"/>
      <c r="Y552" s="454" t="str">
        <f aca="false">IF(AND(pos_z&lt;=0,K551&gt;0),"Impact balistique","") &amp; IF(AND(H553&lt;0,vit_z&gt;=0),"Apogée","") &amp; IF(AND(Poussee=0,Q551&gt;0),"Fin de propulsion","") &amp; IF(AND(L553&gt;L_rampe,pos_xz&lt;=L_rampe),"Sortie de rampe","")</f>
        <v/>
      </c>
      <c r="Z552" s="455" t="str">
        <f aca="false">IF(ABS(t-T_para)&lt;pas/2,"Para","")</f>
        <v/>
      </c>
      <c r="AA552" s="456" t="str">
        <f aca="false">IF(ABS(t-T_satellite)&lt;pas/2,"Satellite","")</f>
        <v/>
      </c>
      <c r="AB552" s="444"/>
      <c r="AC552" s="452" t="e">
        <f aca="false">IF(ABS(t-ROUND(t,0))&lt;0.001,t,NA())</f>
        <v>#N/A</v>
      </c>
      <c r="AD552" s="457" t="e">
        <f aca="false">IF(ABS(t-ROUND(t,0))&lt;0.001,pos_x,NA())</f>
        <v>#N/A</v>
      </c>
      <c r="AE552" s="458" t="e">
        <f aca="false">IF(t&lt;T_para, pos_z, NA())</f>
        <v>#N/A</v>
      </c>
      <c r="AF552" s="444"/>
      <c r="AG552" s="450" t="n">
        <f aca="false">IF(AND(L551&lt;L_rampe,Poussee&lt;Poids*SIN(M551)),0,(-W551+Poussee)/m-Poids*SIN(M551)/m)</f>
        <v>3.79378089831938</v>
      </c>
      <c r="AH552" s="449" t="n">
        <f aca="false">IF(AND(L551&lt;L_rampe,Poussee&lt;Poids*SIN(M551)), g*SIN(M551), (-W551+Poussee)/m)</f>
        <v>-0.286346039697955</v>
      </c>
    </row>
    <row r="553" customFormat="false" ht="12" hidden="false" customHeight="false" outlineLevel="0" collapsed="false">
      <c r="A553" s="448" t="n">
        <f aca="false">IF(B552+0.01&lt;=T_ini+ROUNDUP(Temps_fin_propu,0), 0.01, IF(K552&gt;0, 0.1, 0.0001))</f>
        <v>0.1</v>
      </c>
      <c r="B553" s="449" t="n">
        <f aca="false">B552+pas</f>
        <v>18.9</v>
      </c>
      <c r="C553" s="432"/>
      <c r="D553" s="450" t="n">
        <f aca="false">IF(AND(L552&lt;L_rampe,Poussee&lt;Poids*SIN(M552)),0,(-W552+Poussee)/m*COS(M552)-U552/m*SIN(M552))</f>
        <v>-0.263357379228291</v>
      </c>
      <c r="E553" s="451" t="n">
        <f aca="false">IF(AND(L552&lt;L_rampe,Poussee&lt;Poids*SIN(M552)),0,(-W552+Poussee)/m*SIN(M552)+U552/m*COS(M552)-Poids/m)</f>
        <v>-9.68076998607392</v>
      </c>
      <c r="F553" s="449" t="n">
        <f aca="false">SQRT(acc_x^2+acc_z^2)</f>
        <v>9.68435153391612</v>
      </c>
      <c r="G553" s="450" t="n">
        <f aca="false">G552+acc_x*pas</f>
        <v>29.3865491556133</v>
      </c>
      <c r="H553" s="451" t="n">
        <f aca="false">H552+acc_z*pas</f>
        <v>-15.4010408120232</v>
      </c>
      <c r="I553" s="449" t="n">
        <f aca="false">SQRT(vit_x^2+vit_z^2)</f>
        <v>33.1777233903847</v>
      </c>
      <c r="J553" s="450" t="n">
        <f aca="false">J552+0.5*(vit_x+G552)*pas*(K552&gt;=0)</f>
        <v>597.152866016255</v>
      </c>
      <c r="K553" s="451" t="n">
        <f aca="false">K552+0.5*(vit_z+H552)*pas</f>
        <v>1410.73476147019</v>
      </c>
      <c r="L553" s="449" t="n">
        <f aca="false">SQRT(pos_x^2+pos_z^2)</f>
        <v>1531.91517800816</v>
      </c>
      <c r="M553" s="450" t="n">
        <f aca="false">IF(AND(L552&gt;L_rampe,G553&gt;0),ATAN2(G553,H553),$M$4)</f>
        <v>-0.48272920103759</v>
      </c>
      <c r="N553" s="449" t="n">
        <f aca="false">DEGREES(Beta)</f>
        <v>-27.6583458671761</v>
      </c>
      <c r="O553" s="438"/>
      <c r="P553" s="452" t="n">
        <f aca="false">MATCH(t-pas/2-T_ini,CdP_t)</f>
        <v>23</v>
      </c>
      <c r="Q553" s="449" t="n">
        <f aca="false">(INDEX(CdP,2,i_P+1)-INDEX(CdP,2,i_P+0))/(INDEX(CdP,1,i_P+1)-INDEX(CdP,1,i_P+0))*(t-pas/2-T_ini-INDEX(CdP,1,i_P+0))+INDEX(CdP,2,i_P+0)</f>
        <v>0</v>
      </c>
      <c r="R553" s="450" t="n">
        <f aca="false">Poussee/(g*ISP)</f>
        <v>0</v>
      </c>
      <c r="S553" s="451" t="n">
        <f aca="false">S552-Débit*pas</f>
        <v>8.652</v>
      </c>
      <c r="T553" s="449" t="n">
        <f aca="false">m*g</f>
        <v>84.87612</v>
      </c>
      <c r="U553" s="453" t="n">
        <f aca="false">IF(pos_xz&lt;L_rampe,Poids*COS(Beta),0)</f>
        <v>0</v>
      </c>
      <c r="V553" s="450" t="n">
        <f aca="false">Rho_moyen*(20000-Alt_rampe-pos_z)/(20000+Alt_rampe+pos_z)</f>
        <v>1.06357162287481</v>
      </c>
      <c r="W553" s="449" t="n">
        <f aca="false">1/2*Rho*Sref*Cx*vit_xz^2</f>
        <v>2.60313170925763</v>
      </c>
      <c r="X553" s="438"/>
      <c r="Y553" s="454" t="str">
        <f aca="false">IF(AND(pos_z&lt;=0,K552&gt;0),"Impact balistique","") &amp; IF(AND(H554&lt;0,vit_z&gt;=0),"Apogée","") &amp; IF(AND(Poussee=0,Q552&gt;0),"Fin de propulsion","") &amp; IF(AND(L554&gt;L_rampe,pos_xz&lt;=L_rampe),"Sortie de rampe","")</f>
        <v/>
      </c>
      <c r="Z553" s="455" t="str">
        <f aca="false">IF(ABS(t-T_para)&lt;pas/2,"Para","")</f>
        <v/>
      </c>
      <c r="AA553" s="456" t="str">
        <f aca="false">IF(ABS(t-T_satellite)&lt;pas/2,"Satellite","")</f>
        <v/>
      </c>
      <c r="AB553" s="444"/>
      <c r="AC553" s="452" t="e">
        <f aca="false">IF(ABS(t-ROUND(t,0))&lt;0.001,t,NA())</f>
        <v>#N/A</v>
      </c>
      <c r="AD553" s="457" t="e">
        <f aca="false">IF(ABS(t-ROUND(t,0))&lt;0.001,pos_x,NA())</f>
        <v>#N/A</v>
      </c>
      <c r="AE553" s="458" t="e">
        <f aca="false">IF(t&lt;T_para, pos_z, NA())</f>
        <v>#N/A</v>
      </c>
      <c r="AF553" s="444"/>
      <c r="AG553" s="450" t="n">
        <f aca="false">IF(AND(L552&lt;L_rampe,Poussee&lt;Poids*SIN(M552)),0,(-W552+Poussee)/m-Poids*SIN(M552)/m)</f>
        <v>4.02817927154299</v>
      </c>
      <c r="AH553" s="449" t="n">
        <f aca="false">IF(AND(L552&lt;L_rampe,Poussee&lt;Poids*SIN(M552)), g*SIN(M552), (-W552+Poussee)/m)</f>
        <v>-0.293355595980935</v>
      </c>
    </row>
    <row r="554" customFormat="false" ht="12" hidden="false" customHeight="false" outlineLevel="0" collapsed="false">
      <c r="A554" s="448" t="n">
        <f aca="false">IF(B553+0.01&lt;=T_ini+ROUNDUP(Temps_fin_propu,0), 0.01, IF(K553&gt;0, 0.1, 0.0001))</f>
        <v>0.1</v>
      </c>
      <c r="B554" s="449" t="n">
        <f aca="false">B553+pas</f>
        <v>19</v>
      </c>
      <c r="C554" s="432"/>
      <c r="D554" s="450" t="n">
        <f aca="false">IF(AND(L553&lt;L_rampe,Poussee&lt;Poids*SIN(M553)),0,(-W553+Poussee)/m*COS(M553)-U553/m*SIN(M553))</f>
        <v>-0.266490443610769</v>
      </c>
      <c r="E554" s="451" t="n">
        <f aca="false">IF(AND(L553&lt;L_rampe,Poussee&lt;Poids*SIN(M553)),0,(-W553+Poussee)/m*SIN(M553)+U553/m*COS(M553)-Poids/m)</f>
        <v>-9.67033643568253</v>
      </c>
      <c r="F554" s="449" t="n">
        <f aca="false">SQRT(acc_x^2+acc_z^2)</f>
        <v>9.67400764604954</v>
      </c>
      <c r="G554" s="450" t="n">
        <f aca="false">G553+acc_x*pas</f>
        <v>29.3599001112522</v>
      </c>
      <c r="H554" s="451" t="n">
        <f aca="false">H553+acc_z*pas</f>
        <v>-16.3680744555914</v>
      </c>
      <c r="I554" s="449" t="n">
        <f aca="false">SQRT(vit_x^2+vit_z^2)</f>
        <v>33.6142469189255</v>
      </c>
      <c r="J554" s="450" t="n">
        <f aca="false">J553+0.5*(vit_x+G553)*pas*(K553&gt;=0)</f>
        <v>600.090188479598</v>
      </c>
      <c r="K554" s="451" t="n">
        <f aca="false">K553+0.5*(vit_z+H553)*pas</f>
        <v>1409.14630570681</v>
      </c>
      <c r="L554" s="449" t="n">
        <f aca="false">SQRT(pos_x^2+pos_z^2)</f>
        <v>1531.60097453502</v>
      </c>
      <c r="M554" s="450" t="n">
        <f aca="false">IF(AND(L553&gt;L_rampe,G554&gt;0),ATAN2(G554,H554),$M$4)</f>
        <v>-0.508581311688286</v>
      </c>
      <c r="N554" s="449" t="n">
        <f aca="false">DEGREES(Beta)</f>
        <v>-29.1395626989662</v>
      </c>
      <c r="O554" s="438"/>
      <c r="P554" s="452" t="n">
        <f aca="false">MATCH(t-pas/2-T_ini,CdP_t)</f>
        <v>23</v>
      </c>
      <c r="Q554" s="449" t="n">
        <f aca="false">(INDEX(CdP,2,i_P+1)-INDEX(CdP,2,i_P+0))/(INDEX(CdP,1,i_P+1)-INDEX(CdP,1,i_P+0))*(t-pas/2-T_ini-INDEX(CdP,1,i_P+0))+INDEX(CdP,2,i_P+0)</f>
        <v>0</v>
      </c>
      <c r="R554" s="450" t="n">
        <f aca="false">Poussee/(g*ISP)</f>
        <v>0</v>
      </c>
      <c r="S554" s="451" t="n">
        <f aca="false">S553-Débit*pas</f>
        <v>8.652</v>
      </c>
      <c r="T554" s="449" t="n">
        <f aca="false">m*g</f>
        <v>84.87612</v>
      </c>
      <c r="U554" s="453" t="n">
        <f aca="false">IF(pos_xz&lt;L_rampe,Poids*COS(Beta),0)</f>
        <v>0</v>
      </c>
      <c r="V554" s="450" t="n">
        <f aca="false">Rho_moyen*(20000-Alt_rampe-pos_z)/(20000+Alt_rampe+pos_z)</f>
        <v>1.06374142389034</v>
      </c>
      <c r="W554" s="449" t="n">
        <f aca="false">1/2*Rho*Sref*Cx*vit_xz^2</f>
        <v>2.67250841007791</v>
      </c>
      <c r="X554" s="438"/>
      <c r="Y554" s="454" t="str">
        <f aca="false">IF(AND(pos_z&lt;=0,K553&gt;0),"Impact balistique","") &amp; IF(AND(H555&lt;0,vit_z&gt;=0),"Apogée","") &amp; IF(AND(Poussee=0,Q553&gt;0),"Fin de propulsion","") &amp; IF(AND(L555&gt;L_rampe,pos_xz&lt;=L_rampe),"Sortie de rampe","")</f>
        <v/>
      </c>
      <c r="Z554" s="455" t="str">
        <f aca="false">IF(ABS(t-T_para)&lt;pas/2,"Para","")</f>
        <v/>
      </c>
      <c r="AA554" s="456" t="str">
        <f aca="false">IF(ABS(t-T_satellite)&lt;pas/2,"Satellite","")</f>
        <v/>
      </c>
      <c r="AB554" s="444"/>
      <c r="AC554" s="452" t="n">
        <f aca="false">IF(ABS(t-ROUND(t,0))&lt;0.001,t,NA())</f>
        <v>19</v>
      </c>
      <c r="AD554" s="457" t="n">
        <f aca="false">IF(ABS(t-ROUND(t,0))&lt;0.001,pos_x,NA())</f>
        <v>600.090188479598</v>
      </c>
      <c r="AE554" s="458" t="e">
        <f aca="false">IF(t&lt;T_para, pos_z, NA())</f>
        <v>#N/A</v>
      </c>
      <c r="AF554" s="444"/>
      <c r="AG554" s="450" t="n">
        <f aca="false">IF(AND(L553&lt;L_rampe,Poussee&lt;Poids*SIN(M553)),0,(-W553+Poussee)/m-Poids*SIN(M553)/m)</f>
        <v>4.25291421991195</v>
      </c>
      <c r="AH554" s="449" t="n">
        <f aca="false">IF(AND(L553&lt;L_rampe,Poussee&lt;Poids*SIN(M553)), g*SIN(M553), (-W553+Poussee)/m)</f>
        <v>-0.300870516557747</v>
      </c>
    </row>
    <row r="555" customFormat="false" ht="12" hidden="false" customHeight="false" outlineLevel="0" collapsed="false">
      <c r="A555" s="448" t="n">
        <f aca="false">IF(B554+0.01&lt;=T_ini+ROUNDUP(Temps_fin_propu,0), 0.01, IF(K554&gt;0, 0.1, 0.0001))</f>
        <v>0.1</v>
      </c>
      <c r="B555" s="449" t="n">
        <f aca="false">B554+pas</f>
        <v>19.1</v>
      </c>
      <c r="C555" s="432"/>
      <c r="D555" s="450" t="n">
        <f aca="false">IF(AND(L554&lt;L_rampe,Poussee&lt;Poids*SIN(M554)),0,(-W554+Poussee)/m*COS(M554)-U554/m*SIN(M554))</f>
        <v>-0.269794913485929</v>
      </c>
      <c r="E555" s="451" t="n">
        <f aca="false">IF(AND(L554&lt;L_rampe,Poussee&lt;Poids*SIN(M554)),0,(-W554+Poussee)/m*SIN(M554)+U554/m*COS(M554)-Poids/m)</f>
        <v>-9.6595899776585</v>
      </c>
      <c r="F555" s="449" t="n">
        <f aca="false">SQRT(acc_x^2+acc_z^2)</f>
        <v>9.6633569649384</v>
      </c>
      <c r="G555" s="450" t="n">
        <f aca="false">G554+acc_x*pas</f>
        <v>29.3329206199036</v>
      </c>
      <c r="H555" s="451" t="n">
        <f aca="false">H554+acc_z*pas</f>
        <v>-17.3340334533573</v>
      </c>
      <c r="I555" s="449" t="n">
        <f aca="false">SQRT(vit_x^2+vit_z^2)</f>
        <v>34.0718204364791</v>
      </c>
      <c r="J555" s="450" t="n">
        <f aca="false">J554+0.5*(vit_x+G554)*pas*(K554&gt;=0)</f>
        <v>603.024829516156</v>
      </c>
      <c r="K555" s="451" t="n">
        <f aca="false">K554+0.5*(vit_z+H554)*pas</f>
        <v>1407.46120031136</v>
      </c>
      <c r="L555" s="449" t="n">
        <f aca="false">SQRT(pos_x^2+pos_z^2)</f>
        <v>1531.20409331835</v>
      </c>
      <c r="M555" s="450" t="n">
        <f aca="false">IF(AND(L554&gt;L_rampe,G555&gt;0),ATAN2(G555,H555),$M$4)</f>
        <v>-0.533732044527379</v>
      </c>
      <c r="N555" s="449" t="n">
        <f aca="false">DEGREES(Beta)</f>
        <v>-30.5805935423073</v>
      </c>
      <c r="O555" s="438"/>
      <c r="P555" s="452" t="n">
        <f aca="false">MATCH(t-pas/2-T_ini,CdP_t)</f>
        <v>23</v>
      </c>
      <c r="Q555" s="449" t="n">
        <f aca="false">(INDEX(CdP,2,i_P+1)-INDEX(CdP,2,i_P+0))/(INDEX(CdP,1,i_P+1)-INDEX(CdP,1,i_P+0))*(t-pas/2-T_ini-INDEX(CdP,1,i_P+0))+INDEX(CdP,2,i_P+0)</f>
        <v>0</v>
      </c>
      <c r="R555" s="450" t="n">
        <f aca="false">Poussee/(g*ISP)</f>
        <v>0</v>
      </c>
      <c r="S555" s="451" t="n">
        <f aca="false">S554-Débit*pas</f>
        <v>8.652</v>
      </c>
      <c r="T555" s="449" t="n">
        <f aca="false">m*g</f>
        <v>84.87612</v>
      </c>
      <c r="U555" s="453" t="n">
        <f aca="false">IF(pos_xz&lt;L_rampe,Poids*COS(Beta),0)</f>
        <v>0</v>
      </c>
      <c r="V555" s="450" t="n">
        <f aca="false">Rho_moyen*(20000-Alt_rampe-pos_z)/(20000+Alt_rampe+pos_z)</f>
        <v>1.06392158399835</v>
      </c>
      <c r="W555" s="449" t="n">
        <f aca="false">1/2*Rho*Sref*Cx*vit_xz^2</f>
        <v>2.7462276351955</v>
      </c>
      <c r="X555" s="438"/>
      <c r="Y555" s="454" t="str">
        <f aca="false">IF(AND(pos_z&lt;=0,K554&gt;0),"Impact balistique","") &amp; IF(AND(H556&lt;0,vit_z&gt;=0),"Apogée","") &amp; IF(AND(Poussee=0,Q554&gt;0),"Fin de propulsion","") &amp; IF(AND(L556&gt;L_rampe,pos_xz&lt;=L_rampe),"Sortie de rampe","")</f>
        <v/>
      </c>
      <c r="Z555" s="455" t="str">
        <f aca="false">IF(ABS(t-T_para)&lt;pas/2,"Para","")</f>
        <v/>
      </c>
      <c r="AA555" s="456" t="str">
        <f aca="false">IF(ABS(t-T_satellite)&lt;pas/2,"Satellite","")</f>
        <v/>
      </c>
      <c r="AB555" s="444"/>
      <c r="AC555" s="452" t="e">
        <f aca="false">IF(ABS(t-ROUND(t,0))&lt;0.001,t,NA())</f>
        <v>#N/A</v>
      </c>
      <c r="AD555" s="457" t="e">
        <f aca="false">IF(ABS(t-ROUND(t,0))&lt;0.001,pos_x,NA())</f>
        <v>#N/A</v>
      </c>
      <c r="AE555" s="458" t="e">
        <f aca="false">IF(t&lt;T_para, pos_z, NA())</f>
        <v>#N/A</v>
      </c>
      <c r="AF555" s="444"/>
      <c r="AG555" s="450" t="n">
        <f aca="false">IF(AND(L554&lt;L_rampe,Poussee&lt;Poids*SIN(M554)),0,(-W554+Poussee)/m-Poids*SIN(M554)/m)</f>
        <v>4.46797861087197</v>
      </c>
      <c r="AH555" s="449" t="n">
        <f aca="false">IF(AND(L554&lt;L_rampe,Poussee&lt;Poids*SIN(M554)), g*SIN(M554), (-W554+Poussee)/m)</f>
        <v>-0.308889090392732</v>
      </c>
    </row>
    <row r="556" customFormat="false" ht="12" hidden="false" customHeight="false" outlineLevel="0" collapsed="false">
      <c r="A556" s="448" t="n">
        <f aca="false">IF(B555+0.01&lt;=T_ini+ROUNDUP(Temps_fin_propu,0), 0.01, IF(K555&gt;0, 0.1, 0.0001))</f>
        <v>0.1</v>
      </c>
      <c r="B556" s="449" t="n">
        <f aca="false">B555+pas</f>
        <v>19.2</v>
      </c>
      <c r="C556" s="432"/>
      <c r="D556" s="450" t="n">
        <f aca="false">IF(AND(L555&lt;L_rampe,Poussee&lt;Poids*SIN(M555)),0,(-W555+Poussee)/m*COS(M555)-U555/m*SIN(M555))</f>
        <v>-0.273262470924018</v>
      </c>
      <c r="E556" s="451" t="n">
        <f aca="false">IF(AND(L555&lt;L_rampe,Poussee&lt;Poids*SIN(M555)),0,(-W555+Poussee)/m*SIN(M555)+U555/m*COS(M555)-Poids/m)</f>
        <v>-9.64851792755577</v>
      </c>
      <c r="F556" s="449" t="n">
        <f aca="false">SQRT(acc_x^2+acc_z^2)</f>
        <v>9.65238678132931</v>
      </c>
      <c r="G556" s="450" t="n">
        <f aca="false">G555+acc_x*pas</f>
        <v>29.3055943728112</v>
      </c>
      <c r="H556" s="451" t="n">
        <f aca="false">H555+acc_z*pas</f>
        <v>-18.2988852461128</v>
      </c>
      <c r="I556" s="449" t="n">
        <f aca="false">SQRT(vit_x^2+vit_z^2)</f>
        <v>34.5494871567459</v>
      </c>
      <c r="J556" s="450" t="n">
        <f aca="false">J555+0.5*(vit_x+G555)*pas*(K555&gt;=0)</f>
        <v>605.956755265792</v>
      </c>
      <c r="K556" s="451" t="n">
        <f aca="false">K555+0.5*(vit_z+H555)*pas</f>
        <v>1405.67955437639</v>
      </c>
      <c r="L556" s="449" t="n">
        <f aca="false">SQRT(pos_x^2+pos_z^2)</f>
        <v>1530.72486059515</v>
      </c>
      <c r="M556" s="450" t="n">
        <f aca="false">IF(AND(L555&gt;L_rampe,G556&gt;0),ATAN2(G556,H556),$M$4)</f>
        <v>-0.55817932936153</v>
      </c>
      <c r="N556" s="449" t="n">
        <f aca="false">DEGREES(Beta)</f>
        <v>-31.9813197838584</v>
      </c>
      <c r="O556" s="438"/>
      <c r="P556" s="452" t="n">
        <f aca="false">MATCH(t-pas/2-T_ini,CdP_t)</f>
        <v>23</v>
      </c>
      <c r="Q556" s="449" t="n">
        <f aca="false">(INDEX(CdP,2,i_P+1)-INDEX(CdP,2,i_P+0))/(INDEX(CdP,1,i_P+1)-INDEX(CdP,1,i_P+0))*(t-pas/2-T_ini-INDEX(CdP,1,i_P+0))+INDEX(CdP,2,i_P+0)</f>
        <v>0</v>
      </c>
      <c r="R556" s="450" t="n">
        <f aca="false">Poussee/(g*ISP)</f>
        <v>0</v>
      </c>
      <c r="S556" s="451" t="n">
        <f aca="false">S555-Débit*pas</f>
        <v>8.652</v>
      </c>
      <c r="T556" s="449" t="n">
        <f aca="false">m*g</f>
        <v>84.87612</v>
      </c>
      <c r="U556" s="453" t="n">
        <f aca="false">IF(pos_xz&lt;L_rampe,Poids*COS(Beta),0)</f>
        <v>0</v>
      </c>
      <c r="V556" s="450" t="n">
        <f aca="false">Rho_moyen*(20000-Alt_rampe-pos_z)/(20000+Alt_rampe+pos_z)</f>
        <v>1.06411209641938</v>
      </c>
      <c r="W556" s="449" t="n">
        <f aca="false">1/2*Rho*Sref*Cx*vit_xz^2</f>
        <v>2.82427399692009</v>
      </c>
      <c r="X556" s="438"/>
      <c r="Y556" s="454" t="str">
        <f aca="false">IF(AND(pos_z&lt;=0,K555&gt;0),"Impact balistique","") &amp; IF(AND(H557&lt;0,vit_z&gt;=0),"Apogée","") &amp; IF(AND(Poussee=0,Q555&gt;0),"Fin de propulsion","") &amp; IF(AND(L557&gt;L_rampe,pos_xz&lt;=L_rampe),"Sortie de rampe","")</f>
        <v/>
      </c>
      <c r="Z556" s="455" t="str">
        <f aca="false">IF(ABS(t-T_para)&lt;pas/2,"Para","")</f>
        <v/>
      </c>
      <c r="AA556" s="456" t="str">
        <f aca="false">IF(ABS(t-T_satellite)&lt;pas/2,"Satellite","")</f>
        <v/>
      </c>
      <c r="AB556" s="444"/>
      <c r="AC556" s="452" t="e">
        <f aca="false">IF(ABS(t-ROUND(t,0))&lt;0.001,t,NA())</f>
        <v>#N/A</v>
      </c>
      <c r="AD556" s="457" t="e">
        <f aca="false">IF(ABS(t-ROUND(t,0))&lt;0.001,pos_x,NA())</f>
        <v>#N/A</v>
      </c>
      <c r="AE556" s="458" t="e">
        <f aca="false">IF(t&lt;T_para, pos_z, NA())</f>
        <v>#N/A</v>
      </c>
      <c r="AF556" s="444"/>
      <c r="AG556" s="450" t="n">
        <f aca="false">IF(AND(L555&lt;L_rampe,Poussee&lt;Poids*SIN(M555)),0,(-W555+Poussee)/m-Poids*SIN(M555)/m)</f>
        <v>4.67342643051364</v>
      </c>
      <c r="AH556" s="449" t="n">
        <f aca="false">IF(AND(L555&lt;L_rampe,Poussee&lt;Poids*SIN(M555)), g*SIN(M555), (-W555+Poussee)/m)</f>
        <v>-0.317409574109512</v>
      </c>
    </row>
    <row r="557" customFormat="false" ht="12" hidden="false" customHeight="false" outlineLevel="0" collapsed="false">
      <c r="A557" s="448" t="n">
        <f aca="false">IF(B556+0.01&lt;=T_ini+ROUNDUP(Temps_fin_propu,0), 0.01, IF(K556&gt;0, 0.1, 0.0001))</f>
        <v>0.1</v>
      </c>
      <c r="B557" s="449" t="n">
        <f aca="false">B556+pas</f>
        <v>19.3</v>
      </c>
      <c r="C557" s="432"/>
      <c r="D557" s="450" t="n">
        <f aca="false">IF(AND(L556&lt;L_rampe,Poussee&lt;Poids*SIN(M556)),0,(-W556+Poussee)/m*COS(M556)-U556/m*SIN(M556))</f>
        <v>-0.276884883188132</v>
      </c>
      <c r="E557" s="451" t="n">
        <f aca="false">IF(AND(L556&lt;L_rampe,Poussee&lt;Poids*SIN(M556)),0,(-W556+Poussee)/m*SIN(M556)+U556/m*COS(M556)-Poids/m)</f>
        <v>-9.63710861825947</v>
      </c>
      <c r="F557" s="449" t="n">
        <f aca="false">SQRT(acc_x^2+acc_z^2)</f>
        <v>9.64108540355644</v>
      </c>
      <c r="G557" s="450" t="n">
        <f aca="false">G556+acc_x*pas</f>
        <v>29.2779058844924</v>
      </c>
      <c r="H557" s="451" t="n">
        <f aca="false">H556+acc_z*pas</f>
        <v>-19.2625961079388</v>
      </c>
      <c r="I557" s="449" t="n">
        <f aca="false">SQRT(vit_x^2+vit_z^2)</f>
        <v>35.0463033970599</v>
      </c>
      <c r="J557" s="450" t="n">
        <f aca="false">J556+0.5*(vit_x+G556)*pas*(K556&gt;=0)</f>
        <v>608.885930278657</v>
      </c>
      <c r="K557" s="451" t="n">
        <f aca="false">K556+0.5*(vit_z+H556)*pas</f>
        <v>1403.80148030868</v>
      </c>
      <c r="L557" s="449" t="n">
        <f aca="false">SQRT(pos_x^2+pos_z^2)</f>
        <v>1530.16360962093</v>
      </c>
      <c r="M557" s="450" t="n">
        <f aca="false">IF(AND(L556&gt;L_rampe,G557&gt;0),ATAN2(G557,H557),$M$4)</f>
        <v>-0.581924567670514</v>
      </c>
      <c r="N557" s="449" t="n">
        <f aca="false">DEGREES(Beta)</f>
        <v>-33.3418217224955</v>
      </c>
      <c r="O557" s="438"/>
      <c r="P557" s="452" t="n">
        <f aca="false">MATCH(t-pas/2-T_ini,CdP_t)</f>
        <v>23</v>
      </c>
      <c r="Q557" s="449" t="n">
        <f aca="false">(INDEX(CdP,2,i_P+1)-INDEX(CdP,2,i_P+0))/(INDEX(CdP,1,i_P+1)-INDEX(CdP,1,i_P+0))*(t-pas/2-T_ini-INDEX(CdP,1,i_P+0))+INDEX(CdP,2,i_P+0)</f>
        <v>0</v>
      </c>
      <c r="R557" s="450" t="n">
        <f aca="false">Poussee/(g*ISP)</f>
        <v>0</v>
      </c>
      <c r="S557" s="451" t="n">
        <f aca="false">S556-Débit*pas</f>
        <v>8.652</v>
      </c>
      <c r="T557" s="449" t="n">
        <f aca="false">m*g</f>
        <v>84.87612</v>
      </c>
      <c r="U557" s="453" t="n">
        <f aca="false">IF(pos_xz&lt;L_rampe,Poids*COS(Beta),0)</f>
        <v>0</v>
      </c>
      <c r="V557" s="450" t="n">
        <f aca="false">Rho_moyen*(20000-Alt_rampe-pos_z)/(20000+Alt_rampe+pos_z)</f>
        <v>1.06431295429364</v>
      </c>
      <c r="W557" s="449" t="n">
        <f aca="false">1/2*Rho*Sref*Cx*vit_xz^2</f>
        <v>2.90663178136651</v>
      </c>
      <c r="X557" s="438"/>
      <c r="Y557" s="454" t="str">
        <f aca="false">IF(AND(pos_z&lt;=0,K556&gt;0),"Impact balistique","") &amp; IF(AND(H558&lt;0,vit_z&gt;=0),"Apogée","") &amp; IF(AND(Poussee=0,Q556&gt;0),"Fin de propulsion","") &amp; IF(AND(L558&gt;L_rampe,pos_xz&lt;=L_rampe),"Sortie de rampe","")</f>
        <v/>
      </c>
      <c r="Z557" s="455" t="str">
        <f aca="false">IF(ABS(t-T_para)&lt;pas/2,"Para","")</f>
        <v/>
      </c>
      <c r="AA557" s="456" t="str">
        <f aca="false">IF(ABS(t-T_satellite)&lt;pas/2,"Satellite","")</f>
        <v/>
      </c>
      <c r="AB557" s="444"/>
      <c r="AC557" s="452" t="e">
        <f aca="false">IF(ABS(t-ROUND(t,0))&lt;0.001,t,NA())</f>
        <v>#N/A</v>
      </c>
      <c r="AD557" s="457" t="e">
        <f aca="false">IF(ABS(t-ROUND(t,0))&lt;0.001,pos_x,NA())</f>
        <v>#N/A</v>
      </c>
      <c r="AE557" s="458" t="e">
        <f aca="false">IF(t&lt;T_para, pos_z, NA())</f>
        <v>#N/A</v>
      </c>
      <c r="AF557" s="444"/>
      <c r="AG557" s="450" t="n">
        <f aca="false">IF(AND(L556&lt;L_rampe,Poussee&lt;Poids*SIN(M556)),0,(-W556+Poussee)/m-Poids*SIN(M556)/m)</f>
        <v>4.869365147793</v>
      </c>
      <c r="AH557" s="449" t="n">
        <f aca="false">IF(AND(L556&lt;L_rampe,Poussee&lt;Poids*SIN(M556)), g*SIN(M556), (-W556+Poussee)/m)</f>
        <v>-0.326430189195572</v>
      </c>
    </row>
    <row r="558" customFormat="false" ht="12" hidden="false" customHeight="false" outlineLevel="0" collapsed="false">
      <c r="A558" s="448" t="n">
        <f aca="false">IF(B557+0.01&lt;=T_ini+ROUNDUP(Temps_fin_propu,0), 0.01, IF(K557&gt;0, 0.1, 0.0001))</f>
        <v>0.1</v>
      </c>
      <c r="B558" s="449" t="n">
        <f aca="false">B557+pas</f>
        <v>19.4</v>
      </c>
      <c r="C558" s="432"/>
      <c r="D558" s="450" t="n">
        <f aca="false">IF(AND(L557&lt;L_rampe,Poussee&lt;Poids*SIN(M557)),0,(-W557+Poussee)/m*COS(M557)-U557/m*SIN(M557))</f>
        <v>-0.280654041865984</v>
      </c>
      <c r="E558" s="451" t="n">
        <f aca="false">IF(AND(L557&lt;L_rampe,Poussee&lt;Poids*SIN(M557)),0,(-W557+Poussee)/m*SIN(M557)+U557/m*COS(M557)-Poids/m)</f>
        <v>-9.62535136167685</v>
      </c>
      <c r="F558" s="449" t="n">
        <f aca="false">SQRT(acc_x^2+acc_z^2)</f>
        <v>9.62944211919621</v>
      </c>
      <c r="G558" s="450" t="n">
        <f aca="false">G557+acc_x*pas</f>
        <v>29.2498404803058</v>
      </c>
      <c r="H558" s="451" t="n">
        <f aca="false">H557+acc_z*pas</f>
        <v>-20.2251312441065</v>
      </c>
      <c r="I558" s="449" t="n">
        <f aca="false">SQRT(vit_x^2+vit_z^2)</f>
        <v>35.5613428031713</v>
      </c>
      <c r="J558" s="450" t="n">
        <f aca="false">J557+0.5*(vit_x+G557)*pas*(K557&gt;=0)</f>
        <v>611.812317596897</v>
      </c>
      <c r="K558" s="451" t="n">
        <f aca="false">K557+0.5*(vit_z+H557)*pas</f>
        <v>1401.82709394108</v>
      </c>
      <c r="L558" s="449" t="n">
        <f aca="false">SQRT(pos_x^2+pos_z^2)</f>
        <v>1529.52068089012</v>
      </c>
      <c r="M558" s="450" t="n">
        <f aca="false">IF(AND(L557&gt;L_rampe,G558&gt;0),ATAN2(G558,H558),$M$4)</f>
        <v>-0.604972241524788</v>
      </c>
      <c r="N558" s="449" t="n">
        <f aca="false">DEGREES(Beta)</f>
        <v>-34.6623561619394</v>
      </c>
      <c r="O558" s="438"/>
      <c r="P558" s="452" t="n">
        <f aca="false">MATCH(t-pas/2-T_ini,CdP_t)</f>
        <v>23</v>
      </c>
      <c r="Q558" s="449" t="n">
        <f aca="false">(INDEX(CdP,2,i_P+1)-INDEX(CdP,2,i_P+0))/(INDEX(CdP,1,i_P+1)-INDEX(CdP,1,i_P+0))*(t-pas/2-T_ini-INDEX(CdP,1,i_P+0))+INDEX(CdP,2,i_P+0)</f>
        <v>0</v>
      </c>
      <c r="R558" s="450" t="n">
        <f aca="false">Poussee/(g*ISP)</f>
        <v>0</v>
      </c>
      <c r="S558" s="451" t="n">
        <f aca="false">S557-Débit*pas</f>
        <v>8.652</v>
      </c>
      <c r="T558" s="449" t="n">
        <f aca="false">m*g</f>
        <v>84.87612</v>
      </c>
      <c r="U558" s="453" t="n">
        <f aca="false">IF(pos_xz&lt;L_rampe,Poids*COS(Beta),0)</f>
        <v>0</v>
      </c>
      <c r="V558" s="450" t="n">
        <f aca="false">Rho_moyen*(20000-Alt_rampe-pos_z)/(20000+Alt_rampe+pos_z)</f>
        <v>1.06452415066805</v>
      </c>
      <c r="W558" s="449" t="n">
        <f aca="false">1/2*Rho*Sref*Cx*vit_xz^2</f>
        <v>2.99328492817316</v>
      </c>
      <c r="X558" s="438"/>
      <c r="Y558" s="454" t="str">
        <f aca="false">IF(AND(pos_z&lt;=0,K557&gt;0),"Impact balistique","") &amp; IF(AND(H559&lt;0,vit_z&gt;=0),"Apogée","") &amp; IF(AND(Poussee=0,Q557&gt;0),"Fin de propulsion","") &amp; IF(AND(L559&gt;L_rampe,pos_xz&lt;=L_rampe),"Sortie de rampe","")</f>
        <v/>
      </c>
      <c r="Z558" s="455" t="str">
        <f aca="false">IF(ABS(t-T_para)&lt;pas/2,"Para","")</f>
        <v/>
      </c>
      <c r="AA558" s="456" t="str">
        <f aca="false">IF(ABS(t-T_satellite)&lt;pas/2,"Satellite","")</f>
        <v/>
      </c>
      <c r="AB558" s="444"/>
      <c r="AC558" s="452" t="e">
        <f aca="false">IF(ABS(t-ROUND(t,0))&lt;0.001,t,NA())</f>
        <v>#N/A</v>
      </c>
      <c r="AD558" s="457" t="e">
        <f aca="false">IF(ABS(t-ROUND(t,0))&lt;0.001,pos_x,NA())</f>
        <v>#N/A</v>
      </c>
      <c r="AE558" s="458" t="e">
        <f aca="false">IF(t&lt;T_para, pos_z, NA())</f>
        <v>#N/A</v>
      </c>
      <c r="AF558" s="444"/>
      <c r="AG558" s="450" t="n">
        <f aca="false">IF(AND(L557&lt;L_rampe,Poussee&lt;Poids*SIN(M557)),0,(-W557+Poussee)/m-Poids*SIN(M557)/m)</f>
        <v>5.0559481565177</v>
      </c>
      <c r="AH558" s="449" t="n">
        <f aca="false">IF(AND(L557&lt;L_rampe,Poussee&lt;Poids*SIN(M557)), g*SIN(M557), (-W557+Poussee)/m)</f>
        <v>-0.335949119436721</v>
      </c>
    </row>
    <row r="559" customFormat="false" ht="12" hidden="false" customHeight="false" outlineLevel="0" collapsed="false">
      <c r="A559" s="448" t="n">
        <f aca="false">IF(B558+0.01&lt;=T_ini+ROUNDUP(Temps_fin_propu,0), 0.01, IF(K558&gt;0, 0.1, 0.0001))</f>
        <v>0.1</v>
      </c>
      <c r="B559" s="449" t="n">
        <f aca="false">B558+pas</f>
        <v>19.5</v>
      </c>
      <c r="C559" s="432"/>
      <c r="D559" s="450" t="n">
        <f aca="false">IF(AND(L558&lt;L_rampe,Poussee&lt;Poids*SIN(M558)),0,(-W558+Poussee)/m*COS(M558)-U558/m*SIN(M558))</f>
        <v>-0.284561995974564</v>
      </c>
      <c r="E559" s="451" t="n">
        <f aca="false">IF(AND(L558&lt;L_rampe,Poussee&lt;Poids*SIN(M558)),0,(-W558+Poussee)/m*SIN(M558)+U558/m*COS(M558)-Poids/m)</f>
        <v>-9.61323640672346</v>
      </c>
      <c r="F559" s="449" t="n">
        <f aca="false">SQRT(acc_x^2+acc_z^2)</f>
        <v>9.61744715301865</v>
      </c>
      <c r="G559" s="450" t="n">
        <f aca="false">G558+acc_x*pas</f>
        <v>29.2213842807083</v>
      </c>
      <c r="H559" s="451" t="n">
        <f aca="false">H558+acc_z*pas</f>
        <v>-21.1864548847788</v>
      </c>
      <c r="I559" s="449" t="n">
        <f aca="false">SQRT(vit_x^2+vit_z^2)</f>
        <v>36.0936998639042</v>
      </c>
      <c r="J559" s="450" t="n">
        <f aca="false">J558+0.5*(vit_x+G558)*pas*(K558&gt;=0)</f>
        <v>614.735878834947</v>
      </c>
      <c r="K559" s="451" t="n">
        <f aca="false">K558+0.5*(vit_z+H558)*pas</f>
        <v>1399.75651463464</v>
      </c>
      <c r="L559" s="449" t="n">
        <f aca="false">SQRT(pos_x^2+pos_z^2)</f>
        <v>1528.79642234965</v>
      </c>
      <c r="M559" s="450" t="n">
        <f aca="false">IF(AND(L558&gt;L_rampe,G559&gt;0),ATAN2(G559,H559),$M$4)</f>
        <v>-0.627329530272419</v>
      </c>
      <c r="N559" s="449" t="n">
        <f aca="false">DEGREES(Beta)</f>
        <v>-35.943334448534</v>
      </c>
      <c r="O559" s="438"/>
      <c r="P559" s="452" t="n">
        <f aca="false">MATCH(t-pas/2-T_ini,CdP_t)</f>
        <v>23</v>
      </c>
      <c r="Q559" s="449" t="n">
        <f aca="false">(INDEX(CdP,2,i_P+1)-INDEX(CdP,2,i_P+0))/(INDEX(CdP,1,i_P+1)-INDEX(CdP,1,i_P+0))*(t-pas/2-T_ini-INDEX(CdP,1,i_P+0))+INDEX(CdP,2,i_P+0)</f>
        <v>0</v>
      </c>
      <c r="R559" s="450" t="n">
        <f aca="false">Poussee/(g*ISP)</f>
        <v>0</v>
      </c>
      <c r="S559" s="451" t="n">
        <f aca="false">S558-Débit*pas</f>
        <v>8.652</v>
      </c>
      <c r="T559" s="449" t="n">
        <f aca="false">m*g</f>
        <v>84.87612</v>
      </c>
      <c r="U559" s="453" t="n">
        <f aca="false">IF(pos_xz&lt;L_rampe,Poids*COS(Beta),0)</f>
        <v>0</v>
      </c>
      <c r="V559" s="450" t="n">
        <f aca="false">Rho_moyen*(20000-Alt_rampe-pos_z)/(20000+Alt_rampe+pos_z)</f>
        <v>1.06474567848426</v>
      </c>
      <c r="W559" s="449" t="n">
        <f aca="false">1/2*Rho*Sref*Cx*vit_xz^2</f>
        <v>3.08421701205541</v>
      </c>
      <c r="X559" s="438"/>
      <c r="Y559" s="454" t="str">
        <f aca="false">IF(AND(pos_z&lt;=0,K558&gt;0),"Impact balistique","") &amp; IF(AND(H560&lt;0,vit_z&gt;=0),"Apogée","") &amp; IF(AND(Poussee=0,Q558&gt;0),"Fin de propulsion","") &amp; IF(AND(L560&gt;L_rampe,pos_xz&lt;=L_rampe),"Sortie de rampe","")</f>
        <v/>
      </c>
      <c r="Z559" s="455" t="str">
        <f aca="false">IF(ABS(t-T_para)&lt;pas/2,"Para","")</f>
        <v/>
      </c>
      <c r="AA559" s="456" t="str">
        <f aca="false">IF(ABS(t-T_satellite)&lt;pas/2,"Satellite","")</f>
        <v/>
      </c>
      <c r="AB559" s="444"/>
      <c r="AC559" s="452" t="e">
        <f aca="false">IF(ABS(t-ROUND(t,0))&lt;0.001,t,NA())</f>
        <v>#N/A</v>
      </c>
      <c r="AD559" s="457" t="e">
        <f aca="false">IF(ABS(t-ROUND(t,0))&lt;0.001,pos_x,NA())</f>
        <v>#N/A</v>
      </c>
      <c r="AE559" s="458" t="e">
        <f aca="false">IF(t&lt;T_para, pos_z, NA())</f>
        <v>#N/A</v>
      </c>
      <c r="AF559" s="444"/>
      <c r="AG559" s="450" t="n">
        <f aca="false">IF(AND(L558&lt;L_rampe,Poussee&lt;Poids*SIN(M558)),0,(-W558+Poussee)/m-Poids*SIN(M558)/m)</f>
        <v>5.23336748130316</v>
      </c>
      <c r="AH559" s="449" t="n">
        <f aca="false">IF(AND(L558&lt;L_rampe,Poussee&lt;Poids*SIN(M558)), g*SIN(M558), (-W558+Poussee)/m)</f>
        <v>-0.345964508572949</v>
      </c>
    </row>
    <row r="560" customFormat="false" ht="12" hidden="false" customHeight="false" outlineLevel="0" collapsed="false">
      <c r="A560" s="448" t="n">
        <f aca="false">IF(B559+0.01&lt;=T_ini+ROUNDUP(Temps_fin_propu,0), 0.01, IF(K559&gt;0, 0.1, 0.0001))</f>
        <v>0.1</v>
      </c>
      <c r="B560" s="449" t="n">
        <f aca="false">B559+pas</f>
        <v>19.6</v>
      </c>
      <c r="C560" s="432"/>
      <c r="D560" s="450" t="n">
        <f aca="false">IF(AND(L559&lt;L_rampe,Poussee&lt;Poids*SIN(M559)),0,(-W559+Poussee)/m*COS(M559)-U559/m*SIN(M559))</f>
        <v>-0.288600979329193</v>
      </c>
      <c r="E560" s="451" t="n">
        <f aca="false">IF(AND(L559&lt;L_rampe,Poussee&lt;Poids*SIN(M559)),0,(-W559+Poussee)/m*SIN(M559)+U559/m*COS(M559)-Poids/m)</f>
        <v>-9.60075489478787</v>
      </c>
      <c r="F560" s="449" t="n">
        <f aca="false">SQRT(acc_x^2+acc_z^2)</f>
        <v>9.60509162241897</v>
      </c>
      <c r="G560" s="450" t="n">
        <f aca="false">G559+acc_x*pas</f>
        <v>29.1925241827754</v>
      </c>
      <c r="H560" s="451" t="n">
        <f aca="false">H559+acc_z*pas</f>
        <v>-22.1465303742576</v>
      </c>
      <c r="I560" s="449" t="n">
        <f aca="false">SQRT(vit_x^2+vit_z^2)</f>
        <v>36.6424927615445</v>
      </c>
      <c r="J560" s="450" t="n">
        <f aca="false">J559+0.5*(vit_x+G559)*pas*(K559&gt;=0)</f>
        <v>617.656574258122</v>
      </c>
      <c r="K560" s="451" t="n">
        <f aca="false">K559+0.5*(vit_z+H559)*pas</f>
        <v>1397.58986537169</v>
      </c>
      <c r="L560" s="449" t="n">
        <f aca="false">SQRT(pos_x^2+pos_z^2)</f>
        <v>1527.99118960612</v>
      </c>
      <c r="M560" s="450" t="n">
        <f aca="false">IF(AND(L559&gt;L_rampe,G560&gt;0),ATAN2(G560,H560),$M$4)</f>
        <v>-0.649005941933287</v>
      </c>
      <c r="N560" s="449" t="n">
        <f aca="false">DEGREES(Beta)</f>
        <v>-37.1853013516899</v>
      </c>
      <c r="O560" s="438"/>
      <c r="P560" s="452" t="n">
        <f aca="false">MATCH(t-pas/2-T_ini,CdP_t)</f>
        <v>23</v>
      </c>
      <c r="Q560" s="449" t="n">
        <f aca="false">(INDEX(CdP,2,i_P+1)-INDEX(CdP,2,i_P+0))/(INDEX(CdP,1,i_P+1)-INDEX(CdP,1,i_P+0))*(t-pas/2-T_ini-INDEX(CdP,1,i_P+0))+INDEX(CdP,2,i_P+0)</f>
        <v>0</v>
      </c>
      <c r="R560" s="450" t="n">
        <f aca="false">Poussee/(g*ISP)</f>
        <v>0</v>
      </c>
      <c r="S560" s="451" t="n">
        <f aca="false">S559-Débit*pas</f>
        <v>8.652</v>
      </c>
      <c r="T560" s="449" t="n">
        <f aca="false">m*g</f>
        <v>84.87612</v>
      </c>
      <c r="U560" s="453" t="n">
        <f aca="false">IF(pos_xz&lt;L_rampe,Poids*COS(Beta),0)</f>
        <v>0</v>
      </c>
      <c r="V560" s="450" t="n">
        <f aca="false">Rho_moyen*(20000-Alt_rampe-pos_z)/(20000+Alt_rampe+pos_z)</f>
        <v>1.0649775305675</v>
      </c>
      <c r="W560" s="449" t="n">
        <f aca="false">1/2*Rho*Sref*Cx*vit_xz^2</f>
        <v>3.17941122610827</v>
      </c>
      <c r="X560" s="438"/>
      <c r="Y560" s="454" t="str">
        <f aca="false">IF(AND(pos_z&lt;=0,K559&gt;0),"Impact balistique","") &amp; IF(AND(H561&lt;0,vit_z&gt;=0),"Apogée","") &amp; IF(AND(Poussee=0,Q559&gt;0),"Fin de propulsion","") &amp; IF(AND(L561&gt;L_rampe,pos_xz&lt;=L_rampe),"Sortie de rampe","")</f>
        <v/>
      </c>
      <c r="Z560" s="455" t="str">
        <f aca="false">IF(ABS(t-T_para)&lt;pas/2,"Para","")</f>
        <v/>
      </c>
      <c r="AA560" s="456" t="str">
        <f aca="false">IF(ABS(t-T_satellite)&lt;pas/2,"Satellite","")</f>
        <v/>
      </c>
      <c r="AB560" s="444"/>
      <c r="AC560" s="452" t="e">
        <f aca="false">IF(ABS(t-ROUND(t,0))&lt;0.001,t,NA())</f>
        <v>#N/A</v>
      </c>
      <c r="AD560" s="457" t="e">
        <f aca="false">IF(ABS(t-ROUND(t,0))&lt;0.001,pos_x,NA())</f>
        <v>#N/A</v>
      </c>
      <c r="AE560" s="458" t="e">
        <f aca="false">IF(t&lt;T_para, pos_z, NA())</f>
        <v>#N/A</v>
      </c>
      <c r="AF560" s="444"/>
      <c r="AG560" s="450" t="n">
        <f aca="false">IF(AND(L559&lt;L_rampe,Poussee&lt;Poids*SIN(M559)),0,(-W559+Poussee)/m-Poids*SIN(M559)/m)</f>
        <v>5.40184688886549</v>
      </c>
      <c r="AH560" s="449" t="n">
        <f aca="false">IF(AND(L559&lt;L_rampe,Poussee&lt;Poids*SIN(M559)), g*SIN(M559), (-W559+Poussee)/m)</f>
        <v>-0.356474458166368</v>
      </c>
    </row>
    <row r="561" customFormat="false" ht="12" hidden="false" customHeight="false" outlineLevel="0" collapsed="false">
      <c r="A561" s="448" t="n">
        <f aca="false">IF(B560+0.01&lt;=T_ini+ROUNDUP(Temps_fin_propu,0), 0.01, IF(K560&gt;0, 0.1, 0.0001))</f>
        <v>0.1</v>
      </c>
      <c r="B561" s="449" t="n">
        <f aca="false">B560+pas</f>
        <v>19.7</v>
      </c>
      <c r="C561" s="432"/>
      <c r="D561" s="450" t="n">
        <f aca="false">IF(AND(L560&lt;L_rampe,Poussee&lt;Poids*SIN(M560)),0,(-W560+Poussee)/m*COS(M560)-U560/m*SIN(M560))</f>
        <v>-0.292763432562721</v>
      </c>
      <c r="E561" s="451" t="n">
        <f aca="false">IF(AND(L560&lt;L_rampe,Poussee&lt;Poids*SIN(M560)),0,(-W560+Poussee)/m*SIN(M560)+U560/m*COS(M560)-Poids/m)</f>
        <v>-9.58789881371246</v>
      </c>
      <c r="F561" s="449" t="n">
        <f aca="false">SQRT(acc_x^2+acc_z^2)</f>
        <v>9.59236749136701</v>
      </c>
      <c r="G561" s="450" t="n">
        <f aca="false">G560+acc_x*pas</f>
        <v>29.1632478395191</v>
      </c>
      <c r="H561" s="451" t="n">
        <f aca="false">H560+acc_z*pas</f>
        <v>-23.1053202556288</v>
      </c>
      <c r="I561" s="449" t="n">
        <f aca="false">SQRT(vit_x^2+vit_z^2)</f>
        <v>37.2068656119323</v>
      </c>
      <c r="J561" s="450" t="n">
        <f aca="false">J560+0.5*(vit_x+G560)*pas*(K560&gt;=0)</f>
        <v>620.574362859236</v>
      </c>
      <c r="K561" s="451" t="n">
        <f aca="false">K560+0.5*(vit_z+H560)*pas</f>
        <v>1395.32727284019</v>
      </c>
      <c r="L561" s="449" t="n">
        <f aca="false">SQRT(pos_x^2+pos_z^2)</f>
        <v>1527.10534612704</v>
      </c>
      <c r="M561" s="450" t="n">
        <f aca="false">IF(AND(L560&gt;L_rampe,G561&gt;0),ATAN2(G561,H561),$M$4)</f>
        <v>-0.670012964506792</v>
      </c>
      <c r="N561" s="449" t="n">
        <f aca="false">DEGREES(Beta)</f>
        <v>-38.3889150852878</v>
      </c>
      <c r="O561" s="438"/>
      <c r="P561" s="452" t="n">
        <f aca="false">MATCH(t-pas/2-T_ini,CdP_t)</f>
        <v>23</v>
      </c>
      <c r="Q561" s="449" t="n">
        <f aca="false">(INDEX(CdP,2,i_P+1)-INDEX(CdP,2,i_P+0))/(INDEX(CdP,1,i_P+1)-INDEX(CdP,1,i_P+0))*(t-pas/2-T_ini-INDEX(CdP,1,i_P+0))+INDEX(CdP,2,i_P+0)</f>
        <v>0</v>
      </c>
      <c r="R561" s="450" t="n">
        <f aca="false">Poussee/(g*ISP)</f>
        <v>0</v>
      </c>
      <c r="S561" s="451" t="n">
        <f aca="false">S560-Débit*pas</f>
        <v>8.652</v>
      </c>
      <c r="T561" s="449" t="n">
        <f aca="false">m*g</f>
        <v>84.87612</v>
      </c>
      <c r="U561" s="453" t="n">
        <f aca="false">IF(pos_xz&lt;L_rampe,Poids*COS(Beta),0)</f>
        <v>0</v>
      </c>
      <c r="V561" s="450" t="n">
        <f aca="false">Rho_moyen*(20000-Alt_rampe-pos_z)/(20000+Alt_rampe+pos_z)</f>
        <v>1.06521969961646</v>
      </c>
      <c r="W561" s="449" t="n">
        <f aca="false">1/2*Rho*Sref*Cx*vit_xz^2</f>
        <v>3.27885036676961</v>
      </c>
      <c r="X561" s="438"/>
      <c r="Y561" s="454" t="str">
        <f aca="false">IF(AND(pos_z&lt;=0,K560&gt;0),"Impact balistique","") &amp; IF(AND(H562&lt;0,vit_z&gt;=0),"Apogée","") &amp; IF(AND(Poussee=0,Q560&gt;0),"Fin de propulsion","") &amp; IF(AND(L562&gt;L_rampe,pos_xz&lt;=L_rampe),"Sortie de rampe","")</f>
        <v/>
      </c>
      <c r="Z561" s="455" t="str">
        <f aca="false">IF(ABS(t-T_para)&lt;pas/2,"Para","")</f>
        <v/>
      </c>
      <c r="AA561" s="456" t="str">
        <f aca="false">IF(ABS(t-T_satellite)&lt;pas/2,"Satellite","")</f>
        <v/>
      </c>
      <c r="AB561" s="444"/>
      <c r="AC561" s="452" t="e">
        <f aca="false">IF(ABS(t-ROUND(t,0))&lt;0.001,t,NA())</f>
        <v>#N/A</v>
      </c>
      <c r="AD561" s="457" t="e">
        <f aca="false">IF(ABS(t-ROUND(t,0))&lt;0.001,pos_x,NA())</f>
        <v>#N/A</v>
      </c>
      <c r="AE561" s="458" t="e">
        <f aca="false">IF(t&lt;T_para, pos_z, NA())</f>
        <v>#N/A</v>
      </c>
      <c r="AF561" s="444"/>
      <c r="AG561" s="450" t="n">
        <f aca="false">IF(AND(L560&lt;L_rampe,Poussee&lt;Poids*SIN(M560)),0,(-W560+Poussee)/m-Poids*SIN(M560)/m)</f>
        <v>5.56163550456227</v>
      </c>
      <c r="AH561" s="449" t="n">
        <f aca="false">IF(AND(L560&lt;L_rampe,Poussee&lt;Poids*SIN(M560)), g*SIN(M560), (-W560+Poussee)/m)</f>
        <v>-0.367477025671322</v>
      </c>
    </row>
    <row r="562" customFormat="false" ht="12" hidden="false" customHeight="false" outlineLevel="0" collapsed="false">
      <c r="A562" s="448" t="n">
        <f aca="false">IF(B561+0.01&lt;=T_ini+ROUNDUP(Temps_fin_propu,0), 0.01, IF(K561&gt;0, 0.1, 0.0001))</f>
        <v>0.1</v>
      </c>
      <c r="B562" s="449" t="n">
        <f aca="false">B561+pas</f>
        <v>19.8</v>
      </c>
      <c r="C562" s="432"/>
      <c r="D562" s="450" t="n">
        <f aca="false">IF(AND(L561&lt;L_rampe,Poussee&lt;Poids*SIN(M561)),0,(-W561+Poussee)/m*COS(M561)-U561/m*SIN(M561))</f>
        <v>-0.297042020243428</v>
      </c>
      <c r="E562" s="451" t="n">
        <f aca="false">IF(AND(L561&lt;L_rampe,Poussee&lt;Poids*SIN(M561)),0,(-W561+Poussee)/m*SIN(M561)+U561/m*COS(M561)-Poids/m)</f>
        <v>-9.57466095117832</v>
      </c>
      <c r="F562" s="449" t="n">
        <f aca="false">SQRT(acc_x^2+acc_z^2)</f>
        <v>9.57926752376241</v>
      </c>
      <c r="G562" s="450" t="n">
        <f aca="false">G561+acc_x*pas</f>
        <v>29.1335436374948</v>
      </c>
      <c r="H562" s="451" t="n">
        <f aca="false">H561+acc_z*pas</f>
        <v>-24.0627863507467</v>
      </c>
      <c r="I562" s="449" t="n">
        <f aca="false">SQRT(vit_x^2+vit_z^2)</f>
        <v>37.7859901529587</v>
      </c>
      <c r="J562" s="450" t="n">
        <f aca="false">J561+0.5*(vit_x+G561)*pas*(K561&gt;=0)</f>
        <v>623.489202433087</v>
      </c>
      <c r="K562" s="451" t="n">
        <f aca="false">K561+0.5*(vit_z+H561)*pas</f>
        <v>1392.96886750987</v>
      </c>
      <c r="L562" s="449" t="n">
        <f aca="false">SQRT(pos_x^2+pos_z^2)</f>
        <v>1526.13926343646</v>
      </c>
      <c r="M562" s="450" t="n">
        <f aca="false">IF(AND(L561&gt;L_rampe,G562&gt;0),ATAN2(G562,H562),$M$4)</f>
        <v>-0.690363740842463</v>
      </c>
      <c r="N562" s="449" t="n">
        <f aca="false">DEGREES(Beta)</f>
        <v>-39.5549286791365</v>
      </c>
      <c r="O562" s="438"/>
      <c r="P562" s="452" t="n">
        <f aca="false">MATCH(t-pas/2-T_ini,CdP_t)</f>
        <v>23</v>
      </c>
      <c r="Q562" s="449" t="n">
        <f aca="false">(INDEX(CdP,2,i_P+1)-INDEX(CdP,2,i_P+0))/(INDEX(CdP,1,i_P+1)-INDEX(CdP,1,i_P+0))*(t-pas/2-T_ini-INDEX(CdP,1,i_P+0))+INDEX(CdP,2,i_P+0)</f>
        <v>0</v>
      </c>
      <c r="R562" s="450" t="n">
        <f aca="false">Poussee/(g*ISP)</f>
        <v>0</v>
      </c>
      <c r="S562" s="451" t="n">
        <f aca="false">S561-Débit*pas</f>
        <v>8.652</v>
      </c>
      <c r="T562" s="449" t="n">
        <f aca="false">m*g</f>
        <v>84.87612</v>
      </c>
      <c r="U562" s="453" t="n">
        <f aca="false">IF(pos_xz&lt;L_rampe,Poids*COS(Beta),0)</f>
        <v>0</v>
      </c>
      <c r="V562" s="450" t="n">
        <f aca="false">Rho_moyen*(20000-Alt_rampe-pos_z)/(20000+Alt_rampe+pos_z)</f>
        <v>1.06547217819392</v>
      </c>
      <c r="W562" s="449" t="n">
        <f aca="false">1/2*Rho*Sref*Cx*vit_xz^2</f>
        <v>3.38251682035407</v>
      </c>
      <c r="X562" s="438"/>
      <c r="Y562" s="454" t="str">
        <f aca="false">IF(AND(pos_z&lt;=0,K561&gt;0),"Impact balistique","") &amp; IF(AND(H563&lt;0,vit_z&gt;=0),"Apogée","") &amp; IF(AND(Poussee=0,Q561&gt;0),"Fin de propulsion","") &amp; IF(AND(L563&gt;L_rampe,pos_xz&lt;=L_rampe),"Sortie de rampe","")</f>
        <v/>
      </c>
      <c r="Z562" s="455" t="str">
        <f aca="false">IF(ABS(t-T_para)&lt;pas/2,"Para","")</f>
        <v/>
      </c>
      <c r="AA562" s="456" t="str">
        <f aca="false">IF(ABS(t-T_satellite)&lt;pas/2,"Satellite","")</f>
        <v/>
      </c>
      <c r="AB562" s="444"/>
      <c r="AC562" s="452" t="e">
        <f aca="false">IF(ABS(t-ROUND(t,0))&lt;0.001,t,NA())</f>
        <v>#N/A</v>
      </c>
      <c r="AD562" s="457" t="e">
        <f aca="false">IF(ABS(t-ROUND(t,0))&lt;0.001,pos_x,NA())</f>
        <v>#N/A</v>
      </c>
      <c r="AE562" s="458" t="e">
        <f aca="false">IF(t&lt;T_para, pos_z, NA())</f>
        <v>#N/A</v>
      </c>
      <c r="AF562" s="444"/>
      <c r="AG562" s="450" t="n">
        <f aca="false">IF(AND(L561&lt;L_rampe,Poussee&lt;Poids*SIN(M561)),0,(-W561+Poussee)/m-Poids*SIN(M561)/m)</f>
        <v>5.71300199747971</v>
      </c>
      <c r="AH562" s="449" t="n">
        <f aca="false">IF(AND(L561&lt;L_rampe,Poussee&lt;Poids*SIN(M561)), g*SIN(M561), (-W561+Poussee)/m)</f>
        <v>-0.378970222696442</v>
      </c>
    </row>
    <row r="563" customFormat="false" ht="12" hidden="false" customHeight="false" outlineLevel="0" collapsed="false">
      <c r="A563" s="448" t="n">
        <f aca="false">IF(B562+0.01&lt;=T_ini+ROUNDUP(Temps_fin_propu,0), 0.01, IF(K562&gt;0, 0.1, 0.0001))</f>
        <v>0.1</v>
      </c>
      <c r="B563" s="449" t="n">
        <f aca="false">B562+pas</f>
        <v>19.9</v>
      </c>
      <c r="C563" s="432"/>
      <c r="D563" s="450" t="n">
        <f aca="false">IF(AND(L562&lt;L_rampe,Poussee&lt;Poids*SIN(M562)),0,(-W562+Poussee)/m*COS(M562)-U562/m*SIN(M562))</f>
        <v>-0.301429643575677</v>
      </c>
      <c r="E563" s="451" t="n">
        <f aca="false">IF(AND(L562&lt;L_rampe,Poussee&lt;Poids*SIN(M562)),0,(-W562+Poussee)/m*SIN(M562)+U562/m*COS(M562)-Poids/m)</f>
        <v>-9.56103484823561</v>
      </c>
      <c r="F563" s="449" t="n">
        <f aca="false">SQRT(acc_x^2+acc_z^2)</f>
        <v>9.56578523693701</v>
      </c>
      <c r="G563" s="450" t="n">
        <f aca="false">G562+acc_x*pas</f>
        <v>29.1034006731372</v>
      </c>
      <c r="H563" s="451" t="n">
        <f aca="false">H562+acc_z*pas</f>
        <v>-25.0188898355702</v>
      </c>
      <c r="I563" s="449" t="n">
        <f aca="false">SQRT(vit_x^2+vit_z^2)</f>
        <v>38.3790669420918</v>
      </c>
      <c r="J563" s="450" t="n">
        <f aca="false">J562+0.5*(vit_x+G562)*pas*(K562&gt;=0)</f>
        <v>626.401049648619</v>
      </c>
      <c r="K563" s="451" t="n">
        <f aca="false">K562+0.5*(vit_z+H562)*pas</f>
        <v>1390.51478370056</v>
      </c>
      <c r="L563" s="449" t="n">
        <f aca="false">SQRT(pos_x^2+pos_z^2)</f>
        <v>1525.09332130552</v>
      </c>
      <c r="M563" s="450" t="n">
        <f aca="false">IF(AND(L562&gt;L_rampe,G563&gt;0),ATAN2(G563,H563),$M$4)</f>
        <v>-0.71007276937159</v>
      </c>
      <c r="N563" s="449" t="n">
        <f aca="false">DEGREES(Beta)</f>
        <v>-40.6841728321584</v>
      </c>
      <c r="O563" s="438"/>
      <c r="P563" s="452" t="n">
        <f aca="false">MATCH(t-pas/2-T_ini,CdP_t)</f>
        <v>23</v>
      </c>
      <c r="Q563" s="449" t="n">
        <f aca="false">(INDEX(CdP,2,i_P+1)-INDEX(CdP,2,i_P+0))/(INDEX(CdP,1,i_P+1)-INDEX(CdP,1,i_P+0))*(t-pas/2-T_ini-INDEX(CdP,1,i_P+0))+INDEX(CdP,2,i_P+0)</f>
        <v>0</v>
      </c>
      <c r="R563" s="450" t="n">
        <f aca="false">Poussee/(g*ISP)</f>
        <v>0</v>
      </c>
      <c r="S563" s="451" t="n">
        <f aca="false">S562-Débit*pas</f>
        <v>8.652</v>
      </c>
      <c r="T563" s="449" t="n">
        <f aca="false">m*g</f>
        <v>84.87612</v>
      </c>
      <c r="U563" s="453" t="n">
        <f aca="false">IF(pos_xz&lt;L_rampe,Poids*COS(Beta),0)</f>
        <v>0</v>
      </c>
      <c r="V563" s="450" t="n">
        <f aca="false">Rho_moyen*(20000-Alt_rampe-pos_z)/(20000+Alt_rampe+pos_z)</f>
        <v>1.06573495871814</v>
      </c>
      <c r="W563" s="449" t="n">
        <f aca="false">1/2*Rho*Sref*Cx*vit_xz^2</f>
        <v>3.4903925510678</v>
      </c>
      <c r="X563" s="438"/>
      <c r="Y563" s="454" t="str">
        <f aca="false">IF(AND(pos_z&lt;=0,K562&gt;0),"Impact balistique","") &amp; IF(AND(H564&lt;0,vit_z&gt;=0),"Apogée","") &amp; IF(AND(Poussee=0,Q562&gt;0),"Fin de propulsion","") &amp; IF(AND(L564&gt;L_rampe,pos_xz&lt;=L_rampe),"Sortie de rampe","")</f>
        <v/>
      </c>
      <c r="Z563" s="455" t="str">
        <f aca="false">IF(ABS(t-T_para)&lt;pas/2,"Para","")</f>
        <v/>
      </c>
      <c r="AA563" s="456" t="str">
        <f aca="false">IF(ABS(t-T_satellite)&lt;pas/2,"Satellite","")</f>
        <v/>
      </c>
      <c r="AB563" s="444"/>
      <c r="AC563" s="452" t="e">
        <f aca="false">IF(ABS(t-ROUND(t,0))&lt;0.001,t,NA())</f>
        <v>#N/A</v>
      </c>
      <c r="AD563" s="457" t="e">
        <f aca="false">IF(ABS(t-ROUND(t,0))&lt;0.001,pos_x,NA())</f>
        <v>#N/A</v>
      </c>
      <c r="AE563" s="458" t="e">
        <f aca="false">IF(t&lt;T_para, pos_z, NA())</f>
        <v>#N/A</v>
      </c>
      <c r="AF563" s="444"/>
      <c r="AG563" s="450" t="n">
        <f aca="false">IF(AND(L562&lt;L_rampe,Poussee&lt;Poids*SIN(M562)),0,(-W562+Poussee)/m-Poids*SIN(M562)/m)</f>
        <v>5.85622936635058</v>
      </c>
      <c r="AH563" s="449" t="n">
        <f aca="false">IF(AND(L562&lt;L_rampe,Poussee&lt;Poids*SIN(M562)), g*SIN(M562), (-W562+Poussee)/m)</f>
        <v>-0.390952013448228</v>
      </c>
    </row>
    <row r="564" customFormat="false" ht="12" hidden="false" customHeight="false" outlineLevel="0" collapsed="false">
      <c r="A564" s="448" t="n">
        <f aca="false">IF(B563+0.01&lt;=T_ini+ROUNDUP(Temps_fin_propu,0), 0.01, IF(K563&gt;0, 0.1, 0.0001))</f>
        <v>0.1</v>
      </c>
      <c r="B564" s="449" t="n">
        <f aca="false">B563+pas</f>
        <v>20</v>
      </c>
      <c r="C564" s="432"/>
      <c r="D564" s="450" t="n">
        <f aca="false">IF(AND(L563&lt;L_rampe,Poussee&lt;Poids*SIN(M563)),0,(-W563+Poussee)/m*COS(M563)-U563/m*SIN(M563))</f>
        <v>-0.305919449180472</v>
      </c>
      <c r="E564" s="451" t="n">
        <f aca="false">IF(AND(L563&lt;L_rampe,Poussee&lt;Poids*SIN(M563)),0,(-W563+Poussee)/m*SIN(M563)+U563/m*COS(M563)-Poids/m)</f>
        <v>-9.54701475358277</v>
      </c>
      <c r="F564" s="449" t="n">
        <f aca="false">SQRT(acc_x^2+acc_z^2)</f>
        <v>9.55191485590789</v>
      </c>
      <c r="G564" s="450" t="n">
        <f aca="false">G563+acc_x*pas</f>
        <v>29.0728087282192</v>
      </c>
      <c r="H564" s="451" t="n">
        <f aca="false">H563+acc_z*pas</f>
        <v>-25.9735913109285</v>
      </c>
      <c r="I564" s="449" t="n">
        <f aca="false">SQRT(vit_x^2+vit_z^2)</f>
        <v>38.985326123232</v>
      </c>
      <c r="J564" s="450" t="n">
        <f aca="false">J563+0.5*(vit_x+G563)*pas*(K563&gt;=0)</f>
        <v>629.309860118686</v>
      </c>
      <c r="K564" s="451" t="n">
        <f aca="false">K563+0.5*(vit_z+H563)*pas</f>
        <v>1387.96515964323</v>
      </c>
      <c r="L564" s="449" t="n">
        <f aca="false">SQRT(pos_x^2+pos_z^2)</f>
        <v>1523.96790793837</v>
      </c>
      <c r="M564" s="450" t="n">
        <f aca="false">IF(AND(L563&gt;L_rampe,G564&gt;0),ATAN2(G564,H564),$M$4)</f>
        <v>-0.729155631863737</v>
      </c>
      <c r="N564" s="449" t="n">
        <f aca="false">DEGREES(Beta)</f>
        <v>-41.7775403139869</v>
      </c>
      <c r="O564" s="438"/>
      <c r="P564" s="452" t="n">
        <f aca="false">MATCH(t-pas/2-T_ini,CdP_t)</f>
        <v>23</v>
      </c>
      <c r="Q564" s="449" t="n">
        <f aca="false">(INDEX(CdP,2,i_P+1)-INDEX(CdP,2,i_P+0))/(INDEX(CdP,1,i_P+1)-INDEX(CdP,1,i_P+0))*(t-pas/2-T_ini-INDEX(CdP,1,i_P+0))+INDEX(CdP,2,i_P+0)</f>
        <v>0</v>
      </c>
      <c r="R564" s="450" t="n">
        <f aca="false">Poussee/(g*ISP)</f>
        <v>0</v>
      </c>
      <c r="S564" s="451" t="n">
        <f aca="false">S563-Débit*pas</f>
        <v>8.652</v>
      </c>
      <c r="T564" s="449" t="n">
        <f aca="false">m*g</f>
        <v>84.87612</v>
      </c>
      <c r="U564" s="453" t="n">
        <f aca="false">IF(pos_xz&lt;L_rampe,Poids*COS(Beta),0)</f>
        <v>0</v>
      </c>
      <c r="V564" s="450" t="n">
        <f aca="false">Rho_moyen*(20000-Alt_rampe-pos_z)/(20000+Alt_rampe+pos_z)</f>
        <v>1.06600803345508</v>
      </c>
      <c r="W564" s="449" t="n">
        <f aca="false">1/2*Rho*Sref*Cx*vit_xz^2</f>
        <v>3.60245909041552</v>
      </c>
      <c r="X564" s="438"/>
      <c r="Y564" s="454" t="str">
        <f aca="false">IF(AND(pos_z&lt;=0,K563&gt;0),"Impact balistique","") &amp; IF(AND(H565&lt;0,vit_z&gt;=0),"Apogée","") &amp; IF(AND(Poussee=0,Q563&gt;0),"Fin de propulsion","") &amp; IF(AND(L565&gt;L_rampe,pos_xz&lt;=L_rampe),"Sortie de rampe","")</f>
        <v/>
      </c>
      <c r="Z564" s="455" t="str">
        <f aca="false">IF(ABS(t-T_para)&lt;pas/2,"Para","")</f>
        <v/>
      </c>
      <c r="AA564" s="456" t="str">
        <f aca="false">IF(ABS(t-T_satellite)&lt;pas/2,"Satellite","")</f>
        <v/>
      </c>
      <c r="AB564" s="444"/>
      <c r="AC564" s="452" t="n">
        <f aca="false">IF(ABS(t-ROUND(t,0))&lt;0.001,t,NA())</f>
        <v>20</v>
      </c>
      <c r="AD564" s="457" t="n">
        <f aca="false">IF(ABS(t-ROUND(t,0))&lt;0.001,pos_x,NA())</f>
        <v>629.309860118686</v>
      </c>
      <c r="AE564" s="458" t="e">
        <f aca="false">IF(t&lt;T_para, pos_z, NA())</f>
        <v>#N/A</v>
      </c>
      <c r="AF564" s="444"/>
      <c r="AG564" s="450" t="n">
        <f aca="false">IF(AND(L563&lt;L_rampe,Poussee&lt;Poids*SIN(M563)),0,(-W563+Poussee)/m-Poids*SIN(M563)/m)</f>
        <v>5.99161033336765</v>
      </c>
      <c r="AH564" s="449" t="n">
        <f aca="false">IF(AND(L563&lt;L_rampe,Poussee&lt;Poids*SIN(M563)), g*SIN(M563), (-W563+Poussee)/m)</f>
        <v>-0.403420313345793</v>
      </c>
    </row>
    <row r="565" customFormat="false" ht="12" hidden="false" customHeight="false" outlineLevel="0" collapsed="false">
      <c r="A565" s="448" t="n">
        <f aca="false">IF(B564+0.01&lt;=T_ini+ROUNDUP(Temps_fin_propu,0), 0.01, IF(K564&gt;0, 0.1, 0.0001))</f>
        <v>0.1</v>
      </c>
      <c r="B565" s="449" t="n">
        <f aca="false">B564+pas</f>
        <v>20.1</v>
      </c>
      <c r="C565" s="432"/>
      <c r="D565" s="450" t="n">
        <f aca="false">IF(AND(L564&lt;L_rampe,Poussee&lt;Poids*SIN(M564)),0,(-W564+Poussee)/m*COS(M564)-U564/m*SIN(M564))</f>
        <v>-0.310504834448256</v>
      </c>
      <c r="E565" s="451" t="n">
        <f aca="false">IF(AND(L564&lt;L_rampe,Poussee&lt;Poids*SIN(M564)),0,(-W564+Poussee)/m*SIN(M564)+U564/m*COS(M564)-Poids/m)</f>
        <v>-9.53259557907116</v>
      </c>
      <c r="F565" s="449" t="n">
        <f aca="false">SQRT(acc_x^2+acc_z^2)</f>
        <v>9.53765126885769</v>
      </c>
      <c r="G565" s="450" t="n">
        <f aca="false">G564+acc_x*pas</f>
        <v>29.0417582447743</v>
      </c>
      <c r="H565" s="451" t="n">
        <f aca="false">H564+acc_z*pas</f>
        <v>-26.9268508688356</v>
      </c>
      <c r="I565" s="449" t="n">
        <f aca="false">SQRT(vit_x^2+vit_z^2)</f>
        <v>39.6040278211754</v>
      </c>
      <c r="J565" s="450" t="n">
        <f aca="false">J564+0.5*(vit_x+G564)*pas*(K564&gt;=0)</f>
        <v>632.215588467336</v>
      </c>
      <c r="K565" s="451" t="n">
        <f aca="false">K564+0.5*(vit_z+H564)*pas</f>
        <v>1385.32013753424</v>
      </c>
      <c r="L565" s="449" t="n">
        <f aca="false">SQRT(pos_x^2+pos_z^2)</f>
        <v>1522.76342015396</v>
      </c>
      <c r="M565" s="450" t="n">
        <f aca="false">IF(AND(L564&gt;L_rampe,G565&gt;0),ATAN2(G565,H565),$M$4)</f>
        <v>-0.74762874845092</v>
      </c>
      <c r="N565" s="449" t="n">
        <f aca="false">DEGREES(Beta)</f>
        <v>-42.8359719288856</v>
      </c>
      <c r="O565" s="438"/>
      <c r="P565" s="452" t="n">
        <f aca="false">MATCH(t-pas/2-T_ini,CdP_t)</f>
        <v>23</v>
      </c>
      <c r="Q565" s="449" t="n">
        <f aca="false">(INDEX(CdP,2,i_P+1)-INDEX(CdP,2,i_P+0))/(INDEX(CdP,1,i_P+1)-INDEX(CdP,1,i_P+0))*(t-pas/2-T_ini-INDEX(CdP,1,i_P+0))+INDEX(CdP,2,i_P+0)</f>
        <v>0</v>
      </c>
      <c r="R565" s="450" t="n">
        <f aca="false">Poussee/(g*ISP)</f>
        <v>0</v>
      </c>
      <c r="S565" s="451" t="n">
        <f aca="false">S564-Débit*pas</f>
        <v>8.652</v>
      </c>
      <c r="T565" s="449" t="n">
        <f aca="false">m*g</f>
        <v>84.87612</v>
      </c>
      <c r="U565" s="453" t="n">
        <f aca="false">IF(pos_xz&lt;L_rampe,Poids*COS(Beta),0)</f>
        <v>0</v>
      </c>
      <c r="V565" s="450" t="n">
        <f aca="false">Rho_moyen*(20000-Alt_rampe-pos_z)/(20000+Alt_rampe+pos_z)</f>
        <v>1.06629139451123</v>
      </c>
      <c r="W565" s="449" t="n">
        <f aca="false">1/2*Rho*Sref*Cx*vit_xz^2</f>
        <v>3.71869752791349</v>
      </c>
      <c r="X565" s="438"/>
      <c r="Y565" s="454" t="str">
        <f aca="false">IF(AND(pos_z&lt;=0,K564&gt;0),"Impact balistique","") &amp; IF(AND(H566&lt;0,vit_z&gt;=0),"Apogée","") &amp; IF(AND(Poussee=0,Q564&gt;0),"Fin de propulsion","") &amp; IF(AND(L566&gt;L_rampe,pos_xz&lt;=L_rampe),"Sortie de rampe","")</f>
        <v/>
      </c>
      <c r="Z565" s="455" t="str">
        <f aca="false">IF(ABS(t-T_para)&lt;pas/2,"Para","")</f>
        <v/>
      </c>
      <c r="AA565" s="456" t="str">
        <f aca="false">IF(ABS(t-T_satellite)&lt;pas/2,"Satellite","")</f>
        <v/>
      </c>
      <c r="AB565" s="444"/>
      <c r="AC565" s="452" t="e">
        <f aca="false">IF(ABS(t-ROUND(t,0))&lt;0.001,t,NA())</f>
        <v>#N/A</v>
      </c>
      <c r="AD565" s="457" t="e">
        <f aca="false">IF(ABS(t-ROUND(t,0))&lt;0.001,pos_x,NA())</f>
        <v>#N/A</v>
      </c>
      <c r="AE565" s="458" t="e">
        <f aca="false">IF(t&lt;T_para, pos_z, NA())</f>
        <v>#N/A</v>
      </c>
      <c r="AF565" s="444"/>
      <c r="AG565" s="450" t="n">
        <f aca="false">IF(AND(L564&lt;L_rampe,Poussee&lt;Poids*SIN(M564)),0,(-W564+Poussee)/m-Poids*SIN(M564)/m)</f>
        <v>6.11944333331842</v>
      </c>
      <c r="AH565" s="449" t="n">
        <f aca="false">IF(AND(L564&lt;L_rampe,Poussee&lt;Poids*SIN(M564)), g*SIN(M564), (-W564+Poussee)/m)</f>
        <v>-0.416372987796523</v>
      </c>
    </row>
    <row r="566" customFormat="false" ht="12" hidden="false" customHeight="false" outlineLevel="0" collapsed="false">
      <c r="A566" s="448" t="n">
        <f aca="false">IF(B565+0.01&lt;=T_ini+ROUNDUP(Temps_fin_propu,0), 0.01, IF(K565&gt;0, 0.1, 0.0001))</f>
        <v>0.1</v>
      </c>
      <c r="B566" s="449" t="n">
        <f aca="false">B565+pas</f>
        <v>20.2</v>
      </c>
      <c r="C566" s="432"/>
      <c r="D566" s="450" t="n">
        <f aca="false">IF(AND(L565&lt;L_rampe,Poussee&lt;Poids*SIN(M565)),0,(-W565+Poussee)/m*COS(M565)-U565/m*SIN(M565))</f>
        <v>-0.315179449938094</v>
      </c>
      <c r="E566" s="451" t="n">
        <f aca="false">IF(AND(L565&lt;L_rampe,Poussee&lt;Poids*SIN(M565)),0,(-W565+Poussee)/m*SIN(M565)+U565/m*COS(M565)-Poids/m)</f>
        <v>-9.51777285679899</v>
      </c>
      <c r="F566" s="449" t="n">
        <f aca="false">SQRT(acc_x^2+acc_z^2)</f>
        <v>9.52298998420575</v>
      </c>
      <c r="G566" s="450" t="n">
        <f aca="false">G565+acc_x*pas</f>
        <v>29.0102402997805</v>
      </c>
      <c r="H566" s="451" t="n">
        <f aca="false">H565+acc_z*pas</f>
        <v>-27.8786281545155</v>
      </c>
      <c r="I566" s="449" t="n">
        <f aca="false">SQRT(vit_x^2+vit_z^2)</f>
        <v>40.2344622187094</v>
      </c>
      <c r="J566" s="450" t="n">
        <f aca="false">J565+0.5*(vit_x+G565)*pas*(K565&gt;=0)</f>
        <v>635.118188394564</v>
      </c>
      <c r="K566" s="451" t="n">
        <f aca="false">K565+0.5*(vit_z+H565)*pas</f>
        <v>1382.57986358308</v>
      </c>
      <c r="L566" s="449" t="n">
        <f aca="false">SQRT(pos_x^2+pos_z^2)</f>
        <v>1521.48026356407</v>
      </c>
      <c r="M566" s="450" t="n">
        <f aca="false">IF(AND(L565&gt;L_rampe,G566&gt;0),ATAN2(G566,H566),$M$4)</f>
        <v>-0.765509159440573</v>
      </c>
      <c r="N566" s="449" t="n">
        <f aca="false">DEGREES(Beta)</f>
        <v>-43.8604440145521</v>
      </c>
      <c r="O566" s="438"/>
      <c r="P566" s="452" t="n">
        <f aca="false">MATCH(t-pas/2-T_ini,CdP_t)</f>
        <v>23</v>
      </c>
      <c r="Q566" s="449" t="n">
        <f aca="false">(INDEX(CdP,2,i_P+1)-INDEX(CdP,2,i_P+0))/(INDEX(CdP,1,i_P+1)-INDEX(CdP,1,i_P+0))*(t-pas/2-T_ini-INDEX(CdP,1,i_P+0))+INDEX(CdP,2,i_P+0)</f>
        <v>0</v>
      </c>
      <c r="R566" s="450" t="n">
        <f aca="false">Poussee/(g*ISP)</f>
        <v>0</v>
      </c>
      <c r="S566" s="451" t="n">
        <f aca="false">S565-Débit*pas</f>
        <v>8.652</v>
      </c>
      <c r="T566" s="449" t="n">
        <f aca="false">m*g</f>
        <v>84.87612</v>
      </c>
      <c r="U566" s="453" t="n">
        <f aca="false">IF(pos_xz&lt;L_rampe,Poids*COS(Beta),0)</f>
        <v>0</v>
      </c>
      <c r="V566" s="450" t="n">
        <f aca="false">Rho_moyen*(20000-Alt_rampe-pos_z)/(20000+Alt_rampe+pos_z)</f>
        <v>1.06658503382711</v>
      </c>
      <c r="W566" s="449" t="n">
        <f aca="false">1/2*Rho*Sref*Cx*vit_xz^2</f>
        <v>3.83908850302519</v>
      </c>
      <c r="X566" s="438"/>
      <c r="Y566" s="454" t="str">
        <f aca="false">IF(AND(pos_z&lt;=0,K565&gt;0),"Impact balistique","") &amp; IF(AND(H567&lt;0,vit_z&gt;=0),"Apogée","") &amp; IF(AND(Poussee=0,Q565&gt;0),"Fin de propulsion","") &amp; IF(AND(L567&gt;L_rampe,pos_xz&lt;=L_rampe),"Sortie de rampe","")</f>
        <v/>
      </c>
      <c r="Z566" s="455" t="str">
        <f aca="false">IF(ABS(t-T_para)&lt;pas/2,"Para","")</f>
        <v/>
      </c>
      <c r="AA566" s="456" t="str">
        <f aca="false">IF(ABS(t-T_satellite)&lt;pas/2,"Satellite","")</f>
        <v/>
      </c>
      <c r="AB566" s="444"/>
      <c r="AC566" s="452" t="e">
        <f aca="false">IF(ABS(t-ROUND(t,0))&lt;0.001,t,NA())</f>
        <v>#N/A</v>
      </c>
      <c r="AD566" s="457" t="e">
        <f aca="false">IF(ABS(t-ROUND(t,0))&lt;0.001,pos_x,NA())</f>
        <v>#N/A</v>
      </c>
      <c r="AE566" s="458" t="e">
        <f aca="false">IF(t&lt;T_para, pos_z, NA())</f>
        <v>#N/A</v>
      </c>
      <c r="AF566" s="444"/>
      <c r="AG566" s="450" t="n">
        <f aca="false">IF(AND(L565&lt;L_rampe,Poussee&lt;Poids*SIN(M565)),0,(-W565+Poussee)/m-Poids*SIN(M565)/m)</f>
        <v>6.2400290709199</v>
      </c>
      <c r="AH566" s="449" t="n">
        <f aca="false">IF(AND(L565&lt;L_rampe,Poussee&lt;Poids*SIN(M565)), g*SIN(M565), (-W565+Poussee)/m)</f>
        <v>-0.429807851122687</v>
      </c>
    </row>
    <row r="567" customFormat="false" ht="12" hidden="false" customHeight="false" outlineLevel="0" collapsed="false">
      <c r="A567" s="448" t="n">
        <f aca="false">IF(B566+0.01&lt;=T_ini+ROUNDUP(Temps_fin_propu,0), 0.01, IF(K566&gt;0, 0.1, 0.0001))</f>
        <v>0.1</v>
      </c>
      <c r="B567" s="449" t="n">
        <f aca="false">B566+pas</f>
        <v>20.3</v>
      </c>
      <c r="C567" s="432"/>
      <c r="D567" s="450" t="n">
        <f aca="false">IF(AND(L566&lt;L_rampe,Poussee&lt;Poids*SIN(M566)),0,(-W566+Poussee)/m*COS(M566)-U566/m*SIN(M566))</f>
        <v>-0.31993719926946</v>
      </c>
      <c r="E567" s="451" t="n">
        <f aca="false">IF(AND(L566&lt;L_rampe,Poussee&lt;Poids*SIN(M566)),0,(-W566+Poussee)/m*SIN(M566)+U566/m*COS(M566)-Poids/m)</f>
        <v>-9.50254269805901</v>
      </c>
      <c r="F567" s="449" t="n">
        <f aca="false">SQRT(acc_x^2+acc_z^2)</f>
        <v>9.50792708953487</v>
      </c>
      <c r="G567" s="450" t="n">
        <f aca="false">G566+acc_x*pas</f>
        <v>28.9782465798536</v>
      </c>
      <c r="H567" s="451" t="n">
        <f aca="false">H566+acc_z*pas</f>
        <v>-28.8288824243214</v>
      </c>
      <c r="I567" s="449" t="n">
        <f aca="false">SQRT(vit_x^2+vit_z^2)</f>
        <v>40.8759493673009</v>
      </c>
      <c r="J567" s="450" t="n">
        <f aca="false">J566+0.5*(vit_x+G566)*pas*(K566&gt;=0)</f>
        <v>638.017612738545</v>
      </c>
      <c r="K567" s="451" t="n">
        <f aca="false">K566+0.5*(vit_z+H566)*pas</f>
        <v>1379.74448805413</v>
      </c>
      <c r="L567" s="449" t="n">
        <f aca="false">SQRT(pos_x^2+pos_z^2)</f>
        <v>1520.11885274815</v>
      </c>
      <c r="M567" s="450" t="n">
        <f aca="false">IF(AND(L566&gt;L_rampe,G567&gt;0),ATAN2(G567,H567),$M$4)</f>
        <v>-0.782814332895725</v>
      </c>
      <c r="N567" s="449" t="n">
        <f aca="false">DEGREES(Beta)</f>
        <v>-44.8519574172741</v>
      </c>
      <c r="O567" s="438"/>
      <c r="P567" s="452" t="n">
        <f aca="false">MATCH(t-pas/2-T_ini,CdP_t)</f>
        <v>23</v>
      </c>
      <c r="Q567" s="449" t="n">
        <f aca="false">(INDEX(CdP,2,i_P+1)-INDEX(CdP,2,i_P+0))/(INDEX(CdP,1,i_P+1)-INDEX(CdP,1,i_P+0))*(t-pas/2-T_ini-INDEX(CdP,1,i_P+0))+INDEX(CdP,2,i_P+0)</f>
        <v>0</v>
      </c>
      <c r="R567" s="450" t="n">
        <f aca="false">Poussee/(g*ISP)</f>
        <v>0</v>
      </c>
      <c r="S567" s="451" t="n">
        <f aca="false">S566-Débit*pas</f>
        <v>8.652</v>
      </c>
      <c r="T567" s="449" t="n">
        <f aca="false">m*g</f>
        <v>84.87612</v>
      </c>
      <c r="U567" s="453" t="n">
        <f aca="false">IF(pos_xz&lt;L_rampe,Poids*COS(Beta),0)</f>
        <v>0</v>
      </c>
      <c r="V567" s="450" t="n">
        <f aca="false">Rho_moyen*(20000-Alt_rampe-pos_z)/(20000+Alt_rampe+pos_z)</f>
        <v>1.06688894317136</v>
      </c>
      <c r="W567" s="449" t="n">
        <f aca="false">1/2*Rho*Sref*Cx*vit_xz^2</f>
        <v>3.96361219823971</v>
      </c>
      <c r="X567" s="438"/>
      <c r="Y567" s="454" t="str">
        <f aca="false">IF(AND(pos_z&lt;=0,K566&gt;0),"Impact balistique","") &amp; IF(AND(H568&lt;0,vit_z&gt;=0),"Apogée","") &amp; IF(AND(Poussee=0,Q566&gt;0),"Fin de propulsion","") &amp; IF(AND(L568&gt;L_rampe,pos_xz&lt;=L_rampe),"Sortie de rampe","")</f>
        <v/>
      </c>
      <c r="Z567" s="455" t="str">
        <f aca="false">IF(ABS(t-T_para)&lt;pas/2,"Para","")</f>
        <v/>
      </c>
      <c r="AA567" s="456" t="str">
        <f aca="false">IF(ABS(t-T_satellite)&lt;pas/2,"Satellite","")</f>
        <v/>
      </c>
      <c r="AB567" s="444"/>
      <c r="AC567" s="452" t="e">
        <f aca="false">IF(ABS(t-ROUND(t,0))&lt;0.001,t,NA())</f>
        <v>#N/A</v>
      </c>
      <c r="AD567" s="457" t="e">
        <f aca="false">IF(ABS(t-ROUND(t,0))&lt;0.001,pos_x,NA())</f>
        <v>#N/A</v>
      </c>
      <c r="AE567" s="458" t="e">
        <f aca="false">IF(t&lt;T_para, pos_z, NA())</f>
        <v>#N/A</v>
      </c>
      <c r="AF567" s="444"/>
      <c r="AG567" s="450" t="n">
        <f aca="false">IF(AND(L566&lt;L_rampe,Poussee&lt;Poids*SIN(M566)),0,(-W566+Poussee)/m-Poids*SIN(M566)/m)</f>
        <v>6.3536676091342</v>
      </c>
      <c r="AH567" s="449" t="n">
        <f aca="false">IF(AND(L566&lt;L_rampe,Poussee&lt;Poids*SIN(M566)), g*SIN(M566), (-W566+Poussee)/m)</f>
        <v>-0.443722665629357</v>
      </c>
    </row>
    <row r="568" customFormat="false" ht="12" hidden="false" customHeight="false" outlineLevel="0" collapsed="false">
      <c r="A568" s="448" t="n">
        <f aca="false">IF(B567+0.01&lt;=T_ini+ROUNDUP(Temps_fin_propu,0), 0.01, IF(K567&gt;0, 0.1, 0.0001))</f>
        <v>0.1</v>
      </c>
      <c r="B568" s="449" t="n">
        <f aca="false">B567+pas</f>
        <v>20.4</v>
      </c>
      <c r="C568" s="432"/>
      <c r="D568" s="450" t="n">
        <f aca="false">IF(AND(L567&lt;L_rampe,Poussee&lt;Poids*SIN(M567)),0,(-W567+Poussee)/m*COS(M567)-U567/m*SIN(M567))</f>
        <v>-0.324772236918714</v>
      </c>
      <c r="E568" s="451" t="n">
        <f aca="false">IF(AND(L567&lt;L_rampe,Poussee&lt;Poids*SIN(M567)),0,(-W567+Poussee)/m*SIN(M567)+U567/m*COS(M567)-Poids/m)</f>
        <v>-9.48690175432068</v>
      </c>
      <c r="F568" s="449" t="n">
        <f aca="false">SQRT(acc_x^2+acc_z^2)</f>
        <v>9.49245921255425</v>
      </c>
      <c r="G568" s="450" t="n">
        <f aca="false">G567+acc_x*pas</f>
        <v>28.9457693561617</v>
      </c>
      <c r="H568" s="451" t="n">
        <f aca="false">H567+acc_z*pas</f>
        <v>-29.7775725997535</v>
      </c>
      <c r="I568" s="449" t="n">
        <f aca="false">SQRT(vit_x^2+vit_z^2)</f>
        <v>41.527838777785</v>
      </c>
      <c r="J568" s="450" t="n">
        <f aca="false">J567+0.5*(vit_x+G567)*pas*(K567&gt;=0)</f>
        <v>640.913813535346</v>
      </c>
      <c r="K568" s="451" t="n">
        <f aca="false">K567+0.5*(vit_z+H567)*pas</f>
        <v>1376.81416530293</v>
      </c>
      <c r="L568" s="449" t="n">
        <f aca="false">SQRT(pos_x^2+pos_z^2)</f>
        <v>1518.67961142541</v>
      </c>
      <c r="M568" s="450" t="n">
        <f aca="false">IF(AND(L567&gt;L_rampe,G568&gt;0),ATAN2(G568,H568),$M$4)</f>
        <v>-0.799561996573582</v>
      </c>
      <c r="N568" s="449" t="n">
        <f aca="false">DEGREES(Beta)</f>
        <v>-45.8115278627199</v>
      </c>
      <c r="O568" s="438"/>
      <c r="P568" s="452" t="n">
        <f aca="false">MATCH(t-pas/2-T_ini,CdP_t)</f>
        <v>23</v>
      </c>
      <c r="Q568" s="449" t="n">
        <f aca="false">(INDEX(CdP,2,i_P+1)-INDEX(CdP,2,i_P+0))/(INDEX(CdP,1,i_P+1)-INDEX(CdP,1,i_P+0))*(t-pas/2-T_ini-INDEX(CdP,1,i_P+0))+INDEX(CdP,2,i_P+0)</f>
        <v>0</v>
      </c>
      <c r="R568" s="450" t="n">
        <f aca="false">Poussee/(g*ISP)</f>
        <v>0</v>
      </c>
      <c r="S568" s="451" t="n">
        <f aca="false">S567-Débit*pas</f>
        <v>8.652</v>
      </c>
      <c r="T568" s="449" t="n">
        <f aca="false">m*g</f>
        <v>84.87612</v>
      </c>
      <c r="U568" s="453" t="n">
        <f aca="false">IF(pos_xz&lt;L_rampe,Poids*COS(Beta),0)</f>
        <v>0</v>
      </c>
      <c r="V568" s="450" t="n">
        <f aca="false">Rho_moyen*(20000-Alt_rampe-pos_z)/(20000+Alt_rampe+pos_z)</f>
        <v>1.06720311413535</v>
      </c>
      <c r="W568" s="449" t="n">
        <f aca="false">1/2*Rho*Sref*Cx*vit_xz^2</f>
        <v>4.09224833321682</v>
      </c>
      <c r="X568" s="438"/>
      <c r="Y568" s="454" t="str">
        <f aca="false">IF(AND(pos_z&lt;=0,K567&gt;0),"Impact balistique","") &amp; IF(AND(H569&lt;0,vit_z&gt;=0),"Apogée","") &amp; IF(AND(Poussee=0,Q567&gt;0),"Fin de propulsion","") &amp; IF(AND(L569&gt;L_rampe,pos_xz&lt;=L_rampe),"Sortie de rampe","")</f>
        <v/>
      </c>
      <c r="Z568" s="455" t="str">
        <f aca="false">IF(ABS(t-T_para)&lt;pas/2,"Para","")</f>
        <v/>
      </c>
      <c r="AA568" s="456" t="str">
        <f aca="false">IF(ABS(t-T_satellite)&lt;pas/2,"Satellite","")</f>
        <v/>
      </c>
      <c r="AB568" s="444"/>
      <c r="AC568" s="452" t="e">
        <f aca="false">IF(ABS(t-ROUND(t,0))&lt;0.001,t,NA())</f>
        <v>#N/A</v>
      </c>
      <c r="AD568" s="457" t="e">
        <f aca="false">IF(ABS(t-ROUND(t,0))&lt;0.001,pos_x,NA())</f>
        <v>#N/A</v>
      </c>
      <c r="AE568" s="458" t="e">
        <f aca="false">IF(t&lt;T_para, pos_z, NA())</f>
        <v>#N/A</v>
      </c>
      <c r="AF568" s="444"/>
      <c r="AG568" s="450" t="n">
        <f aca="false">IF(AND(L567&lt;L_rampe,Poussee&lt;Poids*SIN(M567)),0,(-W567+Poussee)/m-Poids*SIN(M567)/m)</f>
        <v>6.46065594488519</v>
      </c>
      <c r="AH568" s="449" t="n">
        <f aca="false">IF(AND(L567&lt;L_rampe,Poussee&lt;Poids*SIN(M567)), g*SIN(M567), (-W567+Poussee)/m)</f>
        <v>-0.458115140804405</v>
      </c>
    </row>
    <row r="569" customFormat="false" ht="12" hidden="false" customHeight="false" outlineLevel="0" collapsed="false">
      <c r="A569" s="448" t="n">
        <f aca="false">IF(B568+0.01&lt;=T_ini+ROUNDUP(Temps_fin_propu,0), 0.01, IF(K568&gt;0, 0.1, 0.0001))</f>
        <v>0.1</v>
      </c>
      <c r="B569" s="449" t="n">
        <f aca="false">B568+pas</f>
        <v>20.5</v>
      </c>
      <c r="C569" s="432"/>
      <c r="D569" s="450" t="n">
        <f aca="false">IF(AND(L568&lt;L_rampe,Poussee&lt;Poids*SIN(M568)),0,(-W568+Poussee)/m*COS(M568)-U568/m*SIN(M568))</f>
        <v>-0.329678964294531</v>
      </c>
      <c r="E569" s="451" t="n">
        <f aca="false">IF(AND(L568&lt;L_rampe,Poussee&lt;Poids*SIN(M568)),0,(-W568+Poussee)/m*SIN(M568)+U568/m*COS(M568)-Poids/m)</f>
        <v>-9.47084718035653</v>
      </c>
      <c r="F569" s="449" t="n">
        <f aca="false">SQRT(acc_x^2+acc_z^2)</f>
        <v>9.47658348420809</v>
      </c>
      <c r="G569" s="450" t="n">
        <f aca="false">G568+acc_x*pas</f>
        <v>28.9128014597323</v>
      </c>
      <c r="H569" s="451" t="n">
        <f aca="false">H568+acc_z*pas</f>
        <v>-30.7246573177891</v>
      </c>
      <c r="I569" s="449" t="n">
        <f aca="false">SQRT(vit_x^2+vit_z^2)</f>
        <v>42.1895088327118</v>
      </c>
      <c r="J569" s="450" t="n">
        <f aca="false">J568+0.5*(vit_x+G568)*pas*(K568&gt;=0)</f>
        <v>643.806742076141</v>
      </c>
      <c r="K569" s="451" t="n">
        <f aca="false">K568+0.5*(vit_z+H568)*pas</f>
        <v>1373.78905380705</v>
      </c>
      <c r="L569" s="449" t="n">
        <f aca="false">SQRT(pos_x^2+pos_z^2)</f>
        <v>1517.16297262449</v>
      </c>
      <c r="M569" s="450" t="n">
        <f aca="false">IF(AND(L568&gt;L_rampe,G569&gt;0),ATAN2(G569,H569),$M$4)</f>
        <v>-0.815769992557298</v>
      </c>
      <c r="N569" s="449" t="n">
        <f aca="false">DEGREES(Beta)</f>
        <v>-46.7401776269518</v>
      </c>
      <c r="O569" s="438"/>
      <c r="P569" s="452" t="n">
        <f aca="false">MATCH(t-pas/2-T_ini,CdP_t)</f>
        <v>23</v>
      </c>
      <c r="Q569" s="449" t="n">
        <f aca="false">(INDEX(CdP,2,i_P+1)-INDEX(CdP,2,i_P+0))/(INDEX(CdP,1,i_P+1)-INDEX(CdP,1,i_P+0))*(t-pas/2-T_ini-INDEX(CdP,1,i_P+0))+INDEX(CdP,2,i_P+0)</f>
        <v>0</v>
      </c>
      <c r="R569" s="450" t="n">
        <f aca="false">Poussee/(g*ISP)</f>
        <v>0</v>
      </c>
      <c r="S569" s="451" t="n">
        <f aca="false">S568-Débit*pas</f>
        <v>8.652</v>
      </c>
      <c r="T569" s="449" t="n">
        <f aca="false">m*g</f>
        <v>84.87612</v>
      </c>
      <c r="U569" s="453" t="n">
        <f aca="false">IF(pos_xz&lt;L_rampe,Poids*COS(Beta),0)</f>
        <v>0</v>
      </c>
      <c r="V569" s="450" t="n">
        <f aca="false">Rho_moyen*(20000-Alt_rampe-pos_z)/(20000+Alt_rampe+pos_z)</f>
        <v>1.0675275381284</v>
      </c>
      <c r="W569" s="449" t="n">
        <f aca="false">1/2*Rho*Sref*Cx*vit_xz^2</f>
        <v>4.22497615992679</v>
      </c>
      <c r="X569" s="438"/>
      <c r="Y569" s="454" t="str">
        <f aca="false">IF(AND(pos_z&lt;=0,K568&gt;0),"Impact balistique","") &amp; IF(AND(H570&lt;0,vit_z&gt;=0),"Apogée","") &amp; IF(AND(Poussee=0,Q568&gt;0),"Fin de propulsion","") &amp; IF(AND(L570&gt;L_rampe,pos_xz&lt;=L_rampe),"Sortie de rampe","")</f>
        <v/>
      </c>
      <c r="Z569" s="455" t="str">
        <f aca="false">IF(ABS(t-T_para)&lt;pas/2,"Para","")</f>
        <v/>
      </c>
      <c r="AA569" s="456" t="str">
        <f aca="false">IF(ABS(t-T_satellite)&lt;pas/2,"Satellite","")</f>
        <v/>
      </c>
      <c r="AB569" s="444"/>
      <c r="AC569" s="452" t="e">
        <f aca="false">IF(ABS(t-ROUND(t,0))&lt;0.001,t,NA())</f>
        <v>#N/A</v>
      </c>
      <c r="AD569" s="457" t="e">
        <f aca="false">IF(ABS(t-ROUND(t,0))&lt;0.001,pos_x,NA())</f>
        <v>#N/A</v>
      </c>
      <c r="AE569" s="458" t="e">
        <f aca="false">IF(t&lt;T_para, pos_z, NA())</f>
        <v>#N/A</v>
      </c>
      <c r="AF569" s="444"/>
      <c r="AG569" s="450" t="n">
        <f aca="false">IF(AND(L568&lt;L_rampe,Poussee&lt;Poids*SIN(M568)),0,(-W568+Poussee)/m-Poids*SIN(M568)/m)</f>
        <v>6.56128602526623</v>
      </c>
      <c r="AH569" s="449" t="n">
        <f aca="false">IF(AND(L568&lt;L_rampe,Poussee&lt;Poids*SIN(M568)), g*SIN(M568), (-W568+Poussee)/m)</f>
        <v>-0.472982932641796</v>
      </c>
    </row>
    <row r="570" customFormat="false" ht="12" hidden="false" customHeight="false" outlineLevel="0" collapsed="false">
      <c r="A570" s="448" t="n">
        <f aca="false">IF(B569+0.01&lt;=T_ini+ROUNDUP(Temps_fin_propu,0), 0.01, IF(K569&gt;0, 0.1, 0.0001))</f>
        <v>0.1</v>
      </c>
      <c r="B570" s="449" t="n">
        <f aca="false">B569+pas</f>
        <v>20.6</v>
      </c>
      <c r="C570" s="432"/>
      <c r="D570" s="450" t="n">
        <f aca="false">IF(AND(L569&lt;L_rampe,Poussee&lt;Poids*SIN(M569)),0,(-W569+Poussee)/m*COS(M569)-U569/m*SIN(M569))</f>
        <v>-0.334652024427304</v>
      </c>
      <c r="E570" s="451" t="n">
        <f aca="false">IF(AND(L569&lt;L_rampe,Poussee&lt;Poids*SIN(M569)),0,(-W569+Poussee)/m*SIN(M569)+U569/m*COS(M569)-Poids/m)</f>
        <v>-9.45437659956427</v>
      </c>
      <c r="F570" s="449" t="n">
        <f aca="false">SQRT(acc_x^2+acc_z^2)</f>
        <v>9.46029750398166</v>
      </c>
      <c r="G570" s="450" t="n">
        <f aca="false">G569+acc_x*pas</f>
        <v>28.8793362572895</v>
      </c>
      <c r="H570" s="451" t="n">
        <f aca="false">H569+acc_z*pas</f>
        <v>-31.6700949777456</v>
      </c>
      <c r="I570" s="449" t="n">
        <f aca="false">SQRT(vit_x^2+vit_z^2)</f>
        <v>42.8603660572448</v>
      </c>
      <c r="J570" s="450" t="n">
        <f aca="false">J569+0.5*(vit_x+G569)*pas*(K569&gt;=0)</f>
        <v>646.696348961992</v>
      </c>
      <c r="K570" s="451" t="n">
        <f aca="false">K569+0.5*(vit_z+H569)*pas</f>
        <v>1370.66931619228</v>
      </c>
      <c r="L570" s="449" t="n">
        <f aca="false">SQRT(pos_x^2+pos_z^2)</f>
        <v>1515.56937885132</v>
      </c>
      <c r="M570" s="450" t="n">
        <f aca="false">IF(AND(L569&gt;L_rampe,G570&gt;0),ATAN2(G570,H570),$M$4)</f>
        <v>-0.831456152766416</v>
      </c>
      <c r="N570" s="449" t="n">
        <f aca="false">DEGREES(Beta)</f>
        <v>-47.6389284037003</v>
      </c>
      <c r="O570" s="438"/>
      <c r="P570" s="452" t="n">
        <f aca="false">MATCH(t-pas/2-T_ini,CdP_t)</f>
        <v>23</v>
      </c>
      <c r="Q570" s="449" t="n">
        <f aca="false">(INDEX(CdP,2,i_P+1)-INDEX(CdP,2,i_P+0))/(INDEX(CdP,1,i_P+1)-INDEX(CdP,1,i_P+0))*(t-pas/2-T_ini-INDEX(CdP,1,i_P+0))+INDEX(CdP,2,i_P+0)</f>
        <v>0</v>
      </c>
      <c r="R570" s="450" t="n">
        <f aca="false">Poussee/(g*ISP)</f>
        <v>0</v>
      </c>
      <c r="S570" s="451" t="n">
        <f aca="false">S569-Débit*pas</f>
        <v>8.652</v>
      </c>
      <c r="T570" s="449" t="n">
        <f aca="false">m*g</f>
        <v>84.87612</v>
      </c>
      <c r="U570" s="453" t="n">
        <f aca="false">IF(pos_xz&lt;L_rampe,Poids*COS(Beta),0)</f>
        <v>0</v>
      </c>
      <c r="V570" s="450" t="n">
        <f aca="false">Rho_moyen*(20000-Alt_rampe-pos_z)/(20000+Alt_rampe+pos_z)</f>
        <v>1.06786220637336</v>
      </c>
      <c r="W570" s="449" t="n">
        <f aca="false">1/2*Rho*Sref*Cx*vit_xz^2</f>
        <v>4.36177445871714</v>
      </c>
      <c r="X570" s="438"/>
      <c r="Y570" s="454" t="str">
        <f aca="false">IF(AND(pos_z&lt;=0,K569&gt;0),"Impact balistique","") &amp; IF(AND(H571&lt;0,vit_z&gt;=0),"Apogée","") &amp; IF(AND(Poussee=0,Q569&gt;0),"Fin de propulsion","") &amp; IF(AND(L571&gt;L_rampe,pos_xz&lt;=L_rampe),"Sortie de rampe","")</f>
        <v/>
      </c>
      <c r="Z570" s="455" t="str">
        <f aca="false">IF(ABS(t-T_para)&lt;pas/2,"Para","")</f>
        <v/>
      </c>
      <c r="AA570" s="456" t="str">
        <f aca="false">IF(ABS(t-T_satellite)&lt;pas/2,"Satellite","")</f>
        <v/>
      </c>
      <c r="AB570" s="444"/>
      <c r="AC570" s="452" t="e">
        <f aca="false">IF(ABS(t-ROUND(t,0))&lt;0.001,t,NA())</f>
        <v>#N/A</v>
      </c>
      <c r="AD570" s="457" t="e">
        <f aca="false">IF(ABS(t-ROUND(t,0))&lt;0.001,pos_x,NA())</f>
        <v>#N/A</v>
      </c>
      <c r="AE570" s="458" t="e">
        <f aca="false">IF(t&lt;T_para, pos_z, NA())</f>
        <v>#N/A</v>
      </c>
      <c r="AF570" s="444"/>
      <c r="AG570" s="450" t="n">
        <f aca="false">IF(AND(L569&lt;L_rampe,Poussee&lt;Poids*SIN(M569)),0,(-W569+Poussee)/m-Poids*SIN(M569)/m)</f>
        <v>6.65584315636421</v>
      </c>
      <c r="AH570" s="449" t="n">
        <f aca="false">IF(AND(L569&lt;L_rampe,Poussee&lt;Poids*SIN(M569)), g*SIN(M569), (-W569+Poussee)/m)</f>
        <v>-0.488323643079842</v>
      </c>
    </row>
    <row r="571" customFormat="false" ht="12" hidden="false" customHeight="false" outlineLevel="0" collapsed="false">
      <c r="A571" s="448" t="n">
        <f aca="false">IF(B570+0.01&lt;=T_ini+ROUNDUP(Temps_fin_propu,0), 0.01, IF(K570&gt;0, 0.1, 0.0001))</f>
        <v>0.1</v>
      </c>
      <c r="B571" s="449" t="n">
        <f aca="false">B570+pas</f>
        <v>20.7</v>
      </c>
      <c r="C571" s="432"/>
      <c r="D571" s="450" t="n">
        <f aca="false">IF(AND(L570&lt;L_rampe,Poussee&lt;Poids*SIN(M570)),0,(-W570+Poussee)/m*COS(M570)-U570/m*SIN(M570))</f>
        <v>-0.33968629556847</v>
      </c>
      <c r="E571" s="451" t="n">
        <f aca="false">IF(AND(L570&lt;L_rampe,Poussee&lt;Poids*SIN(M570)),0,(-W570+Poussee)/m*SIN(M570)+U570/m*COS(M570)-Poids/m)</f>
        <v>-9.43748807148999</v>
      </c>
      <c r="F571" s="449" t="n">
        <f aca="false">SQRT(acc_x^2+acc_z^2)</f>
        <v>9.44359930740991</v>
      </c>
      <c r="G571" s="450" t="n">
        <f aca="false">G570+acc_x*pas</f>
        <v>28.8453676277327</v>
      </c>
      <c r="H571" s="451" t="n">
        <f aca="false">H570+acc_z*pas</f>
        <v>-32.6138437848946</v>
      </c>
      <c r="I571" s="449" t="n">
        <f aca="false">SQRT(vit_x^2+vit_z^2)</f>
        <v>43.5398442808947</v>
      </c>
      <c r="J571" s="450" t="n">
        <f aca="false">J570+0.5*(vit_x+G570)*pas*(K570&gt;=0)</f>
        <v>649.582584156243</v>
      </c>
      <c r="K571" s="451" t="n">
        <f aca="false">K570+0.5*(vit_z+H570)*pas</f>
        <v>1367.45511925414</v>
      </c>
      <c r="L571" s="449" t="n">
        <f aca="false">SQRT(pos_x^2+pos_z^2)</f>
        <v>1513.89928225542</v>
      </c>
      <c r="M571" s="450" t="n">
        <f aca="false">IF(AND(L570&gt;L_rampe,G571&gt;0),ATAN2(G571,H571),$M$4)</f>
        <v>-0.846638193467254</v>
      </c>
      <c r="N571" s="449" t="n">
        <f aca="false">DEGREES(Beta)</f>
        <v>-48.5087952602541</v>
      </c>
      <c r="O571" s="438"/>
      <c r="P571" s="452" t="n">
        <f aca="false">MATCH(t-pas/2-T_ini,CdP_t)</f>
        <v>23</v>
      </c>
      <c r="Q571" s="449" t="n">
        <f aca="false">(INDEX(CdP,2,i_P+1)-INDEX(CdP,2,i_P+0))/(INDEX(CdP,1,i_P+1)-INDEX(CdP,1,i_P+0))*(t-pas/2-T_ini-INDEX(CdP,1,i_P+0))+INDEX(CdP,2,i_P+0)</f>
        <v>0</v>
      </c>
      <c r="R571" s="450" t="n">
        <f aca="false">Poussee/(g*ISP)</f>
        <v>0</v>
      </c>
      <c r="S571" s="451" t="n">
        <f aca="false">S570-Débit*pas</f>
        <v>8.652</v>
      </c>
      <c r="T571" s="449" t="n">
        <f aca="false">m*g</f>
        <v>84.87612</v>
      </c>
      <c r="U571" s="453" t="n">
        <f aca="false">IF(pos_xz&lt;L_rampe,Poids*COS(Beta),0)</f>
        <v>0</v>
      </c>
      <c r="V571" s="450" t="n">
        <f aca="false">Rho_moyen*(20000-Alt_rampe-pos_z)/(20000+Alt_rampe+pos_z)</f>
        <v>1.06820710990268</v>
      </c>
      <c r="W571" s="449" t="n">
        <f aca="false">1/2*Rho*Sref*Cx*vit_xz^2</f>
        <v>4.50262153524264</v>
      </c>
      <c r="X571" s="438"/>
      <c r="Y571" s="454" t="str">
        <f aca="false">IF(AND(pos_z&lt;=0,K570&gt;0),"Impact balistique","") &amp; IF(AND(H572&lt;0,vit_z&gt;=0),"Apogée","") &amp; IF(AND(Poussee=0,Q570&gt;0),"Fin de propulsion","") &amp; IF(AND(L572&gt;L_rampe,pos_xz&lt;=L_rampe),"Sortie de rampe","")</f>
        <v/>
      </c>
      <c r="Z571" s="455" t="str">
        <f aca="false">IF(ABS(t-T_para)&lt;pas/2,"Para","")</f>
        <v/>
      </c>
      <c r="AA571" s="456" t="str">
        <f aca="false">IF(ABS(t-T_satellite)&lt;pas/2,"Satellite","")</f>
        <v/>
      </c>
      <c r="AB571" s="444"/>
      <c r="AC571" s="452" t="e">
        <f aca="false">IF(ABS(t-ROUND(t,0))&lt;0.001,t,NA())</f>
        <v>#N/A</v>
      </c>
      <c r="AD571" s="457" t="e">
        <f aca="false">IF(ABS(t-ROUND(t,0))&lt;0.001,pos_x,NA())</f>
        <v>#N/A</v>
      </c>
      <c r="AE571" s="458" t="e">
        <f aca="false">IF(t&lt;T_para, pos_z, NA())</f>
        <v>#N/A</v>
      </c>
      <c r="AF571" s="444"/>
      <c r="AG571" s="450" t="n">
        <f aca="false">IF(AND(L570&lt;L_rampe,Poussee&lt;Poids*SIN(M570)),0,(-W570+Poussee)/m-Poids*SIN(M570)/m)</f>
        <v>6.744604757636</v>
      </c>
      <c r="AH571" s="449" t="n">
        <f aca="false">IF(AND(L570&lt;L_rampe,Poussee&lt;Poids*SIN(M570)), g*SIN(M570), (-W570+Poussee)/m)</f>
        <v>-0.504134819546595</v>
      </c>
    </row>
    <row r="572" customFormat="false" ht="12" hidden="false" customHeight="false" outlineLevel="0" collapsed="false">
      <c r="A572" s="448" t="n">
        <f aca="false">IF(B571+0.01&lt;=T_ini+ROUNDUP(Temps_fin_propu,0), 0.01, IF(K571&gt;0, 0.1, 0.0001))</f>
        <v>0.1</v>
      </c>
      <c r="B572" s="449" t="n">
        <f aca="false">B571+pas</f>
        <v>20.8</v>
      </c>
      <c r="C572" s="432"/>
      <c r="D572" s="450" t="n">
        <f aca="false">IF(AND(L571&lt;L_rampe,Poussee&lt;Poids*SIN(M571)),0,(-W571+Poussee)/m*COS(M571)-U571/m*SIN(M571))</f>
        <v>-0.344776883958014</v>
      </c>
      <c r="E572" s="451" t="n">
        <f aca="false">IF(AND(L571&lt;L_rampe,Poussee&lt;Poids*SIN(M571)),0,(-W571+Poussee)/m*SIN(M571)+U571/m*COS(M571)-Poids/m)</f>
        <v>-9.42018006152092</v>
      </c>
      <c r="F572" s="449" t="n">
        <f aca="false">SQRT(acc_x^2+acc_z^2)</f>
        <v>9.42648733575705</v>
      </c>
      <c r="G572" s="450" t="n">
        <f aca="false">G571+acc_x*pas</f>
        <v>28.8108899393369</v>
      </c>
      <c r="H572" s="451" t="n">
        <f aca="false">H571+acc_z*pas</f>
        <v>-33.5558617910467</v>
      </c>
      <c r="I572" s="449" t="n">
        <f aca="false">SQRT(vit_x^2+vit_z^2)</f>
        <v>44.2274037180164</v>
      </c>
      <c r="J572" s="450" t="n">
        <f aca="false">J571+0.5*(vit_x+G571)*pas*(K571&gt;=0)</f>
        <v>652.465397034596</v>
      </c>
      <c r="K572" s="451" t="n">
        <f aca="false">K571+0.5*(vit_z+H571)*pas</f>
        <v>1364.14663397535</v>
      </c>
      <c r="L572" s="449" t="n">
        <f aca="false">SQRT(pos_x^2+pos_z^2)</f>
        <v>1512.15314479512</v>
      </c>
      <c r="M572" s="450" t="n">
        <f aca="false">IF(AND(L571&gt;L_rampe,G572&gt;0),ATAN2(G572,H572),$M$4)</f>
        <v>-0.861333626905904</v>
      </c>
      <c r="N572" s="449" t="n">
        <f aca="false">DEGREES(Beta)</f>
        <v>-49.3507815744042</v>
      </c>
      <c r="O572" s="438"/>
      <c r="P572" s="452" t="n">
        <f aca="false">MATCH(t-pas/2-T_ini,CdP_t)</f>
        <v>23</v>
      </c>
      <c r="Q572" s="449" t="n">
        <f aca="false">(INDEX(CdP,2,i_P+1)-INDEX(CdP,2,i_P+0))/(INDEX(CdP,1,i_P+1)-INDEX(CdP,1,i_P+0))*(t-pas/2-T_ini-INDEX(CdP,1,i_P+0))+INDEX(CdP,2,i_P+0)</f>
        <v>0</v>
      </c>
      <c r="R572" s="450" t="n">
        <f aca="false">Poussee/(g*ISP)</f>
        <v>0</v>
      </c>
      <c r="S572" s="451" t="n">
        <f aca="false">S571-Débit*pas</f>
        <v>8.652</v>
      </c>
      <c r="T572" s="449" t="n">
        <f aca="false">m*g</f>
        <v>84.87612</v>
      </c>
      <c r="U572" s="453" t="n">
        <f aca="false">IF(pos_xz&lt;L_rampe,Poids*COS(Beta),0)</f>
        <v>0</v>
      </c>
      <c r="V572" s="450" t="n">
        <f aca="false">Rho_moyen*(20000-Alt_rampe-pos_z)/(20000+Alt_rampe+pos_z)</f>
        <v>1.06856223955491</v>
      </c>
      <c r="W572" s="449" t="n">
        <f aca="false">1/2*Rho*Sref*Cx*vit_xz^2</f>
        <v>4.64749521819925</v>
      </c>
      <c r="X572" s="438"/>
      <c r="Y572" s="454" t="str">
        <f aca="false">IF(AND(pos_z&lt;=0,K571&gt;0),"Impact balistique","") &amp; IF(AND(H573&lt;0,vit_z&gt;=0),"Apogée","") &amp; IF(AND(Poussee=0,Q571&gt;0),"Fin de propulsion","") &amp; IF(AND(L573&gt;L_rampe,pos_xz&lt;=L_rampe),"Sortie de rampe","")</f>
        <v/>
      </c>
      <c r="Z572" s="455" t="str">
        <f aca="false">IF(ABS(t-T_para)&lt;pas/2,"Para","")</f>
        <v/>
      </c>
      <c r="AA572" s="456" t="str">
        <f aca="false">IF(ABS(t-T_satellite)&lt;pas/2,"Satellite","")</f>
        <v/>
      </c>
      <c r="AB572" s="444"/>
      <c r="AC572" s="452" t="e">
        <f aca="false">IF(ABS(t-ROUND(t,0))&lt;0.001,t,NA())</f>
        <v>#N/A</v>
      </c>
      <c r="AD572" s="457" t="e">
        <f aca="false">IF(ABS(t-ROUND(t,0))&lt;0.001,pos_x,NA())</f>
        <v>#N/A</v>
      </c>
      <c r="AE572" s="458" t="e">
        <f aca="false">IF(t&lt;T_para, pos_z, NA())</f>
        <v>#N/A</v>
      </c>
      <c r="AF572" s="444"/>
      <c r="AG572" s="450" t="n">
        <f aca="false">IF(AND(L571&lt;L_rampe,Poussee&lt;Poids*SIN(M571)),0,(-W571+Poussee)/m-Poids*SIN(M571)/m)</f>
        <v>6.82783941685241</v>
      </c>
      <c r="AH572" s="449" t="n">
        <f aca="false">IF(AND(L571&lt;L_rampe,Poussee&lt;Poids*SIN(M571)), g*SIN(M571), (-W571+Poussee)/m)</f>
        <v>-0.520413954605021</v>
      </c>
    </row>
    <row r="573" customFormat="false" ht="12" hidden="false" customHeight="false" outlineLevel="0" collapsed="false">
      <c r="A573" s="448" t="n">
        <f aca="false">IF(B572+0.01&lt;=T_ini+ROUNDUP(Temps_fin_propu,0), 0.01, IF(K572&gt;0, 0.1, 0.0001))</f>
        <v>0.1</v>
      </c>
      <c r="B573" s="449" t="n">
        <f aca="false">B572+pas</f>
        <v>20.9</v>
      </c>
      <c r="C573" s="432"/>
      <c r="D573" s="450" t="n">
        <f aca="false">IF(AND(L572&lt;L_rampe,Poussee&lt;Poids*SIN(M572)),0,(-W572+Poussee)/m*COS(M572)-U572/m*SIN(M572))</f>
        <v>-0.34991911598289</v>
      </c>
      <c r="E573" s="451" t="n">
        <f aca="false">IF(AND(L572&lt;L_rampe,Poussee&lt;Poids*SIN(M572)),0,(-W572+Poussee)/m*SIN(M572)+U572/m*COS(M572)-Poids/m)</f>
        <v>-9.40245141268839</v>
      </c>
      <c r="F573" s="449" t="n">
        <f aca="false">SQRT(acc_x^2+acc_z^2)</f>
        <v>9.40896040780788</v>
      </c>
      <c r="G573" s="450" t="n">
        <f aca="false">G572+acc_x*pas</f>
        <v>28.7758980277386</v>
      </c>
      <c r="H573" s="451" t="n">
        <f aca="false">H572+acc_z*pas</f>
        <v>-34.4961069323155</v>
      </c>
      <c r="I573" s="449" t="n">
        <f aca="false">SQRT(vit_x^2+vit_z^2)</f>
        <v>44.9225299909584</v>
      </c>
      <c r="J573" s="450" t="n">
        <f aca="false">J572+0.5*(vit_x+G572)*pas*(K572&gt;=0)</f>
        <v>655.34473643295</v>
      </c>
      <c r="K573" s="451" t="n">
        <f aca="false">K572+0.5*(vit_z+H572)*pas</f>
        <v>1360.74403553918</v>
      </c>
      <c r="L573" s="449" t="n">
        <f aca="false">SQRT(pos_x^2+pos_z^2)</f>
        <v>1510.33143840212</v>
      </c>
      <c r="M573" s="450" t="n">
        <f aca="false">IF(AND(L572&gt;L_rampe,G573&gt;0),ATAN2(G573,H573),$M$4)</f>
        <v>-0.875559688236633</v>
      </c>
      <c r="N573" s="449" t="n">
        <f aca="false">DEGREES(Beta)</f>
        <v>-50.1658748477492</v>
      </c>
      <c r="O573" s="438"/>
      <c r="P573" s="452" t="n">
        <f aca="false">MATCH(t-pas/2-T_ini,CdP_t)</f>
        <v>23</v>
      </c>
      <c r="Q573" s="449" t="n">
        <f aca="false">(INDEX(CdP,2,i_P+1)-INDEX(CdP,2,i_P+0))/(INDEX(CdP,1,i_P+1)-INDEX(CdP,1,i_P+0))*(t-pas/2-T_ini-INDEX(CdP,1,i_P+0))+INDEX(CdP,2,i_P+0)</f>
        <v>0</v>
      </c>
      <c r="R573" s="450" t="n">
        <f aca="false">Poussee/(g*ISP)</f>
        <v>0</v>
      </c>
      <c r="S573" s="451" t="n">
        <f aca="false">S572-Débit*pas</f>
        <v>8.652</v>
      </c>
      <c r="T573" s="449" t="n">
        <f aca="false">m*g</f>
        <v>84.87612</v>
      </c>
      <c r="U573" s="453" t="n">
        <f aca="false">IF(pos_xz&lt;L_rampe,Poids*COS(Beta),0)</f>
        <v>0</v>
      </c>
      <c r="V573" s="450" t="n">
        <f aca="false">Rho_moyen*(20000-Alt_rampe-pos_z)/(20000+Alt_rampe+pos_z)</f>
        <v>1.06892758597152</v>
      </c>
      <c r="W573" s="449" t="n">
        <f aca="false">1/2*Rho*Sref*Cx*vit_xz^2</f>
        <v>4.79637285780649</v>
      </c>
      <c r="X573" s="438"/>
      <c r="Y573" s="454" t="str">
        <f aca="false">IF(AND(pos_z&lt;=0,K572&gt;0),"Impact balistique","") &amp; IF(AND(H574&lt;0,vit_z&gt;=0),"Apogée","") &amp; IF(AND(Poussee=0,Q572&gt;0),"Fin de propulsion","") &amp; IF(AND(L574&gt;L_rampe,pos_xz&lt;=L_rampe),"Sortie de rampe","")</f>
        <v/>
      </c>
      <c r="Z573" s="455" t="str">
        <f aca="false">IF(ABS(t-T_para)&lt;pas/2,"Para","")</f>
        <v/>
      </c>
      <c r="AA573" s="456" t="str">
        <f aca="false">IF(ABS(t-T_satellite)&lt;pas/2,"Satellite","")</f>
        <v/>
      </c>
      <c r="AB573" s="444"/>
      <c r="AC573" s="452" t="e">
        <f aca="false">IF(ABS(t-ROUND(t,0))&lt;0.001,t,NA())</f>
        <v>#N/A</v>
      </c>
      <c r="AD573" s="457" t="e">
        <f aca="false">IF(ABS(t-ROUND(t,0))&lt;0.001,pos_x,NA())</f>
        <v>#N/A</v>
      </c>
      <c r="AE573" s="458" t="e">
        <f aca="false">IF(t&lt;T_para, pos_z, NA())</f>
        <v>#N/A</v>
      </c>
      <c r="AF573" s="444"/>
      <c r="AG573" s="450" t="n">
        <f aca="false">IF(AND(L572&lt;L_rampe,Poussee&lt;Poids*SIN(M572)),0,(-W572+Poussee)/m-Poids*SIN(M572)/m)</f>
        <v>6.90580620355367</v>
      </c>
      <c r="AH573" s="449" t="n">
        <f aca="false">IF(AND(L572&lt;L_rampe,Poussee&lt;Poids*SIN(M572)), g*SIN(M572), (-W572+Poussee)/m)</f>
        <v>-0.537158485691083</v>
      </c>
    </row>
    <row r="574" customFormat="false" ht="12" hidden="false" customHeight="false" outlineLevel="0" collapsed="false">
      <c r="A574" s="448" t="n">
        <f aca="false">IF(B573+0.01&lt;=T_ini+ROUNDUP(Temps_fin_propu,0), 0.01, IF(K573&gt;0, 0.1, 0.0001))</f>
        <v>0.1</v>
      </c>
      <c r="B574" s="449" t="n">
        <f aca="false">B573+pas</f>
        <v>21</v>
      </c>
      <c r="C574" s="432"/>
      <c r="D574" s="450" t="n">
        <f aca="false">IF(AND(L573&lt;L_rampe,Poussee&lt;Poids*SIN(M573)),0,(-W573+Poussee)/m*COS(M573)-U573/m*SIN(M573))</f>
        <v>-0.355108529916338</v>
      </c>
      <c r="E574" s="451" t="n">
        <f aca="false">IF(AND(L573&lt;L_rampe,Poussee&lt;Poids*SIN(M573)),0,(-W573+Poussee)/m*SIN(M573)+U573/m*COS(M573)-Poids/m)</f>
        <v>-9.38430131950137</v>
      </c>
      <c r="F574" s="449" t="n">
        <f aca="false">SQRT(acc_x^2+acc_z^2)</f>
        <v>9.39101769369085</v>
      </c>
      <c r="G574" s="450" t="n">
        <f aca="false">G573+acc_x*pas</f>
        <v>28.740387174747</v>
      </c>
      <c r="H574" s="451" t="n">
        <f aca="false">H573+acc_z*pas</f>
        <v>-35.4345370642656</v>
      </c>
      <c r="I574" s="449" t="n">
        <f aca="false">SQRT(vit_x^2+vit_z^2)</f>
        <v>45.6247331160761</v>
      </c>
      <c r="J574" s="450" t="n">
        <f aca="false">J573+0.5*(vit_x+G573)*pas*(K573&gt;=0)</f>
        <v>658.220550693074</v>
      </c>
      <c r="K574" s="451" t="n">
        <f aca="false">K573+0.5*(vit_z+H573)*pas</f>
        <v>1357.24750333935</v>
      </c>
      <c r="L574" s="449" t="n">
        <f aca="false">SQRT(pos_x^2+pos_z^2)</f>
        <v>1508.43464514562</v>
      </c>
      <c r="M574" s="450" t="n">
        <f aca="false">IF(AND(L573&gt;L_rampe,G574&gt;0),ATAN2(G574,H574),$M$4)</f>
        <v>-0.889333276003299</v>
      </c>
      <c r="N574" s="449" t="n">
        <f aca="false">DEGREES(Beta)</f>
        <v>-50.9550432955322</v>
      </c>
      <c r="O574" s="438"/>
      <c r="P574" s="452" t="n">
        <f aca="false">MATCH(t-pas/2-T_ini,CdP_t)</f>
        <v>23</v>
      </c>
      <c r="Q574" s="449" t="n">
        <f aca="false">(INDEX(CdP,2,i_P+1)-INDEX(CdP,2,i_P+0))/(INDEX(CdP,1,i_P+1)-INDEX(CdP,1,i_P+0))*(t-pas/2-T_ini-INDEX(CdP,1,i_P+0))+INDEX(CdP,2,i_P+0)</f>
        <v>0</v>
      </c>
      <c r="R574" s="450" t="n">
        <f aca="false">Poussee/(g*ISP)</f>
        <v>0</v>
      </c>
      <c r="S574" s="451" t="n">
        <f aca="false">S573-Débit*pas</f>
        <v>8.652</v>
      </c>
      <c r="T574" s="449" t="n">
        <f aca="false">m*g</f>
        <v>84.87612</v>
      </c>
      <c r="U574" s="453" t="n">
        <f aca="false">IF(pos_xz&lt;L_rampe,Poids*COS(Beta),0)</f>
        <v>0</v>
      </c>
      <c r="V574" s="450" t="n">
        <f aca="false">Rho_moyen*(20000-Alt_rampe-pos_z)/(20000+Alt_rampe+pos_z)</f>
        <v>1.06930313959411</v>
      </c>
      <c r="W574" s="449" t="n">
        <f aca="false">1/2*Rho*Sref*Cx*vit_xz^2</f>
        <v>4.94923132498671</v>
      </c>
      <c r="X574" s="438"/>
      <c r="Y574" s="454" t="str">
        <f aca="false">IF(AND(pos_z&lt;=0,K573&gt;0),"Impact balistique","") &amp; IF(AND(H575&lt;0,vit_z&gt;=0),"Apogée","") &amp; IF(AND(Poussee=0,Q573&gt;0),"Fin de propulsion","") &amp; IF(AND(L575&gt;L_rampe,pos_xz&lt;=L_rampe),"Sortie de rampe","")</f>
        <v/>
      </c>
      <c r="Z574" s="455" t="str">
        <f aca="false">IF(ABS(t-T_para)&lt;pas/2,"Para","")</f>
        <v/>
      </c>
      <c r="AA574" s="456" t="str">
        <f aca="false">IF(ABS(t-T_satellite)&lt;pas/2,"Satellite","")</f>
        <v/>
      </c>
      <c r="AB574" s="444"/>
      <c r="AC574" s="452" t="n">
        <f aca="false">IF(ABS(t-ROUND(t,0))&lt;0.001,t,NA())</f>
        <v>21</v>
      </c>
      <c r="AD574" s="457" t="n">
        <f aca="false">IF(ABS(t-ROUND(t,0))&lt;0.001,pos_x,NA())</f>
        <v>658.220550693074</v>
      </c>
      <c r="AE574" s="458" t="e">
        <f aca="false">IF(t&lt;T_para, pos_z, NA())</f>
        <v>#N/A</v>
      </c>
      <c r="AF574" s="444"/>
      <c r="AG574" s="450" t="n">
        <f aca="false">IF(AND(L573&lt;L_rampe,Poussee&lt;Poids*SIN(M573)),0,(-W573+Poussee)/m-Poids*SIN(M573)/m)</f>
        <v>6.97875420240212</v>
      </c>
      <c r="AH574" s="449" t="n">
        <f aca="false">IF(AND(L573&lt;L_rampe,Poussee&lt;Poids*SIN(M573)), g*SIN(M573), (-W573+Poussee)/m)</f>
        <v>-0.554365794938337</v>
      </c>
    </row>
    <row r="575" customFormat="false" ht="12" hidden="false" customHeight="false" outlineLevel="0" collapsed="false">
      <c r="A575" s="448" t="n">
        <f aca="false">IF(B574+0.01&lt;=T_ini+ROUNDUP(Temps_fin_propu,0), 0.01, IF(K574&gt;0, 0.1, 0.0001))</f>
        <v>0.1</v>
      </c>
      <c r="B575" s="449" t="n">
        <f aca="false">B574+pas</f>
        <v>21.1</v>
      </c>
      <c r="C575" s="432"/>
      <c r="D575" s="450" t="n">
        <f aca="false">IF(AND(L574&lt;L_rampe,Poussee&lt;Poids*SIN(M574)),0,(-W574+Poussee)/m*COS(M574)-U574/m*SIN(M574))</f>
        <v>-0.360340867398246</v>
      </c>
      <c r="E575" s="451" t="n">
        <f aca="false">IF(AND(L574&lt;L_rampe,Poussee&lt;Poids*SIN(M574)),0,(-W574+Poussee)/m*SIN(M574)+U574/m*COS(M574)-Poids/m)</f>
        <v>-9.36572930371613</v>
      </c>
      <c r="F575" s="449" t="n">
        <f aca="false">SQRT(acc_x^2+acc_z^2)</f>
        <v>9.37265869063866</v>
      </c>
      <c r="G575" s="450" t="n">
        <f aca="false">G574+acc_x*pas</f>
        <v>28.7043530880071</v>
      </c>
      <c r="H575" s="451" t="n">
        <f aca="false">H574+acc_z*pas</f>
        <v>-36.3711099946372</v>
      </c>
      <c r="I575" s="449" t="n">
        <f aca="false">SQRT(vit_x^2+vit_z^2)</f>
        <v>46.333546469518</v>
      </c>
      <c r="J575" s="450" t="n">
        <f aca="false">J574+0.5*(vit_x+G574)*pas*(K574&gt;=0)</f>
        <v>661.092787706212</v>
      </c>
      <c r="K575" s="451" t="n">
        <f aca="false">K574+0.5*(vit_z+H574)*pas</f>
        <v>1353.65722098641</v>
      </c>
      <c r="L575" s="449" t="n">
        <f aca="false">SQRT(pos_x^2+pos_z^2)</f>
        <v>1506.46325739654</v>
      </c>
      <c r="M575" s="450" t="n">
        <f aca="false">IF(AND(L574&gt;L_rampe,G575&gt;0),ATAN2(G575,H575),$M$4)</f>
        <v>-0.902670904539286</v>
      </c>
      <c r="N575" s="449" t="n">
        <f aca="false">DEGREES(Beta)</f>
        <v>-51.7192331193575</v>
      </c>
      <c r="O575" s="438"/>
      <c r="P575" s="452" t="n">
        <f aca="false">MATCH(t-pas/2-T_ini,CdP_t)</f>
        <v>23</v>
      </c>
      <c r="Q575" s="449" t="n">
        <f aca="false">(INDEX(CdP,2,i_P+1)-INDEX(CdP,2,i_P+0))/(INDEX(CdP,1,i_P+1)-INDEX(CdP,1,i_P+0))*(t-pas/2-T_ini-INDEX(CdP,1,i_P+0))+INDEX(CdP,2,i_P+0)</f>
        <v>0</v>
      </c>
      <c r="R575" s="450" t="n">
        <f aca="false">Poussee/(g*ISP)</f>
        <v>0</v>
      </c>
      <c r="S575" s="451" t="n">
        <f aca="false">S574-Débit*pas</f>
        <v>8.652</v>
      </c>
      <c r="T575" s="449" t="n">
        <f aca="false">m*g</f>
        <v>84.87612</v>
      </c>
      <c r="U575" s="453" t="n">
        <f aca="false">IF(pos_xz&lt;L_rampe,Poids*COS(Beta),0)</f>
        <v>0</v>
      </c>
      <c r="V575" s="450" t="n">
        <f aca="false">Rho_moyen*(20000-Alt_rampe-pos_z)/(20000+Alt_rampe+pos_z)</f>
        <v>1.06968889066191</v>
      </c>
      <c r="W575" s="449" t="n">
        <f aca="false">1/2*Rho*Sref*Cx*vit_xz^2</f>
        <v>5.10604701119354</v>
      </c>
      <c r="X575" s="438"/>
      <c r="Y575" s="454" t="str">
        <f aca="false">IF(AND(pos_z&lt;=0,K574&gt;0),"Impact balistique","") &amp; IF(AND(H576&lt;0,vit_z&gt;=0),"Apogée","") &amp; IF(AND(Poussee=0,Q574&gt;0),"Fin de propulsion","") &amp; IF(AND(L576&gt;L_rampe,pos_xz&lt;=L_rampe),"Sortie de rampe","")</f>
        <v/>
      </c>
      <c r="Z575" s="455" t="str">
        <f aca="false">IF(ABS(t-T_para)&lt;pas/2,"Para","")</f>
        <v/>
      </c>
      <c r="AA575" s="456" t="str">
        <f aca="false">IF(ABS(t-T_satellite)&lt;pas/2,"Satellite","")</f>
        <v/>
      </c>
      <c r="AB575" s="444"/>
      <c r="AC575" s="452" t="e">
        <f aca="false">IF(ABS(t-ROUND(t,0))&lt;0.001,t,NA())</f>
        <v>#N/A</v>
      </c>
      <c r="AD575" s="457" t="e">
        <f aca="false">IF(ABS(t-ROUND(t,0))&lt;0.001,pos_x,NA())</f>
        <v>#N/A</v>
      </c>
      <c r="AE575" s="458" t="e">
        <f aca="false">IF(t&lt;T_para, pos_z, NA())</f>
        <v>#N/A</v>
      </c>
      <c r="AF575" s="444"/>
      <c r="AG575" s="450" t="n">
        <f aca="false">IF(AND(L574&lt;L_rampe,Poussee&lt;Poids*SIN(M574)),0,(-W574+Poussee)/m-Poids*SIN(M574)/m)</f>
        <v>7.04692223151243</v>
      </c>
      <c r="AH575" s="449" t="n">
        <f aca="false">IF(AND(L574&lt;L_rampe,Poussee&lt;Poids*SIN(M574)), g*SIN(M574), (-W574+Poussee)/m)</f>
        <v>-0.572033209083068</v>
      </c>
    </row>
    <row r="576" customFormat="false" ht="12" hidden="false" customHeight="false" outlineLevel="0" collapsed="false">
      <c r="A576" s="448" t="n">
        <f aca="false">IF(B575+0.01&lt;=T_ini+ROUNDUP(Temps_fin_propu,0), 0.01, IF(K575&gt;0, 0.1, 0.0001))</f>
        <v>0.1</v>
      </c>
      <c r="B576" s="449" t="n">
        <f aca="false">B575+pas</f>
        <v>21.2</v>
      </c>
      <c r="C576" s="432"/>
      <c r="D576" s="450" t="n">
        <f aca="false">IF(AND(L575&lt;L_rampe,Poussee&lt;Poids*SIN(M575)),0,(-W575+Poussee)/m*COS(M575)-U575/m*SIN(M575))</f>
        <v>-0.365612064790044</v>
      </c>
      <c r="E576" s="451" t="n">
        <f aca="false">IF(AND(L575&lt;L_rampe,Poussee&lt;Poids*SIN(M575)),0,(-W575+Poussee)/m*SIN(M575)+U575/m*COS(M575)-Poids/m)</f>
        <v>-9.3467351919385</v>
      </c>
      <c r="F576" s="449" t="n">
        <f aca="false">SQRT(acc_x^2+acc_z^2)</f>
        <v>9.35388320058262</v>
      </c>
      <c r="G576" s="450" t="n">
        <f aca="false">G575+acc_x*pas</f>
        <v>28.6677918815281</v>
      </c>
      <c r="H576" s="451" t="n">
        <f aca="false">H575+acc_z*pas</f>
        <v>-37.3057835138311</v>
      </c>
      <c r="I576" s="449" t="n">
        <f aca="false">SQRT(vit_x^2+vit_z^2)</f>
        <v>47.048525746759</v>
      </c>
      <c r="J576" s="450" t="n">
        <f aca="false">J575+0.5*(vit_x+G575)*pas*(K575&gt;=0)</f>
        <v>663.961394954689</v>
      </c>
      <c r="K576" s="451" t="n">
        <f aca="false">K575+0.5*(vit_z+H575)*pas</f>
        <v>1349.97337631098</v>
      </c>
      <c r="L576" s="449" t="n">
        <f aca="false">SQRT(pos_x^2+pos_z^2)</f>
        <v>1504.41777799209</v>
      </c>
      <c r="M576" s="450" t="n">
        <f aca="false">IF(AND(L575&gt;L_rampe,G576&gt;0),ATAN2(G576,H576),$M$4)</f>
        <v>-0.91558866677337</v>
      </c>
      <c r="N576" s="449" t="n">
        <f aca="false">DEGREES(Beta)</f>
        <v>-52.459366376124</v>
      </c>
      <c r="O576" s="438"/>
      <c r="P576" s="452" t="n">
        <f aca="false">MATCH(t-pas/2-T_ini,CdP_t)</f>
        <v>23</v>
      </c>
      <c r="Q576" s="449" t="n">
        <f aca="false">(INDEX(CdP,2,i_P+1)-INDEX(CdP,2,i_P+0))/(INDEX(CdP,1,i_P+1)-INDEX(CdP,1,i_P+0))*(t-pas/2-T_ini-INDEX(CdP,1,i_P+0))+INDEX(CdP,2,i_P+0)</f>
        <v>0</v>
      </c>
      <c r="R576" s="450" t="n">
        <f aca="false">Poussee/(g*ISP)</f>
        <v>0</v>
      </c>
      <c r="S576" s="451" t="n">
        <f aca="false">S575-Débit*pas</f>
        <v>8.652</v>
      </c>
      <c r="T576" s="449" t="n">
        <f aca="false">m*g</f>
        <v>84.87612</v>
      </c>
      <c r="U576" s="453" t="n">
        <f aca="false">IF(pos_xz&lt;L_rampe,Poids*COS(Beta),0)</f>
        <v>0</v>
      </c>
      <c r="V576" s="450" t="n">
        <f aca="false">Rho_moyen*(20000-Alt_rampe-pos_z)/(20000+Alt_rampe+pos_z)</f>
        <v>1.07008482920959</v>
      </c>
      <c r="W576" s="449" t="n">
        <f aca="false">1/2*Rho*Sref*Cx*vit_xz^2</f>
        <v>5.26679582884523</v>
      </c>
      <c r="X576" s="438"/>
      <c r="Y576" s="454" t="str">
        <f aca="false">IF(AND(pos_z&lt;=0,K575&gt;0),"Impact balistique","") &amp; IF(AND(H577&lt;0,vit_z&gt;=0),"Apogée","") &amp; IF(AND(Poussee=0,Q575&gt;0),"Fin de propulsion","") &amp; IF(AND(L577&gt;L_rampe,pos_xz&lt;=L_rampe),"Sortie de rampe","")</f>
        <v/>
      </c>
      <c r="Z576" s="455" t="str">
        <f aca="false">IF(ABS(t-T_para)&lt;pas/2,"Para","")</f>
        <v/>
      </c>
      <c r="AA576" s="456" t="str">
        <f aca="false">IF(ABS(t-T_satellite)&lt;pas/2,"Satellite","")</f>
        <v/>
      </c>
      <c r="AB576" s="444"/>
      <c r="AC576" s="452" t="e">
        <f aca="false">IF(ABS(t-ROUND(t,0))&lt;0.001,t,NA())</f>
        <v>#N/A</v>
      </c>
      <c r="AD576" s="457" t="e">
        <f aca="false">IF(ABS(t-ROUND(t,0))&lt;0.001,pos_x,NA())</f>
        <v>#N/A</v>
      </c>
      <c r="AE576" s="458" t="e">
        <f aca="false">IF(t&lt;T_para, pos_z, NA())</f>
        <v>#N/A</v>
      </c>
      <c r="AF576" s="444"/>
      <c r="AG576" s="450" t="n">
        <f aca="false">IF(AND(L575&lt;L_rampe,Poussee&lt;Poids*SIN(M575)),0,(-W575+Poussee)/m-Poids*SIN(M575)/m)</f>
        <v>7.11053871459023</v>
      </c>
      <c r="AH576" s="449" t="n">
        <f aca="false">IF(AND(L575&lt;L_rampe,Poussee&lt;Poids*SIN(M575)), g*SIN(M575), (-W575+Poussee)/m)</f>
        <v>-0.590157999444468</v>
      </c>
    </row>
    <row r="577" customFormat="false" ht="12" hidden="false" customHeight="false" outlineLevel="0" collapsed="false">
      <c r="A577" s="448" t="n">
        <f aca="false">IF(B576+0.01&lt;=T_ini+ROUNDUP(Temps_fin_propu,0), 0.01, IF(K576&gt;0, 0.1, 0.0001))</f>
        <v>0.1</v>
      </c>
      <c r="B577" s="449" t="n">
        <f aca="false">B576+pas</f>
        <v>21.3</v>
      </c>
      <c r="C577" s="432"/>
      <c r="D577" s="450" t="n">
        <f aca="false">IF(AND(L576&lt;L_rampe,Poussee&lt;Poids*SIN(M576)),0,(-W576+Poussee)/m*COS(M576)-U576/m*SIN(M576))</f>
        <v>-0.370918244513954</v>
      </c>
      <c r="E577" s="451" t="n">
        <f aca="false">IF(AND(L576&lt;L_rampe,Poussee&lt;Poids*SIN(M576)),0,(-W576+Poussee)/m*SIN(M576)+U576/m*COS(M576)-Poids/m)</f>
        <v>-9.32731909494976</v>
      </c>
      <c r="F577" s="449" t="n">
        <f aca="false">SQRT(acc_x^2+acc_z^2)</f>
        <v>9.33469130947177</v>
      </c>
      <c r="G577" s="450" t="n">
        <f aca="false">G576+acc_x*pas</f>
        <v>28.6307000570767</v>
      </c>
      <c r="H577" s="451" t="n">
        <f aca="false">H576+acc_z*pas</f>
        <v>-38.2385154233261</v>
      </c>
      <c r="I577" s="449" t="n">
        <f aca="false">SQRT(vit_x^2+vit_z^2)</f>
        <v>47.7692479272831</v>
      </c>
      <c r="J577" s="450" t="n">
        <f aca="false">J576+0.5*(vit_x+G576)*pas*(K576&gt;=0)</f>
        <v>666.826319551619</v>
      </c>
      <c r="K577" s="451" t="n">
        <f aca="false">K576+0.5*(vit_z+H576)*pas</f>
        <v>1346.19616136412</v>
      </c>
      <c r="L577" s="449" t="n">
        <f aca="false">SQRT(pos_x^2+pos_z^2)</f>
        <v>1502.29872040093</v>
      </c>
      <c r="M577" s="450" t="n">
        <f aca="false">IF(AND(L576&gt;L_rampe,G577&gt;0),ATAN2(G577,H577),$M$4)</f>
        <v>-0.928102206057547</v>
      </c>
      <c r="N577" s="449" t="n">
        <f aca="false">DEGREES(Beta)</f>
        <v>-53.1763393638785</v>
      </c>
      <c r="O577" s="438"/>
      <c r="P577" s="452" t="n">
        <f aca="false">MATCH(t-pas/2-T_ini,CdP_t)</f>
        <v>23</v>
      </c>
      <c r="Q577" s="449" t="n">
        <f aca="false">(INDEX(CdP,2,i_P+1)-INDEX(CdP,2,i_P+0))/(INDEX(CdP,1,i_P+1)-INDEX(CdP,1,i_P+0))*(t-pas/2-T_ini-INDEX(CdP,1,i_P+0))+INDEX(CdP,2,i_P+0)</f>
        <v>0</v>
      </c>
      <c r="R577" s="450" t="n">
        <f aca="false">Poussee/(g*ISP)</f>
        <v>0</v>
      </c>
      <c r="S577" s="451" t="n">
        <f aca="false">S576-Débit*pas</f>
        <v>8.652</v>
      </c>
      <c r="T577" s="449" t="n">
        <f aca="false">m*g</f>
        <v>84.87612</v>
      </c>
      <c r="U577" s="453" t="n">
        <f aca="false">IF(pos_xz&lt;L_rampe,Poids*COS(Beta),0)</f>
        <v>0</v>
      </c>
      <c r="V577" s="450" t="n">
        <f aca="false">Rho_moyen*(20000-Alt_rampe-pos_z)/(20000+Alt_rampe+pos_z)</f>
        <v>1.07049094506535</v>
      </c>
      <c r="W577" s="449" t="n">
        <f aca="false">1/2*Rho*Sref*Cx*vit_xz^2</f>
        <v>5.43145321232187</v>
      </c>
      <c r="X577" s="438"/>
      <c r="Y577" s="454" t="str">
        <f aca="false">IF(AND(pos_z&lt;=0,K576&gt;0),"Impact balistique","") &amp; IF(AND(H578&lt;0,vit_z&gt;=0),"Apogée","") &amp; IF(AND(Poussee=0,Q576&gt;0),"Fin de propulsion","") &amp; IF(AND(L578&gt;L_rampe,pos_xz&lt;=L_rampe),"Sortie de rampe","")</f>
        <v/>
      </c>
      <c r="Z577" s="455" t="str">
        <f aca="false">IF(ABS(t-T_para)&lt;pas/2,"Para","")</f>
        <v/>
      </c>
      <c r="AA577" s="456" t="str">
        <f aca="false">IF(ABS(t-T_satellite)&lt;pas/2,"Satellite","")</f>
        <v/>
      </c>
      <c r="AB577" s="444"/>
      <c r="AC577" s="452" t="e">
        <f aca="false">IF(ABS(t-ROUND(t,0))&lt;0.001,t,NA())</f>
        <v>#N/A</v>
      </c>
      <c r="AD577" s="457" t="e">
        <f aca="false">IF(ABS(t-ROUND(t,0))&lt;0.001,pos_x,NA())</f>
        <v>#N/A</v>
      </c>
      <c r="AE577" s="458" t="e">
        <f aca="false">IF(t&lt;T_para, pos_z, NA())</f>
        <v>#N/A</v>
      </c>
      <c r="AF577" s="444"/>
      <c r="AG577" s="450" t="n">
        <f aca="false">IF(AND(L576&lt;L_rampe,Poussee&lt;Poids*SIN(M576)),0,(-W576+Poussee)/m-Poids*SIN(M576)/m)</f>
        <v>7.16982167937682</v>
      </c>
      <c r="AH577" s="449" t="n">
        <f aca="false">IF(AND(L576&lt;L_rampe,Poussee&lt;Poids*SIN(M576)), g*SIN(M576), (-W576+Poussee)/m)</f>
        <v>-0.608737381974715</v>
      </c>
    </row>
    <row r="578" customFormat="false" ht="12" hidden="false" customHeight="false" outlineLevel="0" collapsed="false">
      <c r="A578" s="448" t="n">
        <f aca="false">IF(B577+0.01&lt;=T_ini+ROUNDUP(Temps_fin_propu,0), 0.01, IF(K577&gt;0, 0.1, 0.0001))</f>
        <v>0.1</v>
      </c>
      <c r="B578" s="449" t="n">
        <f aca="false">B577+pas</f>
        <v>21.4</v>
      </c>
      <c r="C578" s="432"/>
      <c r="D578" s="450" t="n">
        <f aca="false">IF(AND(L577&lt;L_rampe,Poussee&lt;Poids*SIN(M577)),0,(-W577+Poussee)/m*COS(M577)-U577/m*SIN(M577))</f>
        <v>-0.37625570646575</v>
      </c>
      <c r="E578" s="451" t="n">
        <f aca="false">IF(AND(L577&lt;L_rampe,Poussee&lt;Poids*SIN(M577)),0,(-W577+Poussee)/m*SIN(M577)+U577/m*COS(M577)-Poids/m)</f>
        <v>-9.30748138864496</v>
      </c>
      <c r="F578" s="449" t="n">
        <f aca="false">SQRT(acc_x^2+acc_z^2)</f>
        <v>9.31508336820558</v>
      </c>
      <c r="G578" s="450" t="n">
        <f aca="false">G577+acc_x*pas</f>
        <v>28.5930744864302</v>
      </c>
      <c r="H578" s="451" t="n">
        <f aca="false">H577+acc_z*pas</f>
        <v>-39.1692635621906</v>
      </c>
      <c r="I578" s="449" t="n">
        <f aca="false">SQRT(vit_x^2+vit_z^2)</f>
        <v>48.4953102535791</v>
      </c>
      <c r="J578" s="450" t="n">
        <f aca="false">J577+0.5*(vit_x+G577)*pas*(K577&gt;=0)</f>
        <v>669.687508278794</v>
      </c>
      <c r="K578" s="451" t="n">
        <f aca="false">K577+0.5*(vit_z+H577)*pas</f>
        <v>1342.32577241485</v>
      </c>
      <c r="L578" s="449" t="n">
        <f aca="false">SQRT(pos_x^2+pos_z^2)</f>
        <v>1500.10660888944</v>
      </c>
      <c r="M578" s="450" t="n">
        <f aca="false">IF(AND(L577&gt;L_rampe,G578&gt;0),ATAN2(G578,H578),$M$4)</f>
        <v>-0.940226695762954</v>
      </c>
      <c r="N578" s="449" t="n">
        <f aca="false">DEGREES(Beta)</f>
        <v>-53.8710214527481</v>
      </c>
      <c r="O578" s="438"/>
      <c r="P578" s="452" t="n">
        <f aca="false">MATCH(t-pas/2-T_ini,CdP_t)</f>
        <v>23</v>
      </c>
      <c r="Q578" s="449" t="n">
        <f aca="false">(INDEX(CdP,2,i_P+1)-INDEX(CdP,2,i_P+0))/(INDEX(CdP,1,i_P+1)-INDEX(CdP,1,i_P+0))*(t-pas/2-T_ini-INDEX(CdP,1,i_P+0))+INDEX(CdP,2,i_P+0)</f>
        <v>0</v>
      </c>
      <c r="R578" s="450" t="n">
        <f aca="false">Poussee/(g*ISP)</f>
        <v>0</v>
      </c>
      <c r="S578" s="451" t="n">
        <f aca="false">S577-Débit*pas</f>
        <v>8.652</v>
      </c>
      <c r="T578" s="449" t="n">
        <f aca="false">m*g</f>
        <v>84.87612</v>
      </c>
      <c r="U578" s="453" t="n">
        <f aca="false">IF(pos_xz&lt;L_rampe,Poids*COS(Beta),0)</f>
        <v>0</v>
      </c>
      <c r="V578" s="450" t="n">
        <f aca="false">Rho_moyen*(20000-Alt_rampe-pos_z)/(20000+Alt_rampe+pos_z)</f>
        <v>1.07090722784922</v>
      </c>
      <c r="W578" s="449" t="n">
        <f aca="false">1/2*Rho*Sref*Cx*vit_xz^2</f>
        <v>5.59999411948866</v>
      </c>
      <c r="X578" s="438"/>
      <c r="Y578" s="454" t="str">
        <f aca="false">IF(AND(pos_z&lt;=0,K577&gt;0),"Impact balistique","") &amp; IF(AND(H579&lt;0,vit_z&gt;=0),"Apogée","") &amp; IF(AND(Poussee=0,Q577&gt;0),"Fin de propulsion","") &amp; IF(AND(L579&gt;L_rampe,pos_xz&lt;=L_rampe),"Sortie de rampe","")</f>
        <v/>
      </c>
      <c r="Z578" s="455" t="str">
        <f aca="false">IF(ABS(t-T_para)&lt;pas/2,"Para","")</f>
        <v/>
      </c>
      <c r="AA578" s="456" t="str">
        <f aca="false">IF(ABS(t-T_satellite)&lt;pas/2,"Satellite","")</f>
        <v/>
      </c>
      <c r="AB578" s="444"/>
      <c r="AC578" s="452" t="e">
        <f aca="false">IF(ABS(t-ROUND(t,0))&lt;0.001,t,NA())</f>
        <v>#N/A</v>
      </c>
      <c r="AD578" s="457" t="e">
        <f aca="false">IF(ABS(t-ROUND(t,0))&lt;0.001,pos_x,NA())</f>
        <v>#N/A</v>
      </c>
      <c r="AE578" s="458" t="e">
        <f aca="false">IF(t&lt;T_para, pos_z, NA())</f>
        <v>#N/A</v>
      </c>
      <c r="AF578" s="444"/>
      <c r="AG578" s="450" t="n">
        <f aca="false">IF(AND(L577&lt;L_rampe,Poussee&lt;Poids*SIN(M577)),0,(-W577+Poussee)/m-Poids*SIN(M577)/m)</f>
        <v>7.22497885838216</v>
      </c>
      <c r="AH578" s="449" t="n">
        <f aca="false">IF(AND(L577&lt;L_rampe,Poussee&lt;Poids*SIN(M577)), g*SIN(M577), (-W577+Poussee)/m)</f>
        <v>-0.627768517374234</v>
      </c>
    </row>
    <row r="579" customFormat="false" ht="12" hidden="false" customHeight="false" outlineLevel="0" collapsed="false">
      <c r="A579" s="448" t="n">
        <f aca="false">IF(B578+0.01&lt;=T_ini+ROUNDUP(Temps_fin_propu,0), 0.01, IF(K578&gt;0, 0.1, 0.0001))</f>
        <v>0.1</v>
      </c>
      <c r="B579" s="449" t="n">
        <f aca="false">B578+pas</f>
        <v>21.5</v>
      </c>
      <c r="C579" s="432"/>
      <c r="D579" s="450" t="n">
        <f aca="false">IF(AND(L578&lt;L_rampe,Poussee&lt;Poids*SIN(M578)),0,(-W578+Poussee)/m*COS(M578)-U578/m*SIN(M578))</f>
        <v>-0.381620919572202</v>
      </c>
      <c r="E579" s="451" t="n">
        <f aca="false">IF(AND(L578&lt;L_rampe,Poussee&lt;Poids*SIN(M578)),0,(-W578+Poussee)/m*SIN(M578)+U578/m*COS(M578)-Poids/m)</f>
        <v>-9.28722269647277</v>
      </c>
      <c r="F579" s="449" t="n">
        <f aca="false">SQRT(acc_x^2+acc_z^2)</f>
        <v>9.29505997506924</v>
      </c>
      <c r="G579" s="450" t="n">
        <f aca="false">G578+acc_x*pas</f>
        <v>28.5549123944729</v>
      </c>
      <c r="H579" s="451" t="n">
        <f aca="false">H578+acc_z*pas</f>
        <v>-40.0979858318378</v>
      </c>
      <c r="I579" s="449" t="n">
        <f aca="false">SQRT(vit_x^2+vit_z^2)</f>
        <v>49.2263292316855</v>
      </c>
      <c r="J579" s="450" t="n">
        <f aca="false">J578+0.5*(vit_x+G578)*pas*(K578&gt;=0)</f>
        <v>672.544907622839</v>
      </c>
      <c r="K579" s="451" t="n">
        <f aca="false">K578+0.5*(vit_z+H578)*pas</f>
        <v>1338.36240994515</v>
      </c>
      <c r="L579" s="449" t="n">
        <f aca="false">SQRT(pos_x^2+pos_z^2)</f>
        <v>1497.84197868921</v>
      </c>
      <c r="M579" s="450" t="n">
        <f aca="false">IF(AND(L578&gt;L_rampe,G579&gt;0),ATAN2(G579,H579),$M$4)</f>
        <v>-0.951976825517453</v>
      </c>
      <c r="N579" s="449" t="n">
        <f aca="false">DEGREES(Beta)</f>
        <v>-54.544254296412</v>
      </c>
      <c r="O579" s="438"/>
      <c r="P579" s="452" t="n">
        <f aca="false">MATCH(t-pas/2-T_ini,CdP_t)</f>
        <v>23</v>
      </c>
      <c r="Q579" s="449" t="n">
        <f aca="false">(INDEX(CdP,2,i_P+1)-INDEX(CdP,2,i_P+0))/(INDEX(CdP,1,i_P+1)-INDEX(CdP,1,i_P+0))*(t-pas/2-T_ini-INDEX(CdP,1,i_P+0))+INDEX(CdP,2,i_P+0)</f>
        <v>0</v>
      </c>
      <c r="R579" s="450" t="n">
        <f aca="false">Poussee/(g*ISP)</f>
        <v>0</v>
      </c>
      <c r="S579" s="451" t="n">
        <f aca="false">S578-Débit*pas</f>
        <v>8.652</v>
      </c>
      <c r="T579" s="449" t="n">
        <f aca="false">m*g</f>
        <v>84.87612</v>
      </c>
      <c r="U579" s="453" t="n">
        <f aca="false">IF(pos_xz&lt;L_rampe,Poids*COS(Beta),0)</f>
        <v>0</v>
      </c>
      <c r="V579" s="450" t="n">
        <f aca="false">Rho_moyen*(20000-Alt_rampe-pos_z)/(20000+Alt_rampe+pos_z)</f>
        <v>1.07133366697168</v>
      </c>
      <c r="W579" s="449" t="n">
        <f aca="false">1/2*Rho*Sref*Cx*vit_xz^2</f>
        <v>5.7723930337103</v>
      </c>
      <c r="X579" s="438"/>
      <c r="Y579" s="454" t="str">
        <f aca="false">IF(AND(pos_z&lt;=0,K578&gt;0),"Impact balistique","") &amp; IF(AND(H580&lt;0,vit_z&gt;=0),"Apogée","") &amp; IF(AND(Poussee=0,Q578&gt;0),"Fin de propulsion","") &amp; IF(AND(L580&gt;L_rampe,pos_xz&lt;=L_rampe),"Sortie de rampe","")</f>
        <v/>
      </c>
      <c r="Z579" s="455" t="str">
        <f aca="false">IF(ABS(t-T_para)&lt;pas/2,"Para","")</f>
        <v/>
      </c>
      <c r="AA579" s="456" t="str">
        <f aca="false">IF(ABS(t-T_satellite)&lt;pas/2,"Satellite","")</f>
        <v/>
      </c>
      <c r="AB579" s="444"/>
      <c r="AC579" s="452" t="e">
        <f aca="false">IF(ABS(t-ROUND(t,0))&lt;0.001,t,NA())</f>
        <v>#N/A</v>
      </c>
      <c r="AD579" s="457" t="e">
        <f aca="false">IF(ABS(t-ROUND(t,0))&lt;0.001,pos_x,NA())</f>
        <v>#N/A</v>
      </c>
      <c r="AE579" s="458" t="e">
        <f aca="false">IF(t&lt;T_para, pos_z, NA())</f>
        <v>#N/A</v>
      </c>
      <c r="AF579" s="444"/>
      <c r="AG579" s="450" t="n">
        <f aca="false">IF(AND(L578&lt;L_rampe,Poussee&lt;Poids*SIN(M578)),0,(-W578+Poussee)/m-Poids*SIN(M578)/m)</f>
        <v>7.27620787113018</v>
      </c>
      <c r="AH579" s="449" t="n">
        <f aca="false">IF(AND(L578&lt;L_rampe,Poussee&lt;Poids*SIN(M578)), g*SIN(M578), (-W578+Poussee)/m)</f>
        <v>-0.64724851126776</v>
      </c>
    </row>
    <row r="580" customFormat="false" ht="12" hidden="false" customHeight="false" outlineLevel="0" collapsed="false">
      <c r="A580" s="448" t="n">
        <f aca="false">IF(B579+0.01&lt;=T_ini+ROUNDUP(Temps_fin_propu,0), 0.01, IF(K579&gt;0, 0.1, 0.0001))</f>
        <v>0.1</v>
      </c>
      <c r="B580" s="449" t="n">
        <f aca="false">B579+pas</f>
        <v>21.6</v>
      </c>
      <c r="C580" s="432"/>
      <c r="D580" s="450" t="n">
        <f aca="false">IF(AND(L579&lt;L_rampe,Poussee&lt;Poids*SIN(M579)),0,(-W579+Poussee)/m*COS(M579)-U579/m*SIN(M579))</f>
        <v>-0.387010513549002</v>
      </c>
      <c r="E580" s="451" t="n">
        <f aca="false">IF(AND(L579&lt;L_rampe,Poussee&lt;Poids*SIN(M579)),0,(-W579+Poussee)/m*SIN(M579)+U579/m*COS(M579)-Poids/m)</f>
        <v>-9.26654387326841</v>
      </c>
      <c r="F580" s="449" t="n">
        <f aca="false">SQRT(acc_x^2+acc_z^2)</f>
        <v>9.27462195956287</v>
      </c>
      <c r="G580" s="450" t="n">
        <f aca="false">G579+acc_x*pas</f>
        <v>28.516211343118</v>
      </c>
      <c r="H580" s="451" t="n">
        <f aca="false">H579+acc_z*pas</f>
        <v>-41.0246402191647</v>
      </c>
      <c r="I580" s="449" t="n">
        <f aca="false">SQRT(vit_x^2+vit_z^2)</f>
        <v>49.9619396588771</v>
      </c>
      <c r="J580" s="450" t="n">
        <f aca="false">J579+0.5*(vit_x+G579)*pas*(K579&gt;=0)</f>
        <v>675.398463809719</v>
      </c>
      <c r="K580" s="451" t="n">
        <f aca="false">K579+0.5*(vit_z+H579)*pas</f>
        <v>1334.3062786426</v>
      </c>
      <c r="L580" s="449" t="n">
        <f aca="false">SQRT(pos_x^2+pos_z^2)</f>
        <v>1495.50537616606</v>
      </c>
      <c r="M580" s="450" t="n">
        <f aca="false">IF(AND(L579&gt;L_rampe,G580&gt;0),ATAN2(G580,H580),$M$4)</f>
        <v>-0.963366793080642</v>
      </c>
      <c r="N580" s="449" t="n">
        <f aca="false">DEGREES(Beta)</f>
        <v>-55.1968513665737</v>
      </c>
      <c r="O580" s="438"/>
      <c r="P580" s="452" t="n">
        <f aca="false">MATCH(t-pas/2-T_ini,CdP_t)</f>
        <v>23</v>
      </c>
      <c r="Q580" s="449" t="n">
        <f aca="false">(INDEX(CdP,2,i_P+1)-INDEX(CdP,2,i_P+0))/(INDEX(CdP,1,i_P+1)-INDEX(CdP,1,i_P+0))*(t-pas/2-T_ini-INDEX(CdP,1,i_P+0))+INDEX(CdP,2,i_P+0)</f>
        <v>0</v>
      </c>
      <c r="R580" s="450" t="n">
        <f aca="false">Poussee/(g*ISP)</f>
        <v>0</v>
      </c>
      <c r="S580" s="451" t="n">
        <f aca="false">S579-Débit*pas</f>
        <v>8.652</v>
      </c>
      <c r="T580" s="449" t="n">
        <f aca="false">m*g</f>
        <v>84.87612</v>
      </c>
      <c r="U580" s="453" t="n">
        <f aca="false">IF(pos_xz&lt;L_rampe,Poids*COS(Beta),0)</f>
        <v>0</v>
      </c>
      <c r="V580" s="450" t="n">
        <f aca="false">Rho_moyen*(20000-Alt_rampe-pos_z)/(20000+Alt_rampe+pos_z)</f>
        <v>1.07177025163237</v>
      </c>
      <c r="W580" s="449" t="n">
        <f aca="false">1/2*Rho*Sref*Cx*vit_xz^2</f>
        <v>5.94862396632419</v>
      </c>
      <c r="X580" s="438"/>
      <c r="Y580" s="454" t="str">
        <f aca="false">IF(AND(pos_z&lt;=0,K579&gt;0),"Impact balistique","") &amp; IF(AND(H581&lt;0,vit_z&gt;=0),"Apogée","") &amp; IF(AND(Poussee=0,Q579&gt;0),"Fin de propulsion","") &amp; IF(AND(L581&gt;L_rampe,pos_xz&lt;=L_rampe),"Sortie de rampe","")</f>
        <v/>
      </c>
      <c r="Z580" s="455" t="str">
        <f aca="false">IF(ABS(t-T_para)&lt;pas/2,"Para","")</f>
        <v/>
      </c>
      <c r="AA580" s="456" t="str">
        <f aca="false">IF(ABS(t-T_satellite)&lt;pas/2,"Satellite","")</f>
        <v/>
      </c>
      <c r="AB580" s="444"/>
      <c r="AC580" s="452" t="e">
        <f aca="false">IF(ABS(t-ROUND(t,0))&lt;0.001,t,NA())</f>
        <v>#N/A</v>
      </c>
      <c r="AD580" s="457" t="e">
        <f aca="false">IF(ABS(t-ROUND(t,0))&lt;0.001,pos_x,NA())</f>
        <v>#N/A</v>
      </c>
      <c r="AE580" s="458" t="e">
        <f aca="false">IF(t&lt;T_para, pos_z, NA())</f>
        <v>#N/A</v>
      </c>
      <c r="AF580" s="444"/>
      <c r="AG580" s="450" t="n">
        <f aca="false">IF(AND(L579&lt;L_rampe,Poussee&lt;Poids*SIN(M579)),0,(-W579+Poussee)/m-Poids*SIN(M579)/m)</f>
        <v>7.32369647010433</v>
      </c>
      <c r="AH580" s="449" t="n">
        <f aca="false">IF(AND(L579&lt;L_rampe,Poussee&lt;Poids*SIN(M579)), g*SIN(M579), (-W579+Poussee)/m)</f>
        <v>-0.667174414437159</v>
      </c>
    </row>
    <row r="581" customFormat="false" ht="12" hidden="false" customHeight="false" outlineLevel="0" collapsed="false">
      <c r="A581" s="448" t="n">
        <f aca="false">IF(B580+0.01&lt;=T_ini+ROUNDUP(Temps_fin_propu,0), 0.01, IF(K580&gt;0, 0.1, 0.0001))</f>
        <v>0.1</v>
      </c>
      <c r="B581" s="449" t="n">
        <f aca="false">B580+pas</f>
        <v>21.7</v>
      </c>
      <c r="C581" s="432"/>
      <c r="D581" s="450" t="n">
        <f aca="false">IF(AND(L580&lt;L_rampe,Poussee&lt;Poids*SIN(M580)),0,(-W580+Poussee)/m*COS(M580)-U580/m*SIN(M580))</f>
        <v>-0.392421270901803</v>
      </c>
      <c r="E581" s="451" t="n">
        <f aca="false">IF(AND(L580&lt;L_rampe,Poussee&lt;Poids*SIN(M580)),0,(-W580+Poussee)/m*SIN(M580)+U580/m*COS(M580)-Poids/m)</f>
        <v>-9.24544599037421</v>
      </c>
      <c r="F581" s="449" t="n">
        <f aca="false">SQRT(acc_x^2+acc_z^2)</f>
        <v>9.25377036751954</v>
      </c>
      <c r="G581" s="450" t="n">
        <f aca="false">G580+acc_x*pas</f>
        <v>28.4769692160279</v>
      </c>
      <c r="H581" s="451" t="n">
        <f aca="false">H580+acc_z*pas</f>
        <v>-41.9491848182021</v>
      </c>
      <c r="I581" s="449" t="n">
        <f aca="false">SQRT(vit_x^2+vit_z^2)</f>
        <v>50.7017936826921</v>
      </c>
      <c r="J581" s="450" t="n">
        <f aca="false">J580+0.5*(vit_x+G580)*pas*(K580&gt;=0)</f>
        <v>678.248122837676</v>
      </c>
      <c r="K581" s="451" t="n">
        <f aca="false">K580+0.5*(vit_z+H580)*pas</f>
        <v>1330.15758739073</v>
      </c>
      <c r="L581" s="449" t="n">
        <f aca="false">SQRT(pos_x^2+pos_z^2)</f>
        <v>1493.09735899102</v>
      </c>
      <c r="M581" s="450" t="n">
        <f aca="false">IF(AND(L580&gt;L_rampe,G581&gt;0),ATAN2(G581,H581),$M$4)</f>
        <v>-0.974410300966963</v>
      </c>
      <c r="N581" s="449" t="n">
        <f aca="false">DEGREES(Beta)</f>
        <v>-55.8295977594793</v>
      </c>
      <c r="O581" s="438"/>
      <c r="P581" s="452" t="n">
        <f aca="false">MATCH(t-pas/2-T_ini,CdP_t)</f>
        <v>23</v>
      </c>
      <c r="Q581" s="449" t="n">
        <f aca="false">(INDEX(CdP,2,i_P+1)-INDEX(CdP,2,i_P+0))/(INDEX(CdP,1,i_P+1)-INDEX(CdP,1,i_P+0))*(t-pas/2-T_ini-INDEX(CdP,1,i_P+0))+INDEX(CdP,2,i_P+0)</f>
        <v>0</v>
      </c>
      <c r="R581" s="450" t="n">
        <f aca="false">Poussee/(g*ISP)</f>
        <v>0</v>
      </c>
      <c r="S581" s="451" t="n">
        <f aca="false">S580-Débit*pas</f>
        <v>8.652</v>
      </c>
      <c r="T581" s="449" t="n">
        <f aca="false">m*g</f>
        <v>84.87612</v>
      </c>
      <c r="U581" s="453" t="n">
        <f aca="false">IF(pos_xz&lt;L_rampe,Poids*COS(Beta),0)</f>
        <v>0</v>
      </c>
      <c r="V581" s="450" t="n">
        <f aca="false">Rho_moyen*(20000-Alt_rampe-pos_z)/(20000+Alt_rampe+pos_z)</f>
        <v>1.07221697081911</v>
      </c>
      <c r="W581" s="449" t="n">
        <f aca="false">1/2*Rho*Sref*Cx*vit_xz^2</f>
        <v>6.12866045954262</v>
      </c>
      <c r="X581" s="438"/>
      <c r="Y581" s="454" t="str">
        <f aca="false">IF(AND(pos_z&lt;=0,K580&gt;0),"Impact balistique","") &amp; IF(AND(H582&lt;0,vit_z&gt;=0),"Apogée","") &amp; IF(AND(Poussee=0,Q580&gt;0),"Fin de propulsion","") &amp; IF(AND(L582&gt;L_rampe,pos_xz&lt;=L_rampe),"Sortie de rampe","")</f>
        <v/>
      </c>
      <c r="Z581" s="455" t="str">
        <f aca="false">IF(ABS(t-T_para)&lt;pas/2,"Para","")</f>
        <v/>
      </c>
      <c r="AA581" s="456" t="str">
        <f aca="false">IF(ABS(t-T_satellite)&lt;pas/2,"Satellite","")</f>
        <v/>
      </c>
      <c r="AB581" s="444"/>
      <c r="AC581" s="452" t="e">
        <f aca="false">IF(ABS(t-ROUND(t,0))&lt;0.001,t,NA())</f>
        <v>#N/A</v>
      </c>
      <c r="AD581" s="457" t="e">
        <f aca="false">IF(ABS(t-ROUND(t,0))&lt;0.001,pos_x,NA())</f>
        <v>#N/A</v>
      </c>
      <c r="AE581" s="458" t="e">
        <f aca="false">IF(t&lt;T_para, pos_z, NA())</f>
        <v>#N/A</v>
      </c>
      <c r="AF581" s="444"/>
      <c r="AG581" s="450" t="n">
        <f aca="false">IF(AND(L580&lt;L_rampe,Poussee&lt;Poids*SIN(M580)),0,(-W580+Poussee)/m-Poids*SIN(M580)/m)</f>
        <v>7.36762283525248</v>
      </c>
      <c r="AH581" s="449" t="n">
        <f aca="false">IF(AND(L580&lt;L_rampe,Poussee&lt;Poids*SIN(M580)), g*SIN(M580), (-W580+Poussee)/m)</f>
        <v>-0.68754322310728</v>
      </c>
    </row>
    <row r="582" customFormat="false" ht="12" hidden="false" customHeight="false" outlineLevel="0" collapsed="false">
      <c r="A582" s="448" t="n">
        <f aca="false">IF(B581+0.01&lt;=T_ini+ROUNDUP(Temps_fin_propu,0), 0.01, IF(K581&gt;0, 0.1, 0.0001))</f>
        <v>0.1</v>
      </c>
      <c r="B582" s="449" t="n">
        <f aca="false">B581+pas</f>
        <v>21.8</v>
      </c>
      <c r="C582" s="432"/>
      <c r="D582" s="450" t="n">
        <f aca="false">IF(AND(L581&lt;L_rampe,Poussee&lt;Poids*SIN(M581)),0,(-W581+Poussee)/m*COS(M581)-U581/m*SIN(M581))</f>
        <v>-0.39785011920195</v>
      </c>
      <c r="E582" s="451" t="n">
        <f aca="false">IF(AND(L581&lt;L_rampe,Poussee&lt;Poids*SIN(M581)),0,(-W581+Poussee)/m*SIN(M581)+U581/m*COS(M581)-Poids/m)</f>
        <v>-9.22393032194757</v>
      </c>
      <c r="F582" s="449" t="n">
        <f aca="false">SQRT(acc_x^2+acc_z^2)</f>
        <v>9.23250644741139</v>
      </c>
      <c r="G582" s="450" t="n">
        <f aca="false">G581+acc_x*pas</f>
        <v>28.4371842041077</v>
      </c>
      <c r="H582" s="451" t="n">
        <f aca="false">H581+acc_z*pas</f>
        <v>-42.8715778503969</v>
      </c>
      <c r="I582" s="449" t="n">
        <f aca="false">SQRT(vit_x^2+vit_z^2)</f>
        <v>51.445559894329</v>
      </c>
      <c r="J582" s="450" t="n">
        <f aca="false">J581+0.5*(vit_x+G581)*pas*(K581&gt;=0)</f>
        <v>681.093830508683</v>
      </c>
      <c r="K582" s="451" t="n">
        <f aca="false">K581+0.5*(vit_z+H581)*pas</f>
        <v>1325.9165492573</v>
      </c>
      <c r="L582" s="449" t="n">
        <f aca="false">SQRT(pos_x^2+pos_z^2)</f>
        <v>1490.61849631332</v>
      </c>
      <c r="M582" s="450" t="n">
        <f aca="false">IF(AND(L581&gt;L_rampe,G582&gt;0),ATAN2(G582,H582),$M$4)</f>
        <v>-0.985120557034269</v>
      </c>
      <c r="N582" s="449" t="n">
        <f aca="false">DEGREES(Beta)</f>
        <v>-56.4432502296403</v>
      </c>
      <c r="O582" s="438"/>
      <c r="P582" s="452" t="n">
        <f aca="false">MATCH(t-pas/2-T_ini,CdP_t)</f>
        <v>23</v>
      </c>
      <c r="Q582" s="449" t="n">
        <f aca="false">(INDEX(CdP,2,i_P+1)-INDEX(CdP,2,i_P+0))/(INDEX(CdP,1,i_P+1)-INDEX(CdP,1,i_P+0))*(t-pas/2-T_ini-INDEX(CdP,1,i_P+0))+INDEX(CdP,2,i_P+0)</f>
        <v>0</v>
      </c>
      <c r="R582" s="450" t="n">
        <f aca="false">Poussee/(g*ISP)</f>
        <v>0</v>
      </c>
      <c r="S582" s="451" t="n">
        <f aca="false">S581-Débit*pas</f>
        <v>8.652</v>
      </c>
      <c r="T582" s="449" t="n">
        <f aca="false">m*g</f>
        <v>84.87612</v>
      </c>
      <c r="U582" s="453" t="n">
        <f aca="false">IF(pos_xz&lt;L_rampe,Poids*COS(Beta),0)</f>
        <v>0</v>
      </c>
      <c r="V582" s="450" t="n">
        <f aca="false">Rho_moyen*(20000-Alt_rampe-pos_z)/(20000+Alt_rampe+pos_z)</f>
        <v>1.07267381330705</v>
      </c>
      <c r="W582" s="449" t="n">
        <f aca="false">1/2*Rho*Sref*Cx*vit_xz^2</f>
        <v>6.31247558975648</v>
      </c>
      <c r="X582" s="438"/>
      <c r="Y582" s="454" t="str">
        <f aca="false">IF(AND(pos_z&lt;=0,K581&gt;0),"Impact balistique","") &amp; IF(AND(H583&lt;0,vit_z&gt;=0),"Apogée","") &amp; IF(AND(Poussee=0,Q581&gt;0),"Fin de propulsion","") &amp; IF(AND(L583&gt;L_rampe,pos_xz&lt;=L_rampe),"Sortie de rampe","")</f>
        <v/>
      </c>
      <c r="Z582" s="455" t="str">
        <f aca="false">IF(ABS(t-T_para)&lt;pas/2,"Para","")</f>
        <v/>
      </c>
      <c r="AA582" s="456" t="str">
        <f aca="false">IF(ABS(t-T_satellite)&lt;pas/2,"Satellite","")</f>
        <v/>
      </c>
      <c r="AB582" s="444"/>
      <c r="AC582" s="452" t="e">
        <f aca="false">IF(ABS(t-ROUND(t,0))&lt;0.001,t,NA())</f>
        <v>#N/A</v>
      </c>
      <c r="AD582" s="457" t="e">
        <f aca="false">IF(ABS(t-ROUND(t,0))&lt;0.001,pos_x,NA())</f>
        <v>#N/A</v>
      </c>
      <c r="AE582" s="458" t="e">
        <f aca="false">IF(t&lt;T_para, pos_z, NA())</f>
        <v>#N/A</v>
      </c>
      <c r="AF582" s="444"/>
      <c r="AG582" s="450" t="n">
        <f aca="false">IF(AND(L581&lt;L_rampe,Poussee&lt;Poids*SIN(M581)),0,(-W581+Poussee)/m-Poids*SIN(M581)/m)</f>
        <v>7.40815590428924</v>
      </c>
      <c r="AH582" s="449" t="n">
        <f aca="false">IF(AND(L581&lt;L_rampe,Poussee&lt;Poids*SIN(M581)), g*SIN(M581), (-W581+Poussee)/m)</f>
        <v>-0.708351879281394</v>
      </c>
    </row>
    <row r="583" customFormat="false" ht="12" hidden="false" customHeight="false" outlineLevel="0" collapsed="false">
      <c r="A583" s="448" t="n">
        <f aca="false">IF(B582+0.01&lt;=T_ini+ROUNDUP(Temps_fin_propu,0), 0.01, IF(K582&gt;0, 0.1, 0.0001))</f>
        <v>0.1</v>
      </c>
      <c r="B583" s="449" t="n">
        <f aca="false">B582+pas</f>
        <v>21.9</v>
      </c>
      <c r="C583" s="432"/>
      <c r="D583" s="450" t="n">
        <f aca="false">IF(AND(L582&lt;L_rampe,Poussee&lt;Poids*SIN(M582)),0,(-W582+Poussee)/m*COS(M582)-U582/m*SIN(M582))</f>
        <v>-0.403294123659194</v>
      </c>
      <c r="E583" s="451" t="n">
        <f aca="false">IF(AND(L582&lt;L_rampe,Poussee&lt;Poids*SIN(M582)),0,(-W582+Poussee)/m*SIN(M582)+U582/m*COS(M582)-Poids/m)</f>
        <v>-9.20199833236073</v>
      </c>
      <c r="F583" s="449" t="n">
        <f aca="false">SQRT(acc_x^2+acc_z^2)</f>
        <v>9.21083163774844</v>
      </c>
      <c r="G583" s="450" t="n">
        <f aca="false">G582+acc_x*pas</f>
        <v>28.3968547917418</v>
      </c>
      <c r="H583" s="451" t="n">
        <f aca="false">H582+acc_z*pas</f>
        <v>-43.7917776836329</v>
      </c>
      <c r="I583" s="449" t="n">
        <f aca="false">SQRT(vit_x^2+vit_z^2)</f>
        <v>52.1929224584713</v>
      </c>
      <c r="J583" s="450" t="n">
        <f aca="false">J582+0.5*(vit_x+G582)*pas*(K582&gt;=0)</f>
        <v>683.935532458475</v>
      </c>
      <c r="K583" s="451" t="n">
        <f aca="false">K582+0.5*(vit_z+H582)*pas</f>
        <v>1321.5833814806</v>
      </c>
      <c r="L583" s="449" t="n">
        <f aca="false">SQRT(pos_x^2+pos_z^2)</f>
        <v>1488.06936893579</v>
      </c>
      <c r="M583" s="450" t="n">
        <f aca="false">IF(AND(L582&gt;L_rampe,G583&gt;0),ATAN2(G583,H583),$M$4)</f>
        <v>-0.995510278353001</v>
      </c>
      <c r="N583" s="449" t="n">
        <f aca="false">DEGREES(Beta)</f>
        <v>-57.0385374115208</v>
      </c>
      <c r="O583" s="438"/>
      <c r="P583" s="452" t="n">
        <f aca="false">MATCH(t-pas/2-T_ini,CdP_t)</f>
        <v>23</v>
      </c>
      <c r="Q583" s="449" t="n">
        <f aca="false">(INDEX(CdP,2,i_P+1)-INDEX(CdP,2,i_P+0))/(INDEX(CdP,1,i_P+1)-INDEX(CdP,1,i_P+0))*(t-pas/2-T_ini-INDEX(CdP,1,i_P+0))+INDEX(CdP,2,i_P+0)</f>
        <v>0</v>
      </c>
      <c r="R583" s="450" t="n">
        <f aca="false">Poussee/(g*ISP)</f>
        <v>0</v>
      </c>
      <c r="S583" s="451" t="n">
        <f aca="false">S582-Débit*pas</f>
        <v>8.652</v>
      </c>
      <c r="T583" s="449" t="n">
        <f aca="false">m*g</f>
        <v>84.87612</v>
      </c>
      <c r="U583" s="453" t="n">
        <f aca="false">IF(pos_xz&lt;L_rampe,Poids*COS(Beta),0)</f>
        <v>0</v>
      </c>
      <c r="V583" s="450" t="n">
        <f aca="false">Rho_moyen*(20000-Alt_rampe-pos_z)/(20000+Alt_rampe+pos_z)</f>
        <v>1.07314076765801</v>
      </c>
      <c r="W583" s="449" t="n">
        <f aca="false">1/2*Rho*Sref*Cx*vit_xz^2</f>
        <v>6.50004197121499</v>
      </c>
      <c r="X583" s="438"/>
      <c r="Y583" s="454" t="str">
        <f aca="false">IF(AND(pos_z&lt;=0,K582&gt;0),"Impact balistique","") &amp; IF(AND(H584&lt;0,vit_z&gt;=0),"Apogée","") &amp; IF(AND(Poussee=0,Q582&gt;0),"Fin de propulsion","") &amp; IF(AND(L584&gt;L_rampe,pos_xz&lt;=L_rampe),"Sortie de rampe","")</f>
        <v/>
      </c>
      <c r="Z583" s="455" t="str">
        <f aca="false">IF(ABS(t-T_para)&lt;pas/2,"Para","")</f>
        <v/>
      </c>
      <c r="AA583" s="456" t="str">
        <f aca="false">IF(ABS(t-T_satellite)&lt;pas/2,"Satellite","")</f>
        <v/>
      </c>
      <c r="AB583" s="444"/>
      <c r="AC583" s="452" t="e">
        <f aca="false">IF(ABS(t-ROUND(t,0))&lt;0.001,t,NA())</f>
        <v>#N/A</v>
      </c>
      <c r="AD583" s="457" t="e">
        <f aca="false">IF(ABS(t-ROUND(t,0))&lt;0.001,pos_x,NA())</f>
        <v>#N/A</v>
      </c>
      <c r="AE583" s="458" t="e">
        <f aca="false">IF(t&lt;T_para, pos_z, NA())</f>
        <v>#N/A</v>
      </c>
      <c r="AF583" s="444"/>
      <c r="AG583" s="450" t="n">
        <f aca="false">IF(AND(L582&lt;L_rampe,Poussee&lt;Poids*SIN(M582)),0,(-W582+Poussee)/m-Poids*SIN(M582)/m)</f>
        <v>7.44545572813015</v>
      </c>
      <c r="AH583" s="449" t="n">
        <f aca="false">IF(AND(L582&lt;L_rampe,Poussee&lt;Poids*SIN(M582)), g*SIN(M582), (-W582+Poussee)/m)</f>
        <v>-0.729597271123033</v>
      </c>
    </row>
    <row r="584" customFormat="false" ht="12" hidden="false" customHeight="false" outlineLevel="0" collapsed="false">
      <c r="A584" s="448" t="n">
        <f aca="false">IF(B583+0.01&lt;=T_ini+ROUNDUP(Temps_fin_propu,0), 0.01, IF(K583&gt;0, 0.1, 0.0001))</f>
        <v>0.1</v>
      </c>
      <c r="B584" s="449" t="n">
        <f aca="false">B583+pas</f>
        <v>22</v>
      </c>
      <c r="C584" s="432"/>
      <c r="D584" s="450" t="n">
        <f aca="false">IF(AND(L583&lt;L_rampe,Poussee&lt;Poids*SIN(M583)),0,(-W583+Poussee)/m*COS(M583)-U583/m*SIN(M583))</f>
        <v>-0.408750480005987</v>
      </c>
      <c r="E584" s="451" t="n">
        <f aca="false">IF(AND(L583&lt;L_rampe,Poussee&lt;Poids*SIN(M583)),0,(-W583+Poussee)/m*SIN(M583)+U583/m*COS(M583)-Poids/m)</f>
        <v>-9.17965166460245</v>
      </c>
      <c r="F584" s="449" t="n">
        <f aca="false">SQRT(acc_x^2+acc_z^2)</f>
        <v>9.18874755548021</v>
      </c>
      <c r="G584" s="450" t="n">
        <f aca="false">G583+acc_x*pas</f>
        <v>28.3559797437412</v>
      </c>
      <c r="H584" s="451" t="n">
        <f aca="false">H583+acc_z*pas</f>
        <v>-44.7097428500932</v>
      </c>
      <c r="I584" s="449" t="n">
        <f aca="false">SQRT(vit_x^2+vit_z^2)</f>
        <v>52.9435802807944</v>
      </c>
      <c r="J584" s="450" t="n">
        <f aca="false">J583+0.5*(vit_x+G583)*pas*(K583&gt;=0)</f>
        <v>686.77317418525</v>
      </c>
      <c r="K584" s="451" t="n">
        <f aca="false">K583+0.5*(vit_z+H583)*pas</f>
        <v>1317.15830545391</v>
      </c>
      <c r="L584" s="449" t="n">
        <f aca="false">SQRT(pos_x^2+pos_z^2)</f>
        <v>1485.45056949287</v>
      </c>
      <c r="M584" s="450" t="n">
        <f aca="false">IF(AND(L583&gt;L_rampe,G584&gt;0),ATAN2(G584,H584),$M$4)</f>
        <v>-1.0055916977599</v>
      </c>
      <c r="N584" s="449" t="n">
        <f aca="false">DEGREES(Beta)</f>
        <v>-57.6161601950374</v>
      </c>
      <c r="O584" s="438"/>
      <c r="P584" s="452" t="n">
        <f aca="false">MATCH(t-pas/2-T_ini,CdP_t)</f>
        <v>23</v>
      </c>
      <c r="Q584" s="449" t="n">
        <f aca="false">(INDEX(CdP,2,i_P+1)-INDEX(CdP,2,i_P+0))/(INDEX(CdP,1,i_P+1)-INDEX(CdP,1,i_P+0))*(t-pas/2-T_ini-INDEX(CdP,1,i_P+0))+INDEX(CdP,2,i_P+0)</f>
        <v>0</v>
      </c>
      <c r="R584" s="450" t="n">
        <f aca="false">Poussee/(g*ISP)</f>
        <v>0</v>
      </c>
      <c r="S584" s="451" t="n">
        <f aca="false">S583-Débit*pas</f>
        <v>8.652</v>
      </c>
      <c r="T584" s="449" t="n">
        <f aca="false">m*g</f>
        <v>84.87612</v>
      </c>
      <c r="U584" s="453" t="n">
        <f aca="false">IF(pos_xz&lt;L_rampe,Poids*COS(Beta),0)</f>
        <v>0</v>
      </c>
      <c r="V584" s="450" t="n">
        <f aca="false">Rho_moyen*(20000-Alt_rampe-pos_z)/(20000+Alt_rampe+pos_z)</f>
        <v>1.07361782221993</v>
      </c>
      <c r="W584" s="449" t="n">
        <f aca="false">1/2*Rho*Sref*Cx*vit_xz^2</f>
        <v>6.69133176005811</v>
      </c>
      <c r="X584" s="438"/>
      <c r="Y584" s="454" t="str">
        <f aca="false">IF(AND(pos_z&lt;=0,K583&gt;0),"Impact balistique","") &amp; IF(AND(H585&lt;0,vit_z&gt;=0),"Apogée","") &amp; IF(AND(Poussee=0,Q583&gt;0),"Fin de propulsion","") &amp; IF(AND(L585&gt;L_rampe,pos_xz&lt;=L_rampe),"Sortie de rampe","")</f>
        <v/>
      </c>
      <c r="Z584" s="455" t="str">
        <f aca="false">IF(ABS(t-T_para)&lt;pas/2,"Para","")</f>
        <v/>
      </c>
      <c r="AA584" s="456" t="str">
        <f aca="false">IF(ABS(t-T_satellite)&lt;pas/2,"Satellite","")</f>
        <v/>
      </c>
      <c r="AB584" s="444"/>
      <c r="AC584" s="452" t="n">
        <f aca="false">IF(ABS(t-ROUND(t,0))&lt;0.001,t,NA())</f>
        <v>22</v>
      </c>
      <c r="AD584" s="457" t="n">
        <f aca="false">IF(ABS(t-ROUND(t,0))&lt;0.001,pos_x,NA())</f>
        <v>686.77317418525</v>
      </c>
      <c r="AE584" s="458" t="e">
        <f aca="false">IF(t&lt;T_para, pos_z, NA())</f>
        <v>#N/A</v>
      </c>
      <c r="AF584" s="444"/>
      <c r="AG584" s="450" t="n">
        <f aca="false">IF(AND(L583&lt;L_rampe,Poussee&lt;Poids*SIN(M583)),0,(-W583+Poussee)/m-Poids*SIN(M583)/m)</f>
        <v>7.47967384262297</v>
      </c>
      <c r="AH584" s="449" t="n">
        <f aca="false">IF(AND(L583&lt;L_rampe,Poussee&lt;Poids*SIN(M583)), g*SIN(M583), (-W583+Poussee)/m)</f>
        <v>-0.751276233381299</v>
      </c>
    </row>
    <row r="585" customFormat="false" ht="12" hidden="false" customHeight="false" outlineLevel="0" collapsed="false">
      <c r="A585" s="448" t="n">
        <f aca="false">IF(B584+0.01&lt;=T_ini+ROUNDUP(Temps_fin_propu,0), 0.01, IF(K584&gt;0, 0.1, 0.0001))</f>
        <v>0.1</v>
      </c>
      <c r="B585" s="449" t="n">
        <f aca="false">B584+pas</f>
        <v>22.1</v>
      </c>
      <c r="C585" s="432"/>
      <c r="D585" s="450" t="n">
        <f aca="false">IF(AND(L584&lt;L_rampe,Poussee&lt;Poids*SIN(M584)),0,(-W584+Poussee)/m*COS(M584)-U584/m*SIN(M584))</f>
        <v>-0.41421650770166</v>
      </c>
      <c r="E585" s="451" t="n">
        <f aca="false">IF(AND(L584&lt;L_rampe,Poussee&lt;Poids*SIN(M584)),0,(-W584+Poussee)/m*SIN(M584)+U584/m*COS(M584)-Poids/m)</f>
        <v>-9.15689212959773</v>
      </c>
      <c r="F585" s="449" t="n">
        <f aca="false">SQRT(acc_x^2+acc_z^2)</f>
        <v>9.166255985316</v>
      </c>
      <c r="G585" s="450" t="n">
        <f aca="false">G584+acc_x*pas</f>
        <v>28.314558092971</v>
      </c>
      <c r="H585" s="451" t="n">
        <f aca="false">H584+acc_z*pas</f>
        <v>-45.6254320630529</v>
      </c>
      <c r="I585" s="449" t="n">
        <f aca="false">SQRT(vit_x^2+vit_z^2)</f>
        <v>53.6972462137537</v>
      </c>
      <c r="J585" s="450" t="n">
        <f aca="false">J584+0.5*(vit_x+G584)*pas*(K584&gt;=0)</f>
        <v>689.606701077085</v>
      </c>
      <c r="K585" s="451" t="n">
        <f aca="false">K584+0.5*(vit_z+H584)*pas</f>
        <v>1312.64154670825</v>
      </c>
      <c r="L585" s="449" t="n">
        <f aca="false">SQRT(pos_x^2+pos_z^2)</f>
        <v>1482.76270263149</v>
      </c>
      <c r="M585" s="450" t="n">
        <f aca="false">IF(AND(L584&gt;L_rampe,G585&gt;0),ATAN2(G585,H585),$M$4)</f>
        <v>-1.01537657258018</v>
      </c>
      <c r="N585" s="449" t="n">
        <f aca="false">DEGREES(Beta)</f>
        <v>-58.1767922253031</v>
      </c>
      <c r="O585" s="438"/>
      <c r="P585" s="452" t="n">
        <f aca="false">MATCH(t-pas/2-T_ini,CdP_t)</f>
        <v>23</v>
      </c>
      <c r="Q585" s="449" t="n">
        <f aca="false">(INDEX(CdP,2,i_P+1)-INDEX(CdP,2,i_P+0))/(INDEX(CdP,1,i_P+1)-INDEX(CdP,1,i_P+0))*(t-pas/2-T_ini-INDEX(CdP,1,i_P+0))+INDEX(CdP,2,i_P+0)</f>
        <v>0</v>
      </c>
      <c r="R585" s="450" t="n">
        <f aca="false">Poussee/(g*ISP)</f>
        <v>0</v>
      </c>
      <c r="S585" s="451" t="n">
        <f aca="false">S584-Débit*pas</f>
        <v>8.652</v>
      </c>
      <c r="T585" s="449" t="n">
        <f aca="false">m*g</f>
        <v>84.87612</v>
      </c>
      <c r="U585" s="453" t="n">
        <f aca="false">IF(pos_xz&lt;L_rampe,Poids*COS(Beta),0)</f>
        <v>0</v>
      </c>
      <c r="V585" s="450" t="n">
        <f aca="false">Rho_moyen*(20000-Alt_rampe-pos_z)/(20000+Alt_rampe+pos_z)</f>
        <v>1.07410496512658</v>
      </c>
      <c r="W585" s="449" t="n">
        <f aca="false">1/2*Rho*Sref*Cx*vit_xz^2</f>
        <v>6.88631665867969</v>
      </c>
      <c r="X585" s="438"/>
      <c r="Y585" s="454" t="str">
        <f aca="false">IF(AND(pos_z&lt;=0,K584&gt;0),"Impact balistique","") &amp; IF(AND(H586&lt;0,vit_z&gt;=0),"Apogée","") &amp; IF(AND(Poussee=0,Q584&gt;0),"Fin de propulsion","") &amp; IF(AND(L586&gt;L_rampe,pos_xz&lt;=L_rampe),"Sortie de rampe","")</f>
        <v/>
      </c>
      <c r="Z585" s="455" t="str">
        <f aca="false">IF(ABS(t-T_para)&lt;pas/2,"Para","")</f>
        <v/>
      </c>
      <c r="AA585" s="456" t="str">
        <f aca="false">IF(ABS(t-T_satellite)&lt;pas/2,"Satellite","")</f>
        <v/>
      </c>
      <c r="AB585" s="444"/>
      <c r="AC585" s="452" t="e">
        <f aca="false">IF(ABS(t-ROUND(t,0))&lt;0.001,t,NA())</f>
        <v>#N/A</v>
      </c>
      <c r="AD585" s="457" t="e">
        <f aca="false">IF(ABS(t-ROUND(t,0))&lt;0.001,pos_x,NA())</f>
        <v>#N/A</v>
      </c>
      <c r="AE585" s="458" t="e">
        <f aca="false">IF(t&lt;T_para, pos_z, NA())</f>
        <v>#N/A</v>
      </c>
      <c r="AF585" s="444"/>
      <c r="AG585" s="450" t="n">
        <f aca="false">IF(AND(L584&lt;L_rampe,Poussee&lt;Poids*SIN(M584)),0,(-W584+Poussee)/m-Poids*SIN(M584)/m)</f>
        <v>7.51095364932654</v>
      </c>
      <c r="AH585" s="449" t="n">
        <f aca="false">IF(AND(L584&lt;L_rampe,Poussee&lt;Poids*SIN(M584)), g*SIN(M584), (-W584+Poussee)/m)</f>
        <v>-0.773385547856924</v>
      </c>
    </row>
    <row r="586" customFormat="false" ht="12" hidden="false" customHeight="false" outlineLevel="0" collapsed="false">
      <c r="A586" s="448" t="n">
        <f aca="false">IF(B585+0.01&lt;=T_ini+ROUNDUP(Temps_fin_propu,0), 0.01, IF(K585&gt;0, 0.1, 0.0001))</f>
        <v>0.1</v>
      </c>
      <c r="B586" s="449" t="n">
        <f aca="false">B585+pas</f>
        <v>22.2</v>
      </c>
      <c r="C586" s="432"/>
      <c r="D586" s="450" t="n">
        <f aca="false">IF(AND(L585&lt;L_rampe,Poussee&lt;Poids*SIN(M585)),0,(-W585+Poussee)/m*COS(M585)-U585/m*SIN(M585))</f>
        <v>-0.419689643459609</v>
      </c>
      <c r="E586" s="451" t="n">
        <f aca="false">IF(AND(L585&lt;L_rampe,Poussee&lt;Poids*SIN(M585)),0,(-W585+Poussee)/m*SIN(M585)+U585/m*COS(M585)-Poids/m)</f>
        <v>-9.13372169636697</v>
      </c>
      <c r="F586" s="449" t="n">
        <f aca="false">SQRT(acc_x^2+acc_z^2)</f>
        <v>9.1433588698854</v>
      </c>
      <c r="G586" s="450" t="n">
        <f aca="false">G585+acc_x*pas</f>
        <v>28.272589128625</v>
      </c>
      <c r="H586" s="451" t="n">
        <f aca="false">H585+acc_z*pas</f>
        <v>-46.5388042326896</v>
      </c>
      <c r="I586" s="449" t="n">
        <f aca="false">SQRT(vit_x^2+vit_z^2)</f>
        <v>54.4536463007268</v>
      </c>
      <c r="J586" s="450" t="n">
        <f aca="false">J585+0.5*(vit_x+G585)*pas*(K585&gt;=0)</f>
        <v>692.436058438165</v>
      </c>
      <c r="K586" s="451" t="n">
        <f aca="false">K585+0.5*(vit_z+H585)*pas</f>
        <v>1308.03333489347</v>
      </c>
      <c r="L586" s="449" t="n">
        <f aca="false">SQRT(pos_x^2+pos_z^2)</f>
        <v>1480.00638519498</v>
      </c>
      <c r="M586" s="450" t="n">
        <f aca="false">IF(AND(L585&gt;L_rampe,G586&gt;0),ATAN2(G586,H586),$M$4)</f>
        <v>-1.02487619507349</v>
      </c>
      <c r="N586" s="449" t="n">
        <f aca="false">DEGREES(Beta)</f>
        <v>-58.7210805011372</v>
      </c>
      <c r="O586" s="438"/>
      <c r="P586" s="452" t="n">
        <f aca="false">MATCH(t-pas/2-T_ini,CdP_t)</f>
        <v>23</v>
      </c>
      <c r="Q586" s="449" t="n">
        <f aca="false">(INDEX(CdP,2,i_P+1)-INDEX(CdP,2,i_P+0))/(INDEX(CdP,1,i_P+1)-INDEX(CdP,1,i_P+0))*(t-pas/2-T_ini-INDEX(CdP,1,i_P+0))+INDEX(CdP,2,i_P+0)</f>
        <v>0</v>
      </c>
      <c r="R586" s="450" t="n">
        <f aca="false">Poussee/(g*ISP)</f>
        <v>0</v>
      </c>
      <c r="S586" s="451" t="n">
        <f aca="false">S585-Débit*pas</f>
        <v>8.652</v>
      </c>
      <c r="T586" s="449" t="n">
        <f aca="false">m*g</f>
        <v>84.87612</v>
      </c>
      <c r="U586" s="453" t="n">
        <f aca="false">IF(pos_xz&lt;L_rampe,Poids*COS(Beta),0)</f>
        <v>0</v>
      </c>
      <c r="V586" s="450" t="n">
        <f aca="false">Rho_moyen*(20000-Alt_rampe-pos_z)/(20000+Alt_rampe+pos_z)</f>
        <v>1.07460218429727</v>
      </c>
      <c r="W586" s="449" t="n">
        <f aca="false">1/2*Rho*Sref*Cx*vit_xz^2</f>
        <v>7.08496792040152</v>
      </c>
      <c r="X586" s="438"/>
      <c r="Y586" s="454" t="str">
        <f aca="false">IF(AND(pos_z&lt;=0,K585&gt;0),"Impact balistique","") &amp; IF(AND(H587&lt;0,vit_z&gt;=0),"Apogée","") &amp; IF(AND(Poussee=0,Q585&gt;0),"Fin de propulsion","") &amp; IF(AND(L587&gt;L_rampe,pos_xz&lt;=L_rampe),"Sortie de rampe","")</f>
        <v/>
      </c>
      <c r="Z586" s="455" t="str">
        <f aca="false">IF(ABS(t-T_para)&lt;pas/2,"Para","")</f>
        <v/>
      </c>
      <c r="AA586" s="456" t="str">
        <f aca="false">IF(ABS(t-T_satellite)&lt;pas/2,"Satellite","")</f>
        <v/>
      </c>
      <c r="AB586" s="444"/>
      <c r="AC586" s="452" t="e">
        <f aca="false">IF(ABS(t-ROUND(t,0))&lt;0.001,t,NA())</f>
        <v>#N/A</v>
      </c>
      <c r="AD586" s="457" t="e">
        <f aca="false">IF(ABS(t-ROUND(t,0))&lt;0.001,pos_x,NA())</f>
        <v>#N/A</v>
      </c>
      <c r="AE586" s="458" t="e">
        <f aca="false">IF(t&lt;T_para, pos_z, NA())</f>
        <v>#N/A</v>
      </c>
      <c r="AF586" s="444"/>
      <c r="AG586" s="450" t="n">
        <f aca="false">IF(AND(L585&lt;L_rampe,Poussee&lt;Poids*SIN(M585)),0,(-W585+Poussee)/m-Poids*SIN(M585)/m)</f>
        <v>7.53943079945082</v>
      </c>
      <c r="AH586" s="449" t="n">
        <f aca="false">IF(AND(L585&lt;L_rampe,Poussee&lt;Poids*SIN(M585)), g*SIN(M585), (-W585+Poussee)/m)</f>
        <v>-0.795921943906576</v>
      </c>
    </row>
    <row r="587" customFormat="false" ht="12" hidden="false" customHeight="false" outlineLevel="0" collapsed="false">
      <c r="A587" s="448" t="n">
        <f aca="false">IF(B586+0.01&lt;=T_ini+ROUNDUP(Temps_fin_propu,0), 0.01, IF(K586&gt;0, 0.1, 0.0001))</f>
        <v>0.1</v>
      </c>
      <c r="B587" s="449" t="n">
        <f aca="false">B586+pas</f>
        <v>22.3</v>
      </c>
      <c r="C587" s="432"/>
      <c r="D587" s="450" t="n">
        <f aca="false">IF(AND(L586&lt;L_rampe,Poussee&lt;Poids*SIN(M586)),0,(-W586+Poussee)/m*COS(M586)-U586/m*SIN(M586))</f>
        <v>-0.425167435096543</v>
      </c>
      <c r="E587" s="451" t="n">
        <f aca="false">IF(AND(L586&lt;L_rampe,Poussee&lt;Poids*SIN(M586)),0,(-W586+Poussee)/m*SIN(M586)+U586/m*COS(M586)-Poids/m)</f>
        <v>-9.11014248295218</v>
      </c>
      <c r="F587" s="449" t="n">
        <f aca="false">SQRT(acc_x^2+acc_z^2)</f>
        <v>9.12005830066654</v>
      </c>
      <c r="G587" s="450" t="n">
        <f aca="false">G586+acc_x*pas</f>
        <v>28.2300723851154</v>
      </c>
      <c r="H587" s="451" t="n">
        <f aca="false">H586+acc_z*pas</f>
        <v>-47.4498184809849</v>
      </c>
      <c r="I587" s="449" t="n">
        <f aca="false">SQRT(vit_x^2+vit_z^2)</f>
        <v>55.2125190581562</v>
      </c>
      <c r="J587" s="450" t="n">
        <f aca="false">J586+0.5*(vit_x+G586)*pas*(K586&gt;=0)</f>
        <v>695.261191513852</v>
      </c>
      <c r="K587" s="451" t="n">
        <f aca="false">K586+0.5*(vit_z+H586)*pas</f>
        <v>1303.33390375778</v>
      </c>
      <c r="L587" s="449" t="n">
        <f aca="false">SQRT(pos_x^2+pos_z^2)</f>
        <v>1477.18224641029</v>
      </c>
      <c r="M587" s="450" t="n">
        <f aca="false">IF(AND(L586&gt;L_rampe,G587&gt;0),ATAN2(G587,H587),$M$4)</f>
        <v>-1.03410140422255</v>
      </c>
      <c r="N587" s="449" t="n">
        <f aca="false">DEGREES(Beta)</f>
        <v>-59.2496460505038</v>
      </c>
      <c r="O587" s="438"/>
      <c r="P587" s="452" t="n">
        <f aca="false">MATCH(t-pas/2-T_ini,CdP_t)</f>
        <v>23</v>
      </c>
      <c r="Q587" s="449" t="n">
        <f aca="false">(INDEX(CdP,2,i_P+1)-INDEX(CdP,2,i_P+0))/(INDEX(CdP,1,i_P+1)-INDEX(CdP,1,i_P+0))*(t-pas/2-T_ini-INDEX(CdP,1,i_P+0))+INDEX(CdP,2,i_P+0)</f>
        <v>0</v>
      </c>
      <c r="R587" s="450" t="n">
        <f aca="false">Poussee/(g*ISP)</f>
        <v>0</v>
      </c>
      <c r="S587" s="451" t="n">
        <f aca="false">S586-Débit*pas</f>
        <v>8.652</v>
      </c>
      <c r="T587" s="449" t="n">
        <f aca="false">m*g</f>
        <v>84.87612</v>
      </c>
      <c r="U587" s="453" t="n">
        <f aca="false">IF(pos_xz&lt;L_rampe,Poids*COS(Beta),0)</f>
        <v>0</v>
      </c>
      <c r="V587" s="450" t="n">
        <f aca="false">Rho_moyen*(20000-Alt_rampe-pos_z)/(20000+Alt_rampe+pos_z)</f>
        <v>1.07510946743677</v>
      </c>
      <c r="W587" s="449" t="n">
        <f aca="false">1/2*Rho*Sref*Cx*vit_xz^2</f>
        <v>7.28725635443937</v>
      </c>
      <c r="X587" s="438"/>
      <c r="Y587" s="454" t="str">
        <f aca="false">IF(AND(pos_z&lt;=0,K586&gt;0),"Impact balistique","") &amp; IF(AND(H588&lt;0,vit_z&gt;=0),"Apogée","") &amp; IF(AND(Poussee=0,Q586&gt;0),"Fin de propulsion","") &amp; IF(AND(L588&gt;L_rampe,pos_xz&lt;=L_rampe),"Sortie de rampe","")</f>
        <v/>
      </c>
      <c r="Z587" s="455" t="str">
        <f aca="false">IF(ABS(t-T_para)&lt;pas/2,"Para","")</f>
        <v/>
      </c>
      <c r="AA587" s="456" t="str">
        <f aca="false">IF(ABS(t-T_satellite)&lt;pas/2,"Satellite","")</f>
        <v/>
      </c>
      <c r="AB587" s="444"/>
      <c r="AC587" s="452" t="e">
        <f aca="false">IF(ABS(t-ROUND(t,0))&lt;0.001,t,NA())</f>
        <v>#N/A</v>
      </c>
      <c r="AD587" s="457" t="e">
        <f aca="false">IF(ABS(t-ROUND(t,0))&lt;0.001,pos_x,NA())</f>
        <v>#N/A</v>
      </c>
      <c r="AE587" s="458" t="e">
        <f aca="false">IF(t&lt;T_para, pos_z, NA())</f>
        <v>#N/A</v>
      </c>
      <c r="AF587" s="444"/>
      <c r="AG587" s="450" t="n">
        <f aca="false">IF(AND(L586&lt;L_rampe,Poussee&lt;Poids*SIN(M586)),0,(-W586+Poussee)/m-Poids*SIN(M586)/m)</f>
        <v>7.56523357623466</v>
      </c>
      <c r="AH587" s="449" t="n">
        <f aca="false">IF(AND(L586&lt;L_rampe,Poussee&lt;Poids*SIN(M586)), g*SIN(M586), (-W586+Poussee)/m)</f>
        <v>-0.81888209898307</v>
      </c>
    </row>
    <row r="588" customFormat="false" ht="12" hidden="false" customHeight="false" outlineLevel="0" collapsed="false">
      <c r="A588" s="448" t="n">
        <f aca="false">IF(B587+0.01&lt;=T_ini+ROUNDUP(Temps_fin_propu,0), 0.01, IF(K587&gt;0, 0.1, 0.0001))</f>
        <v>0.1</v>
      </c>
      <c r="B588" s="449" t="n">
        <f aca="false">B587+pas</f>
        <v>22.4</v>
      </c>
      <c r="C588" s="432"/>
      <c r="D588" s="450" t="n">
        <f aca="false">IF(AND(L587&lt;L_rampe,Poussee&lt;Poids*SIN(M587)),0,(-W587+Poussee)/m*COS(M587)-U587/m*SIN(M587))</f>
        <v>-0.430647535699534</v>
      </c>
      <c r="E588" s="451" t="n">
        <f aca="false">IF(AND(L587&lt;L_rampe,Poussee&lt;Poids*SIN(M587)),0,(-W587+Poussee)/m*SIN(M587)+U587/m*COS(M587)-Poids/m)</f>
        <v>-9.0861567480429</v>
      </c>
      <c r="F588" s="449" t="n">
        <f aca="false">SQRT(acc_x^2+acc_z^2)</f>
        <v>9.09635650961469</v>
      </c>
      <c r="G588" s="450" t="n">
        <f aca="false">G587+acc_x*pas</f>
        <v>28.1870076315454</v>
      </c>
      <c r="H588" s="451" t="n">
        <f aca="false">H587+acc_z*pas</f>
        <v>-48.3584341557891</v>
      </c>
      <c r="I588" s="449" t="n">
        <f aca="false">SQRT(vit_x^2+vit_z^2)</f>
        <v>55.9736147950139</v>
      </c>
      <c r="J588" s="450" t="n">
        <f aca="false">J587+0.5*(vit_x+G587)*pas*(K587&gt;=0)</f>
        <v>698.082045514685</v>
      </c>
      <c r="K588" s="451" t="n">
        <f aca="false">K587+0.5*(vit_z+H587)*pas</f>
        <v>1298.54349112594</v>
      </c>
      <c r="L588" s="449" t="n">
        <f aca="false">SQRT(pos_x^2+pos_z^2)</f>
        <v>1474.29092807882</v>
      </c>
      <c r="M588" s="450" t="n">
        <f aca="false">IF(AND(L587&gt;L_rampe,G588&gt;0),ATAN2(G588,H588),$M$4)</f>
        <v>-1.04306259853934</v>
      </c>
      <c r="N588" s="449" t="n">
        <f aca="false">DEGREES(Beta)</f>
        <v>-59.7630846642527</v>
      </c>
      <c r="O588" s="438"/>
      <c r="P588" s="452" t="n">
        <f aca="false">MATCH(t-pas/2-T_ini,CdP_t)</f>
        <v>23</v>
      </c>
      <c r="Q588" s="449" t="n">
        <f aca="false">(INDEX(CdP,2,i_P+1)-INDEX(CdP,2,i_P+0))/(INDEX(CdP,1,i_P+1)-INDEX(CdP,1,i_P+0))*(t-pas/2-T_ini-INDEX(CdP,1,i_P+0))+INDEX(CdP,2,i_P+0)</f>
        <v>0</v>
      </c>
      <c r="R588" s="450" t="n">
        <f aca="false">Poussee/(g*ISP)</f>
        <v>0</v>
      </c>
      <c r="S588" s="451" t="n">
        <f aca="false">S587-Débit*pas</f>
        <v>8.652</v>
      </c>
      <c r="T588" s="449" t="n">
        <f aca="false">m*g</f>
        <v>84.87612</v>
      </c>
      <c r="U588" s="453" t="n">
        <f aca="false">IF(pos_xz&lt;L_rampe,Poids*COS(Beta),0)</f>
        <v>0</v>
      </c>
      <c r="V588" s="450" t="n">
        <f aca="false">Rho_moyen*(20000-Alt_rampe-pos_z)/(20000+Alt_rampe+pos_z)</f>
        <v>1.07562680203535</v>
      </c>
      <c r="W588" s="449" t="n">
        <f aca="false">1/2*Rho*Sref*Cx*vit_xz^2</f>
        <v>7.493152331144</v>
      </c>
      <c r="X588" s="438"/>
      <c r="Y588" s="454" t="str">
        <f aca="false">IF(AND(pos_z&lt;=0,K587&gt;0),"Impact balistique","") &amp; IF(AND(H589&lt;0,vit_z&gt;=0),"Apogée","") &amp; IF(AND(Poussee=0,Q587&gt;0),"Fin de propulsion","") &amp; IF(AND(L589&gt;L_rampe,pos_xz&lt;=L_rampe),"Sortie de rampe","")</f>
        <v/>
      </c>
      <c r="Z588" s="455" t="str">
        <f aca="false">IF(ABS(t-T_para)&lt;pas/2,"Para","")</f>
        <v/>
      </c>
      <c r="AA588" s="456" t="str">
        <f aca="false">IF(ABS(t-T_satellite)&lt;pas/2,"Satellite","")</f>
        <v/>
      </c>
      <c r="AB588" s="444"/>
      <c r="AC588" s="452" t="e">
        <f aca="false">IF(ABS(t-ROUND(t,0))&lt;0.001,t,NA())</f>
        <v>#N/A</v>
      </c>
      <c r="AD588" s="457" t="e">
        <f aca="false">IF(ABS(t-ROUND(t,0))&lt;0.001,pos_x,NA())</f>
        <v>#N/A</v>
      </c>
      <c r="AE588" s="458" t="e">
        <f aca="false">IF(t&lt;T_para, pos_z, NA())</f>
        <v>#N/A</v>
      </c>
      <c r="AF588" s="444"/>
      <c r="AG588" s="450" t="n">
        <f aca="false">IF(AND(L587&lt;L_rampe,Poussee&lt;Poids*SIN(M587)),0,(-W587+Poussee)/m-Poids*SIN(M587)/m)</f>
        <v>7.58848327202431</v>
      </c>
      <c r="AH588" s="449" t="n">
        <f aca="false">IF(AND(L587&lt;L_rampe,Poussee&lt;Poids*SIN(M587)), g*SIN(M587), (-W587+Poussee)/m)</f>
        <v>-0.842262639209359</v>
      </c>
    </row>
    <row r="589" customFormat="false" ht="12" hidden="false" customHeight="false" outlineLevel="0" collapsed="false">
      <c r="A589" s="448" t="n">
        <f aca="false">IF(B588+0.01&lt;=T_ini+ROUNDUP(Temps_fin_propu,0), 0.01, IF(K588&gt;0, 0.1, 0.0001))</f>
        <v>0.1</v>
      </c>
      <c r="B589" s="449" t="n">
        <f aca="false">B588+pas</f>
        <v>22.5</v>
      </c>
      <c r="C589" s="432"/>
      <c r="D589" s="450" t="n">
        <f aca="false">IF(AND(L588&lt;L_rampe,Poussee&lt;Poids*SIN(M588)),0,(-W588+Poussee)/m*COS(M588)-U588/m*SIN(M588))</f>
        <v>-0.436127698104087</v>
      </c>
      <c r="E589" s="451" t="n">
        <f aca="false">IF(AND(L588&lt;L_rampe,Poussee&lt;Poids*SIN(M588)),0,(-W588+Poussee)/m*SIN(M588)+U588/m*COS(M588)-Poids/m)</f>
        <v>-9.06176688324024</v>
      </c>
      <c r="F589" s="449" t="n">
        <f aca="false">SQRT(acc_x^2+acc_z^2)</f>
        <v>9.07225586142957</v>
      </c>
      <c r="G589" s="450" t="n">
        <f aca="false">G588+acc_x*pas</f>
        <v>28.143394861735</v>
      </c>
      <c r="H589" s="451" t="n">
        <f aca="false">H588+acc_z*pas</f>
        <v>-49.2646108441132</v>
      </c>
      <c r="I589" s="449" t="n">
        <f aca="false">SQRT(vit_x^2+vit_z^2)</f>
        <v>56.7366949686483</v>
      </c>
      <c r="J589" s="450" t="n">
        <f aca="false">J588+0.5*(vit_x+G588)*pas*(K588&gt;=0)</f>
        <v>700.898565639349</v>
      </c>
      <c r="K589" s="451" t="n">
        <f aca="false">K588+0.5*(vit_z+H588)*pas</f>
        <v>1293.66233887595</v>
      </c>
      <c r="L589" s="449" t="n">
        <f aca="false">SQRT(pos_x^2+pos_z^2)</f>
        <v>1471.33308477084</v>
      </c>
      <c r="M589" s="450" t="n">
        <f aca="false">IF(AND(L588&gt;L_rampe,G589&gt;0),ATAN2(G589,H589),$M$4)</f>
        <v>-1.05176974961303</v>
      </c>
      <c r="N589" s="449" t="n">
        <f aca="false">DEGREES(Beta)</f>
        <v>-60.261967672358</v>
      </c>
      <c r="O589" s="438"/>
      <c r="P589" s="452" t="n">
        <f aca="false">MATCH(t-pas/2-T_ini,CdP_t)</f>
        <v>23</v>
      </c>
      <c r="Q589" s="449" t="n">
        <f aca="false">(INDEX(CdP,2,i_P+1)-INDEX(CdP,2,i_P+0))/(INDEX(CdP,1,i_P+1)-INDEX(CdP,1,i_P+0))*(t-pas/2-T_ini-INDEX(CdP,1,i_P+0))+INDEX(CdP,2,i_P+0)</f>
        <v>0</v>
      </c>
      <c r="R589" s="450" t="n">
        <f aca="false">Poussee/(g*ISP)</f>
        <v>0</v>
      </c>
      <c r="S589" s="451" t="n">
        <f aca="false">S588-Débit*pas</f>
        <v>8.652</v>
      </c>
      <c r="T589" s="449" t="n">
        <f aca="false">m*g</f>
        <v>84.87612</v>
      </c>
      <c r="U589" s="453" t="n">
        <f aca="false">IF(pos_xz&lt;L_rampe,Poids*COS(Beta),0)</f>
        <v>0</v>
      </c>
      <c r="V589" s="450" t="n">
        <f aca="false">Rho_moyen*(20000-Alt_rampe-pos_z)/(20000+Alt_rampe+pos_z)</f>
        <v>1.07615417536891</v>
      </c>
      <c r="W589" s="449" t="n">
        <f aca="false">1/2*Rho*Sref*Cx*vit_xz^2</f>
        <v>7.70262578750083</v>
      </c>
      <c r="X589" s="438"/>
      <c r="Y589" s="454" t="str">
        <f aca="false">IF(AND(pos_z&lt;=0,K588&gt;0),"Impact balistique","") &amp; IF(AND(H590&lt;0,vit_z&gt;=0),"Apogée","") &amp; IF(AND(Poussee=0,Q588&gt;0),"Fin de propulsion","") &amp; IF(AND(L590&gt;L_rampe,pos_xz&lt;=L_rampe),"Sortie de rampe","")</f>
        <v/>
      </c>
      <c r="Z589" s="455" t="str">
        <f aca="false">IF(ABS(t-T_para)&lt;pas/2,"Para","")</f>
        <v/>
      </c>
      <c r="AA589" s="456" t="str">
        <f aca="false">IF(ABS(t-T_satellite)&lt;pas/2,"Satellite","")</f>
        <v/>
      </c>
      <c r="AB589" s="444"/>
      <c r="AC589" s="452" t="e">
        <f aca="false">IF(ABS(t-ROUND(t,0))&lt;0.001,t,NA())</f>
        <v>#N/A</v>
      </c>
      <c r="AD589" s="457" t="e">
        <f aca="false">IF(ABS(t-ROUND(t,0))&lt;0.001,pos_x,NA())</f>
        <v>#N/A</v>
      </c>
      <c r="AE589" s="458" t="e">
        <f aca="false">IF(t&lt;T_para, pos_z, NA())</f>
        <v>#N/A</v>
      </c>
      <c r="AF589" s="444"/>
      <c r="AG589" s="450" t="n">
        <f aca="false">IF(AND(L588&lt;L_rampe,Poussee&lt;Poids*SIN(M588)),0,(-W588+Poussee)/m-Poids*SIN(M588)/m)</f>
        <v>7.60929455714617</v>
      </c>
      <c r="AH589" s="449" t="n">
        <f aca="false">IF(AND(L588&lt;L_rampe,Poussee&lt;Poids*SIN(M588)), g*SIN(M588), (-W588+Poussee)/m)</f>
        <v>-0.866060139984282</v>
      </c>
    </row>
    <row r="590" customFormat="false" ht="12" hidden="false" customHeight="false" outlineLevel="0" collapsed="false">
      <c r="A590" s="448" t="n">
        <f aca="false">IF(B589+0.01&lt;=T_ini+ROUNDUP(Temps_fin_propu,0), 0.01, IF(K589&gt;0, 0.1, 0.0001))</f>
        <v>0.1</v>
      </c>
      <c r="B590" s="449" t="n">
        <f aca="false">B589+pas</f>
        <v>22.6</v>
      </c>
      <c r="C590" s="432"/>
      <c r="D590" s="450" t="n">
        <f aca="false">IF(AND(L589&lt;L_rampe,Poussee&lt;Poids*SIN(M589)),0,(-W589+Poussee)/m*COS(M589)-U589/m*SIN(M589))</f>
        <v>-0.441605769674517</v>
      </c>
      <c r="E590" s="451" t="n">
        <f aca="false">IF(AND(L589&lt;L_rampe,Poussee&lt;Poids*SIN(M589)),0,(-W589+Poussee)/m*SIN(M589)+U589/m*COS(M589)-Poids/m)</f>
        <v>-9.03697540590208</v>
      </c>
      <c r="F590" s="449" t="n">
        <f aca="false">SQRT(acc_x^2+acc_z^2)</f>
        <v>9.04775884640439</v>
      </c>
      <c r="G590" s="450" t="n">
        <f aca="false">G589+acc_x*pas</f>
        <v>28.0992342847676</v>
      </c>
      <c r="H590" s="451" t="n">
        <f aca="false">H589+acc_z*pas</f>
        <v>-50.1683083847034</v>
      </c>
      <c r="I590" s="449" t="n">
        <f aca="false">SQRT(vit_x^2+vit_z^2)</f>
        <v>57.501531575889</v>
      </c>
      <c r="J590" s="450" t="n">
        <f aca="false">J589+0.5*(vit_x+G589)*pas*(K589&gt;=0)</f>
        <v>703.710697096674</v>
      </c>
      <c r="K590" s="451" t="n">
        <f aca="false">K589+0.5*(vit_z+H589)*pas</f>
        <v>1288.69069291451</v>
      </c>
      <c r="L590" s="449" t="n">
        <f aca="false">SQRT(pos_x^2+pos_z^2)</f>
        <v>1468.30938402394</v>
      </c>
      <c r="M590" s="450" t="n">
        <f aca="false">IF(AND(L589&gt;L_rampe,G590&gt;0),ATAN2(G590,H590),$M$4)</f>
        <v>-1.06023241616687</v>
      </c>
      <c r="N590" s="449" t="n">
        <f aca="false">DEGREES(Beta)</f>
        <v>-60.7468427493196</v>
      </c>
      <c r="O590" s="438"/>
      <c r="P590" s="452" t="n">
        <f aca="false">MATCH(t-pas/2-T_ini,CdP_t)</f>
        <v>23</v>
      </c>
      <c r="Q590" s="449" t="n">
        <f aca="false">(INDEX(CdP,2,i_P+1)-INDEX(CdP,2,i_P+0))/(INDEX(CdP,1,i_P+1)-INDEX(CdP,1,i_P+0))*(t-pas/2-T_ini-INDEX(CdP,1,i_P+0))+INDEX(CdP,2,i_P+0)</f>
        <v>0</v>
      </c>
      <c r="R590" s="450" t="n">
        <f aca="false">Poussee/(g*ISP)</f>
        <v>0</v>
      </c>
      <c r="S590" s="451" t="n">
        <f aca="false">S589-Débit*pas</f>
        <v>8.652</v>
      </c>
      <c r="T590" s="449" t="n">
        <f aca="false">m*g</f>
        <v>84.87612</v>
      </c>
      <c r="U590" s="453" t="n">
        <f aca="false">IF(pos_xz&lt;L_rampe,Poids*COS(Beta),0)</f>
        <v>0</v>
      </c>
      <c r="V590" s="450" t="n">
        <f aca="false">Rho_moyen*(20000-Alt_rampe-pos_z)/(20000+Alt_rampe+pos_z)</f>
        <v>1.07669157449916</v>
      </c>
      <c r="W590" s="449" t="n">
        <f aca="false">1/2*Rho*Sref*Cx*vit_xz^2</f>
        <v>7.91564623287346</v>
      </c>
      <c r="X590" s="438"/>
      <c r="Y590" s="454" t="str">
        <f aca="false">IF(AND(pos_z&lt;=0,K589&gt;0),"Impact balistique","") &amp; IF(AND(H591&lt;0,vit_z&gt;=0),"Apogée","") &amp; IF(AND(Poussee=0,Q589&gt;0),"Fin de propulsion","") &amp; IF(AND(L591&gt;L_rampe,pos_xz&lt;=L_rampe),"Sortie de rampe","")</f>
        <v/>
      </c>
      <c r="Z590" s="455" t="str">
        <f aca="false">IF(ABS(t-T_para)&lt;pas/2,"Para","")</f>
        <v/>
      </c>
      <c r="AA590" s="456" t="str">
        <f aca="false">IF(ABS(t-T_satellite)&lt;pas/2,"Satellite","")</f>
        <v/>
      </c>
      <c r="AB590" s="444"/>
      <c r="AC590" s="452" t="e">
        <f aca="false">IF(ABS(t-ROUND(t,0))&lt;0.001,t,NA())</f>
        <v>#N/A</v>
      </c>
      <c r="AD590" s="457" t="e">
        <f aca="false">IF(ABS(t-ROUND(t,0))&lt;0.001,pos_x,NA())</f>
        <v>#N/A</v>
      </c>
      <c r="AE590" s="458" t="e">
        <f aca="false">IF(t&lt;T_para, pos_z, NA())</f>
        <v>#N/A</v>
      </c>
      <c r="AF590" s="444"/>
      <c r="AG590" s="450" t="n">
        <f aca="false">IF(AND(L589&lt;L_rampe,Poussee&lt;Poids*SIN(M589)),0,(-W589+Poussee)/m-Poids*SIN(M589)/m)</f>
        <v>7.62777583836282</v>
      </c>
      <c r="AH590" s="449" t="n">
        <f aca="false">IF(AND(L589&lt;L_rampe,Poussee&lt;Poids*SIN(M589)), g*SIN(M589), (-W589+Poussee)/m)</f>
        <v>-0.890271126618219</v>
      </c>
    </row>
    <row r="591" customFormat="false" ht="12" hidden="false" customHeight="false" outlineLevel="0" collapsed="false">
      <c r="A591" s="448" t="n">
        <f aca="false">IF(B590+0.01&lt;=T_ini+ROUNDUP(Temps_fin_propu,0), 0.01, IF(K590&gt;0, 0.1, 0.0001))</f>
        <v>0.1</v>
      </c>
      <c r="B591" s="449" t="n">
        <f aca="false">B590+pas</f>
        <v>22.7</v>
      </c>
      <c r="C591" s="432"/>
      <c r="D591" s="450" t="n">
        <f aca="false">IF(AND(L590&lt;L_rampe,Poussee&lt;Poids*SIN(M590)),0,(-W590+Poussee)/m*COS(M590)-U590/m*SIN(M590))</f>
        <v>-0.447079687376458</v>
      </c>
      <c r="E591" s="451" t="n">
        <f aca="false">IF(AND(L590&lt;L_rampe,Poussee&lt;Poids*SIN(M590)),0,(-W590+Poussee)/m*SIN(M590)+U590/m*COS(M590)-Poids/m)</f>
        <v>-9.01178495251746</v>
      </c>
      <c r="F591" s="449" t="n">
        <f aca="false">SQRT(acc_x^2+acc_z^2)</f>
        <v>9.02286807380473</v>
      </c>
      <c r="G591" s="450" t="n">
        <f aca="false">G590+acc_x*pas</f>
        <v>28.0545263160299</v>
      </c>
      <c r="H591" s="451" t="n">
        <f aca="false">H590+acc_z*pas</f>
        <v>-51.0694868799551</v>
      </c>
      <c r="I591" s="449" t="n">
        <f aca="false">SQRT(vit_x^2+vit_z^2)</f>
        <v>58.2679065781389</v>
      </c>
      <c r="J591" s="450" t="n">
        <f aca="false">J590+0.5*(vit_x+G590)*pas*(K590&gt;=0)</f>
        <v>706.518385126714</v>
      </c>
      <c r="K591" s="451" t="n">
        <f aca="false">K590+0.5*(vit_z+H590)*pas</f>
        <v>1283.62880315127</v>
      </c>
      <c r="L591" s="449" t="n">
        <f aca="false">SQRT(pos_x^2+pos_z^2)</f>
        <v>1465.22050654556</v>
      </c>
      <c r="M591" s="450" t="n">
        <f aca="false">IF(AND(L590&gt;L_rampe,G591&gt;0),ATAN2(G591,H591),$M$4)</f>
        <v>-1.0684597584289</v>
      </c>
      <c r="N591" s="449" t="n">
        <f aca="false">DEGREES(Beta)</f>
        <v>-61.2182347375436</v>
      </c>
      <c r="O591" s="438"/>
      <c r="P591" s="452" t="n">
        <f aca="false">MATCH(t-pas/2-T_ini,CdP_t)</f>
        <v>23</v>
      </c>
      <c r="Q591" s="449" t="n">
        <f aca="false">(INDEX(CdP,2,i_P+1)-INDEX(CdP,2,i_P+0))/(INDEX(CdP,1,i_P+1)-INDEX(CdP,1,i_P+0))*(t-pas/2-T_ini-INDEX(CdP,1,i_P+0))+INDEX(CdP,2,i_P+0)</f>
        <v>0</v>
      </c>
      <c r="R591" s="450" t="n">
        <f aca="false">Poussee/(g*ISP)</f>
        <v>0</v>
      </c>
      <c r="S591" s="451" t="n">
        <f aca="false">S590-Débit*pas</f>
        <v>8.652</v>
      </c>
      <c r="T591" s="449" t="n">
        <f aca="false">m*g</f>
        <v>84.87612</v>
      </c>
      <c r="U591" s="453" t="n">
        <f aca="false">IF(pos_xz&lt;L_rampe,Poids*COS(Beta),0)</f>
        <v>0</v>
      </c>
      <c r="V591" s="450" t="n">
        <f aca="false">Rho_moyen*(20000-Alt_rampe-pos_z)/(20000+Alt_rampe+pos_z)</f>
        <v>1.07723898627404</v>
      </c>
      <c r="W591" s="449" t="n">
        <f aca="false">1/2*Rho*Sref*Cx*vit_xz^2</f>
        <v>8.13218275497719</v>
      </c>
      <c r="X591" s="438"/>
      <c r="Y591" s="454" t="str">
        <f aca="false">IF(AND(pos_z&lt;=0,K590&gt;0),"Impact balistique","") &amp; IF(AND(H592&lt;0,vit_z&gt;=0),"Apogée","") &amp; IF(AND(Poussee=0,Q590&gt;0),"Fin de propulsion","") &amp; IF(AND(L592&gt;L_rampe,pos_xz&lt;=L_rampe),"Sortie de rampe","")</f>
        <v/>
      </c>
      <c r="Z591" s="455" t="str">
        <f aca="false">IF(ABS(t-T_para)&lt;pas/2,"Para","")</f>
        <v/>
      </c>
      <c r="AA591" s="456" t="str">
        <f aca="false">IF(ABS(t-T_satellite)&lt;pas/2,"Satellite","")</f>
        <v/>
      </c>
      <c r="AB591" s="444"/>
      <c r="AC591" s="452" t="e">
        <f aca="false">IF(ABS(t-ROUND(t,0))&lt;0.001,t,NA())</f>
        <v>#N/A</v>
      </c>
      <c r="AD591" s="457" t="e">
        <f aca="false">IF(ABS(t-ROUND(t,0))&lt;0.001,pos_x,NA())</f>
        <v>#N/A</v>
      </c>
      <c r="AE591" s="458" t="e">
        <f aca="false">IF(t&lt;T_para, pos_z, NA())</f>
        <v>#N/A</v>
      </c>
      <c r="AF591" s="444"/>
      <c r="AG591" s="450" t="n">
        <f aca="false">IF(AND(L590&lt;L_rampe,Poussee&lt;Poids*SIN(M590)),0,(-W590+Poussee)/m-Poids*SIN(M590)/m)</f>
        <v>7.64402960527888</v>
      </c>
      <c r="AH591" s="449" t="n">
        <f aca="false">IF(AND(L590&lt;L_rampe,Poussee&lt;Poids*SIN(M590)), g*SIN(M590), (-W590+Poussee)/m)</f>
        <v>-0.914892074996933</v>
      </c>
    </row>
    <row r="592" customFormat="false" ht="12" hidden="false" customHeight="false" outlineLevel="0" collapsed="false">
      <c r="A592" s="448" t="n">
        <f aca="false">IF(B591+0.01&lt;=T_ini+ROUNDUP(Temps_fin_propu,0), 0.01, IF(K591&gt;0, 0.1, 0.0001))</f>
        <v>0.1</v>
      </c>
      <c r="B592" s="449" t="n">
        <f aca="false">B591+pas</f>
        <v>22.8</v>
      </c>
      <c r="C592" s="432"/>
      <c r="D592" s="450" t="n">
        <f aca="false">IF(AND(L591&lt;L_rampe,Poussee&lt;Poids*SIN(M591)),0,(-W591+Poussee)/m*COS(M591)-U591/m*SIN(M591))</f>
        <v>-0.452547473130344</v>
      </c>
      <c r="E592" s="451" t="n">
        <f aca="false">IF(AND(L591&lt;L_rampe,Poussee&lt;Poids*SIN(M591)),0,(-W591+Poussee)/m*SIN(M591)+U591/m*COS(M591)-Poids/m)</f>
        <v>-8.98619827256248</v>
      </c>
      <c r="F592" s="449" t="n">
        <f aca="false">SQRT(acc_x^2+acc_z^2)</f>
        <v>8.99758626572935</v>
      </c>
      <c r="G592" s="450" t="n">
        <f aca="false">G591+acc_x*pas</f>
        <v>28.0092715687169</v>
      </c>
      <c r="H592" s="451" t="n">
        <f aca="false">H591+acc_z*pas</f>
        <v>-51.9681067072114</v>
      </c>
      <c r="I592" s="449" t="n">
        <f aca="false">SQRT(vit_x^2+vit_z^2)</f>
        <v>59.0356113590961</v>
      </c>
      <c r="J592" s="450" t="n">
        <f aca="false">J591+0.5*(vit_x+G591)*pas*(K591&gt;=0)</f>
        <v>709.321575020952</v>
      </c>
      <c r="K592" s="451" t="n">
        <f aca="false">K591+0.5*(vit_z+H591)*pas</f>
        <v>1278.47692347192</v>
      </c>
      <c r="L592" s="449" t="n">
        <f aca="false">SQRT(pos_x^2+pos_z^2)</f>
        <v>1462.0671464199</v>
      </c>
      <c r="M592" s="450" t="n">
        <f aca="false">IF(AND(L591&gt;L_rampe,G592&gt;0),ATAN2(G592,H592),$M$4)</f>
        <v>-1.07646055265377</v>
      </c>
      <c r="N592" s="449" t="n">
        <f aca="false">DEGREES(Beta)</f>
        <v>-61.6766464793814</v>
      </c>
      <c r="O592" s="438"/>
      <c r="P592" s="452" t="n">
        <f aca="false">MATCH(t-pas/2-T_ini,CdP_t)</f>
        <v>23</v>
      </c>
      <c r="Q592" s="449" t="n">
        <f aca="false">(INDEX(CdP,2,i_P+1)-INDEX(CdP,2,i_P+0))/(INDEX(CdP,1,i_P+1)-INDEX(CdP,1,i_P+0))*(t-pas/2-T_ini-INDEX(CdP,1,i_P+0))+INDEX(CdP,2,i_P+0)</f>
        <v>0</v>
      </c>
      <c r="R592" s="450" t="n">
        <f aca="false">Poussee/(g*ISP)</f>
        <v>0</v>
      </c>
      <c r="S592" s="451" t="n">
        <f aca="false">S591-Débit*pas</f>
        <v>8.652</v>
      </c>
      <c r="T592" s="449" t="n">
        <f aca="false">m*g</f>
        <v>84.87612</v>
      </c>
      <c r="U592" s="453" t="n">
        <f aca="false">IF(pos_xz&lt;L_rampe,Poids*COS(Beta),0)</f>
        <v>0</v>
      </c>
      <c r="V592" s="450" t="n">
        <f aca="false">Rho_moyen*(20000-Alt_rampe-pos_z)/(20000+Alt_rampe+pos_z)</f>
        <v>1.07779639732809</v>
      </c>
      <c r="W592" s="449" t="n">
        <f aca="false">1/2*Rho*Sref*Cx*vit_xz^2</f>
        <v>8.35220402606922</v>
      </c>
      <c r="X592" s="438"/>
      <c r="Y592" s="454" t="str">
        <f aca="false">IF(AND(pos_z&lt;=0,K591&gt;0),"Impact balistique","") &amp; IF(AND(H593&lt;0,vit_z&gt;=0),"Apogée","") &amp; IF(AND(Poussee=0,Q591&gt;0),"Fin de propulsion","") &amp; IF(AND(L593&gt;L_rampe,pos_xz&lt;=L_rampe),"Sortie de rampe","")</f>
        <v/>
      </c>
      <c r="Z592" s="455" t="str">
        <f aca="false">IF(ABS(t-T_para)&lt;pas/2,"Para","")</f>
        <v/>
      </c>
      <c r="AA592" s="456" t="str">
        <f aca="false">IF(ABS(t-T_satellite)&lt;pas/2,"Satellite","")</f>
        <v/>
      </c>
      <c r="AB592" s="444"/>
      <c r="AC592" s="452" t="e">
        <f aca="false">IF(ABS(t-ROUND(t,0))&lt;0.001,t,NA())</f>
        <v>#N/A</v>
      </c>
      <c r="AD592" s="457" t="e">
        <f aca="false">IF(ABS(t-ROUND(t,0))&lt;0.001,pos_x,NA())</f>
        <v>#N/A</v>
      </c>
      <c r="AE592" s="458" t="e">
        <f aca="false">IF(t&lt;T_para, pos_z, NA())</f>
        <v>#N/A</v>
      </c>
      <c r="AF592" s="444"/>
      <c r="AG592" s="450" t="n">
        <f aca="false">IF(AND(L591&lt;L_rampe,Poussee&lt;Poids*SIN(M591)),0,(-W591+Poussee)/m-Poids*SIN(M591)/m)</f>
        <v>7.65815276354089</v>
      </c>
      <c r="AH592" s="449" t="n">
        <f aca="false">IF(AND(L591&lt;L_rampe,Poussee&lt;Poids*SIN(M591)), g*SIN(M591), (-W591+Poussee)/m)</f>
        <v>-0.939919412271982</v>
      </c>
    </row>
    <row r="593" customFormat="false" ht="12" hidden="false" customHeight="false" outlineLevel="0" collapsed="false">
      <c r="A593" s="448" t="n">
        <f aca="false">IF(B592+0.01&lt;=T_ini+ROUNDUP(Temps_fin_propu,0), 0.01, IF(K592&gt;0, 0.1, 0.0001))</f>
        <v>0.1</v>
      </c>
      <c r="B593" s="449" t="n">
        <f aca="false">B592+pas</f>
        <v>22.9</v>
      </c>
      <c r="C593" s="432"/>
      <c r="D593" s="450" t="n">
        <f aca="false">IF(AND(L592&lt;L_rampe,Poussee&lt;Poids*SIN(M592)),0,(-W592+Poussee)/m*COS(M592)-U592/m*SIN(M592))</f>
        <v>-0.45800722943399</v>
      </c>
      <c r="E593" s="451" t="n">
        <f aca="false">IF(AND(L592&lt;L_rampe,Poussee&lt;Poids*SIN(M592)),0,(-W592+Poussee)/m*SIN(M592)+U592/m*COS(M592)-Poids/m)</f>
        <v>-8.96021822279435</v>
      </c>
      <c r="F593" s="449" t="n">
        <f aca="false">SQRT(acc_x^2+acc_z^2)</f>
        <v>8.97191625140972</v>
      </c>
      <c r="G593" s="450" t="n">
        <f aca="false">G592+acc_x*pas</f>
        <v>27.9634708457735</v>
      </c>
      <c r="H593" s="451" t="n">
        <f aca="false">H592+acc_z*pas</f>
        <v>-52.8641285294908</v>
      </c>
      <c r="I593" s="449" t="n">
        <f aca="false">SQRT(vit_x^2+vit_z^2)</f>
        <v>59.80444621368</v>
      </c>
      <c r="J593" s="450" t="n">
        <f aca="false">J592+0.5*(vit_x+G592)*pas*(K592&gt;=0)</f>
        <v>712.120212141676</v>
      </c>
      <c r="K593" s="451" t="n">
        <f aca="false">K592+0.5*(vit_z+H592)*pas</f>
        <v>1273.23531171008</v>
      </c>
      <c r="L593" s="449" t="n">
        <f aca="false">SQRT(pos_x^2+pos_z^2)</f>
        <v>1458.85001131925</v>
      </c>
      <c r="M593" s="450" t="n">
        <f aca="false">IF(AND(L592&gt;L_rampe,G593&gt;0),ATAN2(G593,H593),$M$4)</f>
        <v>-1.08424320566114</v>
      </c>
      <c r="N593" s="449" t="n">
        <f aca="false">DEGREES(Beta)</f>
        <v>-62.1225596501185</v>
      </c>
      <c r="O593" s="438"/>
      <c r="P593" s="452" t="n">
        <f aca="false">MATCH(t-pas/2-T_ini,CdP_t)</f>
        <v>23</v>
      </c>
      <c r="Q593" s="449" t="n">
        <f aca="false">(INDEX(CdP,2,i_P+1)-INDEX(CdP,2,i_P+0))/(INDEX(CdP,1,i_P+1)-INDEX(CdP,1,i_P+0))*(t-pas/2-T_ini-INDEX(CdP,1,i_P+0))+INDEX(CdP,2,i_P+0)</f>
        <v>0</v>
      </c>
      <c r="R593" s="450" t="n">
        <f aca="false">Poussee/(g*ISP)</f>
        <v>0</v>
      </c>
      <c r="S593" s="451" t="n">
        <f aca="false">S592-Débit*pas</f>
        <v>8.652</v>
      </c>
      <c r="T593" s="449" t="n">
        <f aca="false">m*g</f>
        <v>84.87612</v>
      </c>
      <c r="U593" s="453" t="n">
        <f aca="false">IF(pos_xz&lt;L_rampe,Poids*COS(Beta),0)</f>
        <v>0</v>
      </c>
      <c r="V593" s="450" t="n">
        <f aca="false">Rho_moyen*(20000-Alt_rampe-pos_z)/(20000+Alt_rampe+pos_z)</f>
        <v>1.07836379408295</v>
      </c>
      <c r="W593" s="449" t="n">
        <f aca="false">1/2*Rho*Sref*Cx*vit_xz^2</f>
        <v>8.57567830934377</v>
      </c>
      <c r="X593" s="438"/>
      <c r="Y593" s="454" t="str">
        <f aca="false">IF(AND(pos_z&lt;=0,K592&gt;0),"Impact balistique","") &amp; IF(AND(H594&lt;0,vit_z&gt;=0),"Apogée","") &amp; IF(AND(Poussee=0,Q592&gt;0),"Fin de propulsion","") &amp; IF(AND(L594&gt;L_rampe,pos_xz&lt;=L_rampe),"Sortie de rampe","")</f>
        <v/>
      </c>
      <c r="Z593" s="455" t="str">
        <f aca="false">IF(ABS(t-T_para)&lt;pas/2,"Para","")</f>
        <v/>
      </c>
      <c r="AA593" s="456" t="str">
        <f aca="false">IF(ABS(t-T_satellite)&lt;pas/2,"Satellite","")</f>
        <v/>
      </c>
      <c r="AB593" s="444"/>
      <c r="AC593" s="452" t="e">
        <f aca="false">IF(ABS(t-ROUND(t,0))&lt;0.001,t,NA())</f>
        <v>#N/A</v>
      </c>
      <c r="AD593" s="457" t="e">
        <f aca="false">IF(ABS(t-ROUND(t,0))&lt;0.001,pos_x,NA())</f>
        <v>#N/A</v>
      </c>
      <c r="AE593" s="458" t="e">
        <f aca="false">IF(t&lt;T_para, pos_z, NA())</f>
        <v>#N/A</v>
      </c>
      <c r="AF593" s="444"/>
      <c r="AG593" s="450" t="n">
        <f aca="false">IF(AND(L592&lt;L_rampe,Poussee&lt;Poids*SIN(M592)),0,(-W592+Poussee)/m-Poids*SIN(M592)/m)</f>
        <v>7.67023695406612</v>
      </c>
      <c r="AH593" s="449" t="n">
        <f aca="false">IF(AND(L592&lt;L_rampe,Poussee&lt;Poids*SIN(M592)), g*SIN(M592), (-W592+Poussee)/m)</f>
        <v>-0.965349517576193</v>
      </c>
    </row>
    <row r="594" customFormat="false" ht="12" hidden="false" customHeight="false" outlineLevel="0" collapsed="false">
      <c r="A594" s="448" t="n">
        <f aca="false">IF(B593+0.01&lt;=T_ini+ROUNDUP(Temps_fin_propu,0), 0.01, IF(K593&gt;0, 0.1, 0.0001))</f>
        <v>0.1</v>
      </c>
      <c r="B594" s="449" t="n">
        <f aca="false">B593+pas</f>
        <v>23</v>
      </c>
      <c r="C594" s="432"/>
      <c r="D594" s="450" t="n">
        <f aca="false">IF(AND(L593&lt;L_rampe,Poussee&lt;Poids*SIN(M593)),0,(-W593+Poussee)/m*COS(M593)-U593/m*SIN(M593))</f>
        <v>-0.463457135242037</v>
      </c>
      <c r="E594" s="451" t="n">
        <f aca="false">IF(AND(L593&lt;L_rampe,Poussee&lt;Poids*SIN(M593)),0,(-W593+Poussee)/m*SIN(M593)+U593/m*COS(M593)-Poids/m)</f>
        <v>-8.93384776194377</v>
      </c>
      <c r="F594" s="449" t="n">
        <f aca="false">SQRT(acc_x^2+acc_z^2)</f>
        <v>8.94586096190828</v>
      </c>
      <c r="G594" s="450" t="n">
        <f aca="false">G593+acc_x*pas</f>
        <v>27.9171251322493</v>
      </c>
      <c r="H594" s="451" t="n">
        <f aca="false">H593+acc_z*pas</f>
        <v>-53.7575133056852</v>
      </c>
      <c r="I594" s="449" t="n">
        <f aca="false">SQRT(vit_x^2+vit_z^2)</f>
        <v>60.5742198667105</v>
      </c>
      <c r="J594" s="450" t="n">
        <f aca="false">J593+0.5*(vit_x+G593)*pas*(K593&gt;=0)</f>
        <v>714.914241940577</v>
      </c>
      <c r="K594" s="451" t="n">
        <f aca="false">K593+0.5*(vit_z+H593)*pas</f>
        <v>1267.90422961832</v>
      </c>
      <c r="L594" s="449" t="n">
        <f aca="false">SQRT(pos_x^2+pos_z^2)</f>
        <v>1455.56982272013</v>
      </c>
      <c r="M594" s="450" t="n">
        <f aca="false">IF(AND(L593&gt;L_rampe,G594&gt;0),ATAN2(G594,H594),$M$4)</f>
        <v>-1.09181576928037</v>
      </c>
      <c r="N594" s="449" t="n">
        <f aca="false">DEGREES(Beta)</f>
        <v>-62.5564355855945</v>
      </c>
      <c r="O594" s="438"/>
      <c r="P594" s="452" t="n">
        <f aca="false">MATCH(t-pas/2-T_ini,CdP_t)</f>
        <v>23</v>
      </c>
      <c r="Q594" s="449" t="n">
        <f aca="false">(INDEX(CdP,2,i_P+1)-INDEX(CdP,2,i_P+0))/(INDEX(CdP,1,i_P+1)-INDEX(CdP,1,i_P+0))*(t-pas/2-T_ini-INDEX(CdP,1,i_P+0))+INDEX(CdP,2,i_P+0)</f>
        <v>0</v>
      </c>
      <c r="R594" s="450" t="n">
        <f aca="false">Poussee/(g*ISP)</f>
        <v>0</v>
      </c>
      <c r="S594" s="451" t="n">
        <f aca="false">S593-Débit*pas</f>
        <v>8.652</v>
      </c>
      <c r="T594" s="449" t="n">
        <f aca="false">m*g</f>
        <v>84.87612</v>
      </c>
      <c r="U594" s="453" t="n">
        <f aca="false">IF(pos_xz&lt;L_rampe,Poids*COS(Beta),0)</f>
        <v>0</v>
      </c>
      <c r="V594" s="450" t="n">
        <f aca="false">Rho_moyen*(20000-Alt_rampe-pos_z)/(20000+Alt_rampe+pos_z)</f>
        <v>1.078941162748</v>
      </c>
      <c r="W594" s="449" t="n">
        <f aca="false">1/2*Rho*Sref*Cx*vit_xz^2</f>
        <v>8.80257346552029</v>
      </c>
      <c r="X594" s="438"/>
      <c r="Y594" s="454" t="str">
        <f aca="false">IF(AND(pos_z&lt;=0,K593&gt;0),"Impact balistique","") &amp; IF(AND(H595&lt;0,vit_z&gt;=0),"Apogée","") &amp; IF(AND(Poussee=0,Q593&gt;0),"Fin de propulsion","") &amp; IF(AND(L595&gt;L_rampe,pos_xz&lt;=L_rampe),"Sortie de rampe","")</f>
        <v/>
      </c>
      <c r="Z594" s="455" t="str">
        <f aca="false">IF(ABS(t-T_para)&lt;pas/2,"Para","")</f>
        <v/>
      </c>
      <c r="AA594" s="456" t="str">
        <f aca="false">IF(ABS(t-T_satellite)&lt;pas/2,"Satellite","")</f>
        <v/>
      </c>
      <c r="AB594" s="444"/>
      <c r="AC594" s="452" t="n">
        <f aca="false">IF(ABS(t-ROUND(t,0))&lt;0.001,t,NA())</f>
        <v>23</v>
      </c>
      <c r="AD594" s="457" t="n">
        <f aca="false">IF(ABS(t-ROUND(t,0))&lt;0.001,pos_x,NA())</f>
        <v>714.914241940577</v>
      </c>
      <c r="AE594" s="458" t="e">
        <f aca="false">IF(t&lt;T_para, pos_z, NA())</f>
        <v>#N/A</v>
      </c>
      <c r="AF594" s="444"/>
      <c r="AG594" s="450" t="n">
        <f aca="false">IF(AND(L593&lt;L_rampe,Poussee&lt;Poids*SIN(M593)),0,(-W593+Poussee)/m-Poids*SIN(M593)/m)</f>
        <v>7.680368857853</v>
      </c>
      <c r="AH594" s="449" t="n">
        <f aca="false">IF(AND(L593&lt;L_rampe,Poussee&lt;Poids*SIN(M593)), g*SIN(M593), (-W593+Poussee)/m)</f>
        <v>-0.991178722762803</v>
      </c>
    </row>
    <row r="595" customFormat="false" ht="12" hidden="false" customHeight="false" outlineLevel="0" collapsed="false">
      <c r="A595" s="448" t="n">
        <f aca="false">IF(B594+0.01&lt;=T_ini+ROUNDUP(Temps_fin_propu,0), 0.01, IF(K594&gt;0, 0.1, 0.0001))</f>
        <v>0.1</v>
      </c>
      <c r="B595" s="449" t="n">
        <f aca="false">B594+pas</f>
        <v>23.1</v>
      </c>
      <c r="C595" s="432"/>
      <c r="D595" s="450" t="n">
        <f aca="false">IF(AND(L594&lt;L_rampe,Poussee&lt;Poids*SIN(M594)),0,(-W594+Poussee)/m*COS(M594)-U594/m*SIN(M594))</f>
        <v>-0.468895442089804</v>
      </c>
      <c r="E595" s="451" t="n">
        <f aca="false">IF(AND(L594&lt;L_rampe,Poussee&lt;Poids*SIN(M594)),0,(-W594+Poussee)/m*SIN(M594)+U594/m*COS(M594)-Poids/m)</f>
        <v>-8.90708994576954</v>
      </c>
      <c r="F595" s="449" t="n">
        <f aca="false">SQRT(acc_x^2+acc_z^2)</f>
        <v>8.91942342517953</v>
      </c>
      <c r="G595" s="450" t="n">
        <f aca="false">G594+acc_x*pas</f>
        <v>27.8702355880403</v>
      </c>
      <c r="H595" s="451" t="n">
        <f aca="false">H594+acc_z*pas</f>
        <v>-54.6482223002621</v>
      </c>
      <c r="I595" s="449" t="n">
        <f aca="false">SQRT(vit_x^2+vit_z^2)</f>
        <v>61.3447490198773</v>
      </c>
      <c r="J595" s="450" t="n">
        <f aca="false">J594+0.5*(vit_x+G594)*pas*(K594&gt;=0)</f>
        <v>717.703609976592</v>
      </c>
      <c r="K595" s="451" t="n">
        <f aca="false">K594+0.5*(vit_z+H594)*pas</f>
        <v>1262.48394283802</v>
      </c>
      <c r="L595" s="449" t="n">
        <f aca="false">SQRT(pos_x^2+pos_z^2)</f>
        <v>1452.22731612419</v>
      </c>
      <c r="M595" s="450" t="n">
        <f aca="false">IF(AND(L594&gt;L_rampe,G595&gt;0),ATAN2(G595,H595),$M$4)</f>
        <v>-1.09918595461194</v>
      </c>
      <c r="N595" s="449" t="n">
        <f aca="false">DEGREES(Beta)</f>
        <v>-62.9787160993226</v>
      </c>
      <c r="O595" s="438"/>
      <c r="P595" s="452" t="n">
        <f aca="false">MATCH(t-pas/2-T_ini,CdP_t)</f>
        <v>23</v>
      </c>
      <c r="Q595" s="449" t="n">
        <f aca="false">(INDEX(CdP,2,i_P+1)-INDEX(CdP,2,i_P+0))/(INDEX(CdP,1,i_P+1)-INDEX(CdP,1,i_P+0))*(t-pas/2-T_ini-INDEX(CdP,1,i_P+0))+INDEX(CdP,2,i_P+0)</f>
        <v>0</v>
      </c>
      <c r="R595" s="450" t="n">
        <f aca="false">Poussee/(g*ISP)</f>
        <v>0</v>
      </c>
      <c r="S595" s="451" t="n">
        <f aca="false">S594-Débit*pas</f>
        <v>8.652</v>
      </c>
      <c r="T595" s="449" t="n">
        <f aca="false">m*g</f>
        <v>84.87612</v>
      </c>
      <c r="U595" s="453" t="n">
        <f aca="false">IF(pos_xz&lt;L_rampe,Poids*COS(Beta),0)</f>
        <v>0</v>
      </c>
      <c r="V595" s="450" t="n">
        <f aca="false">Rho_moyen*(20000-Alt_rampe-pos_z)/(20000+Alt_rampe+pos_z)</f>
        <v>1.07952848932098</v>
      </c>
      <c r="W595" s="449" t="n">
        <f aca="false">1/2*Rho*Sref*Cx*vit_xz^2</f>
        <v>9.03285695961447</v>
      </c>
      <c r="X595" s="438"/>
      <c r="Y595" s="454" t="str">
        <f aca="false">IF(AND(pos_z&lt;=0,K594&gt;0),"Impact balistique","") &amp; IF(AND(H596&lt;0,vit_z&gt;=0),"Apogée","") &amp; IF(AND(Poussee=0,Q594&gt;0),"Fin de propulsion","") &amp; IF(AND(L596&gt;L_rampe,pos_xz&lt;=L_rampe),"Sortie de rampe","")</f>
        <v/>
      </c>
      <c r="Z595" s="455" t="str">
        <f aca="false">IF(ABS(t-T_para)&lt;pas/2,"Para","")</f>
        <v/>
      </c>
      <c r="AA595" s="456" t="str">
        <f aca="false">IF(ABS(t-T_satellite)&lt;pas/2,"Satellite","")</f>
        <v/>
      </c>
      <c r="AB595" s="444"/>
      <c r="AC595" s="452" t="e">
        <f aca="false">IF(ABS(t-ROUND(t,0))&lt;0.001,t,NA())</f>
        <v>#N/A</v>
      </c>
      <c r="AD595" s="457" t="e">
        <f aca="false">IF(ABS(t-ROUND(t,0))&lt;0.001,pos_x,NA())</f>
        <v>#N/A</v>
      </c>
      <c r="AE595" s="458" t="e">
        <f aca="false">IF(t&lt;T_para, pos_z, NA())</f>
        <v>#N/A</v>
      </c>
      <c r="AF595" s="444"/>
      <c r="AG595" s="450" t="n">
        <f aca="false">IF(AND(L594&lt;L_rampe,Poussee&lt;Poids*SIN(M594)),0,(-W594+Poussee)/m-Poids*SIN(M594)/m)</f>
        <v>7.68863048618194</v>
      </c>
      <c r="AH595" s="449" t="n">
        <f aca="false">IF(AND(L594&lt;L_rampe,Poussee&lt;Poids*SIN(M594)), g*SIN(M594), (-W594+Poussee)/m)</f>
        <v>-1.01740331316693</v>
      </c>
    </row>
    <row r="596" customFormat="false" ht="12" hidden="false" customHeight="false" outlineLevel="0" collapsed="false">
      <c r="A596" s="448" t="n">
        <f aca="false">IF(B595+0.01&lt;=T_ini+ROUNDUP(Temps_fin_propu,0), 0.01, IF(K595&gt;0, 0.1, 0.0001))</f>
        <v>0.1</v>
      </c>
      <c r="B596" s="449" t="n">
        <f aca="false">B595+pas</f>
        <v>23.2</v>
      </c>
      <c r="C596" s="432"/>
      <c r="D596" s="450" t="n">
        <f aca="false">IF(AND(L595&lt;L_rampe,Poussee&lt;Poids*SIN(M595)),0,(-W595+Poussee)/m*COS(M595)-U595/m*SIN(M595))</f>
        <v>-0.474320470449148</v>
      </c>
      <c r="E596" s="451" t="n">
        <f aca="false">IF(AND(L595&lt;L_rampe,Poussee&lt;Poids*SIN(M595)),0,(-W595+Poussee)/m*SIN(M595)+U595/m*COS(M595)-Poids/m)</f>
        <v>-8.87994792244264</v>
      </c>
      <c r="F596" s="449" t="n">
        <f aca="false">SQRT(acc_x^2+acc_z^2)</f>
        <v>8.89260676146092</v>
      </c>
      <c r="G596" s="450" t="n">
        <f aca="false">G595+acc_x*pas</f>
        <v>27.8228035409954</v>
      </c>
      <c r="H596" s="451" t="n">
        <f aca="false">H595+acc_z*pas</f>
        <v>-55.5362170925064</v>
      </c>
      <c r="I596" s="449" t="n">
        <f aca="false">SQRT(vit_x^2+vit_z^2)</f>
        <v>62.1158579255477</v>
      </c>
      <c r="J596" s="450" t="n">
        <f aca="false">J595+0.5*(vit_x+G595)*pas*(K595&gt;=0)</f>
        <v>720.488261933043</v>
      </c>
      <c r="K596" s="451" t="n">
        <f aca="false">K595+0.5*(vit_z+H595)*pas</f>
        <v>1256.97472086839</v>
      </c>
      <c r="L596" s="449" t="n">
        <f aca="false">SQRT(pos_x^2+pos_z^2)</f>
        <v>1448.82324128427</v>
      </c>
      <c r="M596" s="450" t="n">
        <f aca="false">IF(AND(L595&gt;L_rampe,G596&gt;0),ATAN2(G596,H596),$M$4)</f>
        <v>-1.10636114603383</v>
      </c>
      <c r="N596" s="449" t="n">
        <f aca="false">DEGREES(Beta)</f>
        <v>-63.3898242849956</v>
      </c>
      <c r="O596" s="438"/>
      <c r="P596" s="452" t="n">
        <f aca="false">MATCH(t-pas/2-T_ini,CdP_t)</f>
        <v>23</v>
      </c>
      <c r="Q596" s="449" t="n">
        <f aca="false">(INDEX(CdP,2,i_P+1)-INDEX(CdP,2,i_P+0))/(INDEX(CdP,1,i_P+1)-INDEX(CdP,1,i_P+0))*(t-pas/2-T_ini-INDEX(CdP,1,i_P+0))+INDEX(CdP,2,i_P+0)</f>
        <v>0</v>
      </c>
      <c r="R596" s="450" t="n">
        <f aca="false">Poussee/(g*ISP)</f>
        <v>0</v>
      </c>
      <c r="S596" s="451" t="n">
        <f aca="false">S595-Débit*pas</f>
        <v>8.652</v>
      </c>
      <c r="T596" s="449" t="n">
        <f aca="false">m*g</f>
        <v>84.87612</v>
      </c>
      <c r="U596" s="453" t="n">
        <f aca="false">IF(pos_xz&lt;L_rampe,Poids*COS(Beta),0)</f>
        <v>0</v>
      </c>
      <c r="V596" s="450" t="n">
        <f aca="false">Rho_moyen*(20000-Alt_rampe-pos_z)/(20000+Alt_rampe+pos_z)</f>
        <v>1.08012575958872</v>
      </c>
      <c r="W596" s="449" t="n">
        <f aca="false">1/2*Rho*Sref*Cx*vit_xz^2</f>
        <v>9.26649586788154</v>
      </c>
      <c r="X596" s="438"/>
      <c r="Y596" s="454" t="str">
        <f aca="false">IF(AND(pos_z&lt;=0,K595&gt;0),"Impact balistique","") &amp; IF(AND(H597&lt;0,vit_z&gt;=0),"Apogée","") &amp; IF(AND(Poussee=0,Q595&gt;0),"Fin de propulsion","") &amp; IF(AND(L597&gt;L_rampe,pos_xz&lt;=L_rampe),"Sortie de rampe","")</f>
        <v/>
      </c>
      <c r="Z596" s="455" t="str">
        <f aca="false">IF(ABS(t-T_para)&lt;pas/2,"Para","")</f>
        <v/>
      </c>
      <c r="AA596" s="456" t="str">
        <f aca="false">IF(ABS(t-T_satellite)&lt;pas/2,"Satellite","")</f>
        <v/>
      </c>
      <c r="AB596" s="444"/>
      <c r="AC596" s="452" t="e">
        <f aca="false">IF(ABS(t-ROUND(t,0))&lt;0.001,t,NA())</f>
        <v>#N/A</v>
      </c>
      <c r="AD596" s="457" t="e">
        <f aca="false">IF(ABS(t-ROUND(t,0))&lt;0.001,pos_x,NA())</f>
        <v>#N/A</v>
      </c>
      <c r="AE596" s="458" t="e">
        <f aca="false">IF(t&lt;T_para, pos_z, NA())</f>
        <v>#N/A</v>
      </c>
      <c r="AF596" s="444"/>
      <c r="AG596" s="450" t="n">
        <f aca="false">IF(AND(L595&lt;L_rampe,Poussee&lt;Poids*SIN(M595)),0,(-W595+Poussee)/m-Poids*SIN(M595)/m)</f>
        <v>7.695099456219</v>
      </c>
      <c r="AH596" s="449" t="n">
        <f aca="false">IF(AND(L595&lt;L_rampe,Poussee&lt;Poids*SIN(M595)), g*SIN(M595), (-W595+Poussee)/m)</f>
        <v>-1.04401952838817</v>
      </c>
    </row>
    <row r="597" customFormat="false" ht="12" hidden="false" customHeight="false" outlineLevel="0" collapsed="false">
      <c r="A597" s="448" t="n">
        <f aca="false">IF(B596+0.01&lt;=T_ini+ROUNDUP(Temps_fin_propu,0), 0.01, IF(K596&gt;0, 0.1, 0.0001))</f>
        <v>0.1</v>
      </c>
      <c r="B597" s="449" t="n">
        <f aca="false">B596+pas</f>
        <v>23.3</v>
      </c>
      <c r="C597" s="432"/>
      <c r="D597" s="450" t="n">
        <f aca="false">IF(AND(L596&lt;L_rampe,Poussee&lt;Poids*SIN(M596)),0,(-W596+Poussee)/m*COS(M596)-U596/m*SIN(M596))</f>
        <v>-0.479730606304003</v>
      </c>
      <c r="E597" s="451" t="n">
        <f aca="false">IF(AND(L596&lt;L_rampe,Poussee&lt;Poids*SIN(M596)),0,(-W596+Poussee)/m*SIN(M596)+U596/m*COS(M596)-Poids/m)</f>
        <v>-8.85242492822973</v>
      </c>
      <c r="F597" s="449" t="n">
        <f aca="false">SQRT(acc_x^2+acc_z^2)</f>
        <v>8.86541417896355</v>
      </c>
      <c r="G597" s="450" t="n">
        <f aca="false">G596+acc_x*pas</f>
        <v>27.774830480365</v>
      </c>
      <c r="H597" s="451" t="n">
        <f aca="false">H596+acc_z*pas</f>
        <v>-56.4214595853294</v>
      </c>
      <c r="I597" s="449" t="n">
        <f aca="false">SQRT(vit_x^2+vit_z^2)</f>
        <v>62.8873779859835</v>
      </c>
      <c r="J597" s="450" t="n">
        <f aca="false">J596+0.5*(vit_x+G596)*pas*(K596&gt;=0)</f>
        <v>723.268143634111</v>
      </c>
      <c r="K597" s="451" t="n">
        <f aca="false">K596+0.5*(vit_z+H596)*pas</f>
        <v>1251.37683703449</v>
      </c>
      <c r="L597" s="449" t="n">
        <f aca="false">SQRT(pos_x^2+pos_z^2)</f>
        <v>1445.35836243556</v>
      </c>
      <c r="M597" s="450" t="n">
        <f aca="false">IF(AND(L596&gt;L_rampe,G597&gt;0),ATAN2(G597,H597),$M$4)</f>
        <v>-1.11334841489619</v>
      </c>
      <c r="N597" s="449" t="n">
        <f aca="false">DEGREES(Beta)</f>
        <v>-63.7901653011321</v>
      </c>
      <c r="O597" s="438"/>
      <c r="P597" s="452" t="n">
        <f aca="false">MATCH(t-pas/2-T_ini,CdP_t)</f>
        <v>23</v>
      </c>
      <c r="Q597" s="449" t="n">
        <f aca="false">(INDEX(CdP,2,i_P+1)-INDEX(CdP,2,i_P+0))/(INDEX(CdP,1,i_P+1)-INDEX(CdP,1,i_P+0))*(t-pas/2-T_ini-INDEX(CdP,1,i_P+0))+INDEX(CdP,2,i_P+0)</f>
        <v>0</v>
      </c>
      <c r="R597" s="450" t="n">
        <f aca="false">Poussee/(g*ISP)</f>
        <v>0</v>
      </c>
      <c r="S597" s="451" t="n">
        <f aca="false">S596-Débit*pas</f>
        <v>8.652</v>
      </c>
      <c r="T597" s="449" t="n">
        <f aca="false">m*g</f>
        <v>84.87612</v>
      </c>
      <c r="U597" s="453" t="n">
        <f aca="false">IF(pos_xz&lt;L_rampe,Poids*COS(Beta),0)</f>
        <v>0</v>
      </c>
      <c r="V597" s="450" t="n">
        <f aca="false">Rho_moyen*(20000-Alt_rampe-pos_z)/(20000+Alt_rampe+pos_z)</f>
        <v>1.08073295912801</v>
      </c>
      <c r="W597" s="449" t="n">
        <f aca="false">1/2*Rho*Sref*Cx*vit_xz^2</f>
        <v>9.50345688492268</v>
      </c>
      <c r="X597" s="438"/>
      <c r="Y597" s="454" t="str">
        <f aca="false">IF(AND(pos_z&lt;=0,K596&gt;0),"Impact balistique","") &amp; IF(AND(H598&lt;0,vit_z&gt;=0),"Apogée","") &amp; IF(AND(Poussee=0,Q596&gt;0),"Fin de propulsion","") &amp; IF(AND(L598&gt;L_rampe,pos_xz&lt;=L_rampe),"Sortie de rampe","")</f>
        <v/>
      </c>
      <c r="Z597" s="455" t="str">
        <f aca="false">IF(ABS(t-T_para)&lt;pas/2,"Para","")</f>
        <v/>
      </c>
      <c r="AA597" s="456" t="str">
        <f aca="false">IF(ABS(t-T_satellite)&lt;pas/2,"Satellite","")</f>
        <v/>
      </c>
      <c r="AB597" s="444"/>
      <c r="AC597" s="452" t="e">
        <f aca="false">IF(ABS(t-ROUND(t,0))&lt;0.001,t,NA())</f>
        <v>#N/A</v>
      </c>
      <c r="AD597" s="457" t="e">
        <f aca="false">IF(ABS(t-ROUND(t,0))&lt;0.001,pos_x,NA())</f>
        <v>#N/A</v>
      </c>
      <c r="AE597" s="458" t="e">
        <f aca="false">IF(t&lt;T_para, pos_z, NA())</f>
        <v>#N/A</v>
      </c>
      <c r="AF597" s="444"/>
      <c r="AG597" s="450" t="n">
        <f aca="false">IF(AND(L596&lt;L_rampe,Poussee&lt;Poids*SIN(M596)),0,(-W596+Poussee)/m-Poids*SIN(M596)/m)</f>
        <v>7.69984925219506</v>
      </c>
      <c r="AH597" s="449" t="n">
        <f aca="false">IF(AND(L596&lt;L_rampe,Poussee&lt;Poids*SIN(M596)), g*SIN(M596), (-W596+Poussee)/m)</f>
        <v>-1.0710235630931</v>
      </c>
    </row>
    <row r="598" customFormat="false" ht="12" hidden="false" customHeight="false" outlineLevel="0" collapsed="false">
      <c r="A598" s="448" t="n">
        <f aca="false">IF(B597+0.01&lt;=T_ini+ROUNDUP(Temps_fin_propu,0), 0.01, IF(K597&gt;0, 0.1, 0.0001))</f>
        <v>0.1</v>
      </c>
      <c r="B598" s="449" t="n">
        <f aca="false">B597+pas</f>
        <v>23.4</v>
      </c>
      <c r="C598" s="432"/>
      <c r="D598" s="450" t="n">
        <f aca="false">IF(AND(L597&lt;L_rampe,Poussee&lt;Poids*SIN(M597)),0,(-W597+Poussee)/m*COS(M597)-U597/m*SIN(M597))</f>
        <v>-0.485124297933594</v>
      </c>
      <c r="E598" s="451" t="n">
        <f aca="false">IF(AND(L597&lt;L_rampe,Poussee&lt;Poids*SIN(M597)),0,(-W597+Poussee)/m*SIN(M597)+U597/m*COS(M597)-Poids/m)</f>
        <v>-8.82452428344895</v>
      </c>
      <c r="F598" s="449" t="n">
        <f aca="false">SQRT(acc_x^2+acc_z^2)</f>
        <v>8.83784896983569</v>
      </c>
      <c r="G598" s="450" t="n">
        <f aca="false">G597+acc_x*pas</f>
        <v>27.7263180505716</v>
      </c>
      <c r="H598" s="451" t="n">
        <f aca="false">H597+acc_z*pas</f>
        <v>-57.3039120136743</v>
      </c>
      <c r="I598" s="449" t="n">
        <f aca="false">SQRT(vit_x^2+vit_z^2)</f>
        <v>63.6591473765741</v>
      </c>
      <c r="J598" s="450" t="n">
        <f aca="false">J597+0.5*(vit_x+G597)*pas*(K597&gt;=0)</f>
        <v>726.043201060658</v>
      </c>
      <c r="K598" s="451" t="n">
        <f aca="false">K597+0.5*(vit_z+H597)*pas</f>
        <v>1245.69056845454</v>
      </c>
      <c r="L598" s="449" t="n">
        <f aca="false">SQRT(pos_x^2+pos_z^2)</f>
        <v>1441.83345853223</v>
      </c>
      <c r="M598" s="450" t="n">
        <f aca="false">IF(AND(L597&gt;L_rampe,G598&gt;0),ATAN2(G598,H598),$M$4)</f>
        <v>-1.12015453286042</v>
      </c>
      <c r="N598" s="449" t="n">
        <f aca="false">DEGREES(Beta)</f>
        <v>-64.1801271353506</v>
      </c>
      <c r="O598" s="438"/>
      <c r="P598" s="452" t="n">
        <f aca="false">MATCH(t-pas/2-T_ini,CdP_t)</f>
        <v>23</v>
      </c>
      <c r="Q598" s="449" t="n">
        <f aca="false">(INDEX(CdP,2,i_P+1)-INDEX(CdP,2,i_P+0))/(INDEX(CdP,1,i_P+1)-INDEX(CdP,1,i_P+0))*(t-pas/2-T_ini-INDEX(CdP,1,i_P+0))+INDEX(CdP,2,i_P+0)</f>
        <v>0</v>
      </c>
      <c r="R598" s="450" t="n">
        <f aca="false">Poussee/(g*ISP)</f>
        <v>0</v>
      </c>
      <c r="S598" s="451" t="n">
        <f aca="false">S597-Débit*pas</f>
        <v>8.652</v>
      </c>
      <c r="T598" s="449" t="n">
        <f aca="false">m*g</f>
        <v>84.87612</v>
      </c>
      <c r="U598" s="453" t="n">
        <f aca="false">IF(pos_xz&lt;L_rampe,Poids*COS(Beta),0)</f>
        <v>0</v>
      </c>
      <c r="V598" s="450" t="n">
        <f aca="false">Rho_moyen*(20000-Alt_rampe-pos_z)/(20000+Alt_rampe+pos_z)</f>
        <v>1.08135007330639</v>
      </c>
      <c r="W598" s="449" t="n">
        <f aca="false">1/2*Rho*Sref*Cx*vit_xz^2</f>
        <v>9.74370633094537</v>
      </c>
      <c r="X598" s="438"/>
      <c r="Y598" s="454" t="str">
        <f aca="false">IF(AND(pos_z&lt;=0,K597&gt;0),"Impact balistique","") &amp; IF(AND(H599&lt;0,vit_z&gt;=0),"Apogée","") &amp; IF(AND(Poussee=0,Q597&gt;0),"Fin de propulsion","") &amp; IF(AND(L599&gt;L_rampe,pos_xz&lt;=L_rampe),"Sortie de rampe","")</f>
        <v/>
      </c>
      <c r="Z598" s="455" t="str">
        <f aca="false">IF(ABS(t-T_para)&lt;pas/2,"Para","")</f>
        <v/>
      </c>
      <c r="AA598" s="456" t="str">
        <f aca="false">IF(ABS(t-T_satellite)&lt;pas/2,"Satellite","")</f>
        <v/>
      </c>
      <c r="AB598" s="444"/>
      <c r="AC598" s="452" t="e">
        <f aca="false">IF(ABS(t-ROUND(t,0))&lt;0.001,t,NA())</f>
        <v>#N/A</v>
      </c>
      <c r="AD598" s="457" t="e">
        <f aca="false">IF(ABS(t-ROUND(t,0))&lt;0.001,pos_x,NA())</f>
        <v>#N/A</v>
      </c>
      <c r="AE598" s="458" t="e">
        <f aca="false">IF(t&lt;T_para, pos_z, NA())</f>
        <v>#N/A</v>
      </c>
      <c r="AF598" s="444"/>
      <c r="AG598" s="450" t="n">
        <f aca="false">IF(AND(L597&lt;L_rampe,Poussee&lt;Poids*SIN(M597)),0,(-W597+Poussee)/m-Poids*SIN(M597)/m)</f>
        <v>7.7029494724574</v>
      </c>
      <c r="AH598" s="449" t="n">
        <f aca="false">IF(AND(L597&lt;L_rampe,Poussee&lt;Poids*SIN(M597)), g*SIN(M597), (-W597+Poussee)/m)</f>
        <v>-1.09841156783665</v>
      </c>
    </row>
    <row r="599" customFormat="false" ht="12" hidden="false" customHeight="false" outlineLevel="0" collapsed="false">
      <c r="A599" s="448" t="n">
        <f aca="false">IF(B598+0.01&lt;=T_ini+ROUNDUP(Temps_fin_propu,0), 0.01, IF(K598&gt;0, 0.1, 0.0001))</f>
        <v>0.1</v>
      </c>
      <c r="B599" s="449" t="n">
        <f aca="false">B598+pas</f>
        <v>23.5</v>
      </c>
      <c r="C599" s="432"/>
      <c r="D599" s="450" t="n">
        <f aca="false">IF(AND(L598&lt;L_rampe,Poussee&lt;Poids*SIN(M598)),0,(-W598+Poussee)/m*COS(M598)-U598/m*SIN(M598))</f>
        <v>-0.490500052891583</v>
      </c>
      <c r="E599" s="451" t="n">
        <f aca="false">IF(AND(L598&lt;L_rampe,Poussee&lt;Poids*SIN(M598)),0,(-W598+Poussee)/m*SIN(M598)+U598/m*COS(M598)-Poids/m)</f>
        <v>-8.79624938867343</v>
      </c>
      <c r="F599" s="449" t="n">
        <f aca="false">SQRT(acc_x^2+acc_z^2)</f>
        <v>8.8099145063743</v>
      </c>
      <c r="G599" s="450" t="n">
        <f aca="false">G598+acc_x*pas</f>
        <v>27.6772680452825</v>
      </c>
      <c r="H599" s="451" t="n">
        <f aca="false">H598+acc_z*pas</f>
        <v>-58.1835369525416</v>
      </c>
      <c r="I599" s="449" t="n">
        <f aca="false">SQRT(vit_x^2+vit_z^2)</f>
        <v>64.4310106917328</v>
      </c>
      <c r="J599" s="450" t="n">
        <f aca="false">J598+0.5*(vit_x+G598)*pas*(K598&gt;=0)</f>
        <v>728.813380365451</v>
      </c>
      <c r="K599" s="451" t="n">
        <f aca="false">K598+0.5*(vit_z+H598)*pas</f>
        <v>1239.91619600623</v>
      </c>
      <c r="L599" s="449" t="n">
        <f aca="false">SQRT(pos_x^2+pos_z^2)</f>
        <v>1438.2493234896</v>
      </c>
      <c r="M599" s="450" t="n">
        <f aca="false">IF(AND(L598&gt;L_rampe,G599&gt;0),ATAN2(G599,H599),$M$4)</f>
        <v>-1.1267859848497</v>
      </c>
      <c r="N599" s="449" t="n">
        <f aca="false">DEGREES(Beta)</f>
        <v>-64.5600813463795</v>
      </c>
      <c r="O599" s="438"/>
      <c r="P599" s="452" t="n">
        <f aca="false">MATCH(t-pas/2-T_ini,CdP_t)</f>
        <v>23</v>
      </c>
      <c r="Q599" s="449" t="n">
        <f aca="false">(INDEX(CdP,2,i_P+1)-INDEX(CdP,2,i_P+0))/(INDEX(CdP,1,i_P+1)-INDEX(CdP,1,i_P+0))*(t-pas/2-T_ini-INDEX(CdP,1,i_P+0))+INDEX(CdP,2,i_P+0)</f>
        <v>0</v>
      </c>
      <c r="R599" s="450" t="n">
        <f aca="false">Poussee/(g*ISP)</f>
        <v>0</v>
      </c>
      <c r="S599" s="451" t="n">
        <f aca="false">S598-Débit*pas</f>
        <v>8.652</v>
      </c>
      <c r="T599" s="449" t="n">
        <f aca="false">m*g</f>
        <v>84.87612</v>
      </c>
      <c r="U599" s="453" t="n">
        <f aca="false">IF(pos_xz&lt;L_rampe,Poids*COS(Beta),0)</f>
        <v>0</v>
      </c>
      <c r="V599" s="450" t="n">
        <f aca="false">Rho_moyen*(20000-Alt_rampe-pos_z)/(20000+Alt_rampe+pos_z)</f>
        <v>1.08197708728312</v>
      </c>
      <c r="W599" s="449" t="n">
        <f aca="false">1/2*Rho*Sref*Cx*vit_xz^2</f>
        <v>9.98721015916918</v>
      </c>
      <c r="X599" s="438"/>
      <c r="Y599" s="454" t="str">
        <f aca="false">IF(AND(pos_z&lt;=0,K598&gt;0),"Impact balistique","") &amp; IF(AND(H600&lt;0,vit_z&gt;=0),"Apogée","") &amp; IF(AND(Poussee=0,Q598&gt;0),"Fin de propulsion","") &amp; IF(AND(L600&gt;L_rampe,pos_xz&lt;=L_rampe),"Sortie de rampe","")</f>
        <v/>
      </c>
      <c r="Z599" s="455" t="str">
        <f aca="false">IF(ABS(t-T_para)&lt;pas/2,"Para","")</f>
        <v/>
      </c>
      <c r="AA599" s="456" t="str">
        <f aca="false">IF(ABS(t-T_satellite)&lt;pas/2,"Satellite","")</f>
        <v/>
      </c>
      <c r="AB599" s="444"/>
      <c r="AC599" s="452" t="e">
        <f aca="false">IF(ABS(t-ROUND(t,0))&lt;0.001,t,NA())</f>
        <v>#N/A</v>
      </c>
      <c r="AD599" s="457" t="e">
        <f aca="false">IF(ABS(t-ROUND(t,0))&lt;0.001,pos_x,NA())</f>
        <v>#N/A</v>
      </c>
      <c r="AE599" s="458" t="e">
        <f aca="false">IF(t&lt;T_para, pos_z, NA())</f>
        <v>#N/A</v>
      </c>
      <c r="AF599" s="444"/>
      <c r="AG599" s="450" t="n">
        <f aca="false">IF(AND(L598&lt;L_rampe,Poussee&lt;Poids*SIN(M598)),0,(-W598+Poussee)/m-Poids*SIN(M598)/m)</f>
        <v>7.70446606278407</v>
      </c>
      <c r="AH599" s="449" t="n">
        <f aca="false">IF(AND(L598&lt;L_rampe,Poussee&lt;Poids*SIN(M598)), g*SIN(M598), (-W598+Poussee)/m)</f>
        <v>-1.12617964990122</v>
      </c>
    </row>
    <row r="600" customFormat="false" ht="12" hidden="false" customHeight="false" outlineLevel="0" collapsed="false">
      <c r="A600" s="448" t="n">
        <f aca="false">IF(B599+0.01&lt;=T_ini+ROUNDUP(Temps_fin_propu,0), 0.01, IF(K599&gt;0, 0.1, 0.0001))</f>
        <v>0.1</v>
      </c>
      <c r="B600" s="449" t="n">
        <f aca="false">B599+pas</f>
        <v>23.6</v>
      </c>
      <c r="C600" s="432"/>
      <c r="D600" s="450" t="n">
        <f aca="false">IF(AND(L599&lt;L_rampe,Poussee&lt;Poids*SIN(M599)),0,(-W599+Poussee)/m*COS(M599)-U599/m*SIN(M599))</f>
        <v>-0.495856435169852</v>
      </c>
      <c r="E600" s="451" t="n">
        <f aca="false">IF(AND(L599&lt;L_rampe,Poussee&lt;Poids*SIN(M599)),0,(-W599+Poussee)/m*SIN(M599)+U599/m*COS(M599)-Poids/m)</f>
        <v>-8.76760372115997</v>
      </c>
      <c r="F600" s="449" t="n">
        <f aca="false">SQRT(acc_x^2+acc_z^2)</f>
        <v>8.78161423746212</v>
      </c>
      <c r="G600" s="450" t="n">
        <f aca="false">G599+acc_x*pas</f>
        <v>27.6276824017655</v>
      </c>
      <c r="H600" s="451" t="n">
        <f aca="false">H599+acc_z*pas</f>
        <v>-59.0602973246576</v>
      </c>
      <c r="I600" s="449" t="n">
        <f aca="false">SQRT(vit_x^2+vit_z^2)</f>
        <v>65.2028186121565</v>
      </c>
      <c r="J600" s="450" t="n">
        <f aca="false">J599+0.5*(vit_x+G599)*pas*(K599&gt;=0)</f>
        <v>731.578627887803</v>
      </c>
      <c r="K600" s="451" t="n">
        <f aca="false">K599+0.5*(vit_z+H599)*pas</f>
        <v>1234.05400429237</v>
      </c>
      <c r="L600" s="449" t="n">
        <f aca="false">SQRT(pos_x^2+pos_z^2)</f>
        <v>1434.60676643192</v>
      </c>
      <c r="M600" s="450" t="n">
        <f aca="false">IF(AND(L599&gt;L_rampe,G600&gt;0),ATAN2(G600,H600),$M$4)</f>
        <v>-1.13324898158699</v>
      </c>
      <c r="N600" s="449" t="n">
        <f aca="false">DEGREES(Beta)</f>
        <v>-64.930383782433</v>
      </c>
      <c r="O600" s="438"/>
      <c r="P600" s="452" t="n">
        <f aca="false">MATCH(t-pas/2-T_ini,CdP_t)</f>
        <v>23</v>
      </c>
      <c r="Q600" s="449" t="n">
        <f aca="false">(INDEX(CdP,2,i_P+1)-INDEX(CdP,2,i_P+0))/(INDEX(CdP,1,i_P+1)-INDEX(CdP,1,i_P+0))*(t-pas/2-T_ini-INDEX(CdP,1,i_P+0))+INDEX(CdP,2,i_P+0)</f>
        <v>0</v>
      </c>
      <c r="R600" s="450" t="n">
        <f aca="false">Poussee/(g*ISP)</f>
        <v>0</v>
      </c>
      <c r="S600" s="451" t="n">
        <f aca="false">S599-Débit*pas</f>
        <v>8.652</v>
      </c>
      <c r="T600" s="449" t="n">
        <f aca="false">m*g</f>
        <v>84.87612</v>
      </c>
      <c r="U600" s="453" t="n">
        <f aca="false">IF(pos_xz&lt;L_rampe,Poids*COS(Beta),0)</f>
        <v>0</v>
      </c>
      <c r="V600" s="450" t="n">
        <f aca="false">Rho_moyen*(20000-Alt_rampe-pos_z)/(20000+Alt_rampe+pos_z)</f>
        <v>1.08261398601015</v>
      </c>
      <c r="W600" s="449" t="n">
        <f aca="false">1/2*Rho*Sref*Cx*vit_xz^2</f>
        <v>10.233933963369</v>
      </c>
      <c r="X600" s="438"/>
      <c r="Y600" s="454" t="str">
        <f aca="false">IF(AND(pos_z&lt;=0,K599&gt;0),"Impact balistique","") &amp; IF(AND(H601&lt;0,vit_z&gt;=0),"Apogée","") &amp; IF(AND(Poussee=0,Q599&gt;0),"Fin de propulsion","") &amp; IF(AND(L601&gt;L_rampe,pos_xz&lt;=L_rampe),"Sortie de rampe","")</f>
        <v/>
      </c>
      <c r="Z600" s="455" t="str">
        <f aca="false">IF(ABS(t-T_para)&lt;pas/2,"Para","")</f>
        <v/>
      </c>
      <c r="AA600" s="456" t="str">
        <f aca="false">IF(ABS(t-T_satellite)&lt;pas/2,"Satellite","")</f>
        <v/>
      </c>
      <c r="AB600" s="444"/>
      <c r="AC600" s="452" t="e">
        <f aca="false">IF(ABS(t-ROUND(t,0))&lt;0.001,t,NA())</f>
        <v>#N/A</v>
      </c>
      <c r="AD600" s="457" t="e">
        <f aca="false">IF(ABS(t-ROUND(t,0))&lt;0.001,pos_x,NA())</f>
        <v>#N/A</v>
      </c>
      <c r="AE600" s="458" t="e">
        <f aca="false">IF(t&lt;T_para, pos_z, NA())</f>
        <v>#N/A</v>
      </c>
      <c r="AF600" s="444"/>
      <c r="AG600" s="450" t="n">
        <f aca="false">IF(AND(L599&lt;L_rampe,Poussee&lt;Poids*SIN(M599)),0,(-W599+Poussee)/m-Poids*SIN(M599)/m)</f>
        <v>7.70446153642088</v>
      </c>
      <c r="AH600" s="449" t="n">
        <f aca="false">IF(AND(L599&lt;L_rampe,Poussee&lt;Poids*SIN(M599)), g*SIN(M599), (-W599+Poussee)/m)</f>
        <v>-1.1543238741527</v>
      </c>
    </row>
    <row r="601" customFormat="false" ht="12" hidden="false" customHeight="false" outlineLevel="0" collapsed="false">
      <c r="A601" s="448" t="n">
        <f aca="false">IF(B600+0.01&lt;=T_ini+ROUNDUP(Temps_fin_propu,0), 0.01, IF(K600&gt;0, 0.1, 0.0001))</f>
        <v>0.1</v>
      </c>
      <c r="B601" s="449" t="n">
        <f aca="false">B600+pas</f>
        <v>23.7</v>
      </c>
      <c r="C601" s="432"/>
      <c r="D601" s="450" t="n">
        <f aca="false">IF(AND(L600&lt;L_rampe,Poussee&lt;Poids*SIN(M600)),0,(-W600+Poussee)/m*COS(M600)-U600/m*SIN(M600))</f>
        <v>-0.501192062536022</v>
      </c>
      <c r="E601" s="451" t="n">
        <f aca="false">IF(AND(L600&lt;L_rampe,Poussee&lt;Poids*SIN(M600)),0,(-W600+Poussee)/m*SIN(M600)+U600/m*COS(M600)-Poids/m)</f>
        <v>-8.73859083148269</v>
      </c>
      <c r="F601" s="449" t="n">
        <f aca="false">SQRT(acc_x^2+acc_z^2)</f>
        <v>8.75295168521011</v>
      </c>
      <c r="G601" s="450" t="n">
        <f aca="false">G600+acc_x*pas</f>
        <v>27.5775631955119</v>
      </c>
      <c r="H601" s="451" t="n">
        <f aca="false">H600+acc_z*pas</f>
        <v>-59.9341564078059</v>
      </c>
      <c r="I601" s="449" t="n">
        <f aca="false">SQRT(vit_x^2+vit_z^2)</f>
        <v>65.9744275921951</v>
      </c>
      <c r="J601" s="450" t="n">
        <f aca="false">J600+0.5*(vit_x+G600)*pas*(K600&gt;=0)</f>
        <v>734.338890167667</v>
      </c>
      <c r="K601" s="451" t="n">
        <f aca="false">K600+0.5*(vit_z+H600)*pas</f>
        <v>1228.10428160575</v>
      </c>
      <c r="L601" s="449" t="n">
        <f aca="false">SQRT(pos_x^2+pos_z^2)</f>
        <v>1430.9066119461</v>
      </c>
      <c r="M601" s="450" t="n">
        <f aca="false">IF(AND(L600&gt;L_rampe,G601&gt;0),ATAN2(G601,H601),$M$4)</f>
        <v>-1.13954947170435</v>
      </c>
      <c r="N601" s="449" t="n">
        <f aca="false">DEGREES(Beta)</f>
        <v>-65.2913752750217</v>
      </c>
      <c r="O601" s="438"/>
      <c r="P601" s="452" t="n">
        <f aca="false">MATCH(t-pas/2-T_ini,CdP_t)</f>
        <v>23</v>
      </c>
      <c r="Q601" s="449" t="n">
        <f aca="false">(INDEX(CdP,2,i_P+1)-INDEX(CdP,2,i_P+0))/(INDEX(CdP,1,i_P+1)-INDEX(CdP,1,i_P+0))*(t-pas/2-T_ini-INDEX(CdP,1,i_P+0))+INDEX(CdP,2,i_P+0)</f>
        <v>0</v>
      </c>
      <c r="R601" s="450" t="n">
        <f aca="false">Poussee/(g*ISP)</f>
        <v>0</v>
      </c>
      <c r="S601" s="451" t="n">
        <f aca="false">S600-Débit*pas</f>
        <v>8.652</v>
      </c>
      <c r="T601" s="449" t="n">
        <f aca="false">m*g</f>
        <v>84.87612</v>
      </c>
      <c r="U601" s="453" t="n">
        <f aca="false">IF(pos_xz&lt;L_rampe,Poids*COS(Beta),0)</f>
        <v>0</v>
      </c>
      <c r="V601" s="450" t="n">
        <f aca="false">Rho_moyen*(20000-Alt_rampe-pos_z)/(20000+Alt_rampe+pos_z)</f>
        <v>1.08326075423319</v>
      </c>
      <c r="W601" s="449" t="n">
        <f aca="false">1/2*Rho*Sref*Cx*vit_xz^2</f>
        <v>10.4838429855479</v>
      </c>
      <c r="X601" s="438"/>
      <c r="Y601" s="454" t="str">
        <f aca="false">IF(AND(pos_z&lt;=0,K600&gt;0),"Impact balistique","") &amp; IF(AND(H602&lt;0,vit_z&gt;=0),"Apogée","") &amp; IF(AND(Poussee=0,Q600&gt;0),"Fin de propulsion","") &amp; IF(AND(L602&gt;L_rampe,pos_xz&lt;=L_rampe),"Sortie de rampe","")</f>
        <v/>
      </c>
      <c r="Z601" s="455" t="str">
        <f aca="false">IF(ABS(t-T_para)&lt;pas/2,"Para","")</f>
        <v/>
      </c>
      <c r="AA601" s="456" t="str">
        <f aca="false">IF(ABS(t-T_satellite)&lt;pas/2,"Satellite","")</f>
        <v/>
      </c>
      <c r="AB601" s="444"/>
      <c r="AC601" s="452" t="e">
        <f aca="false">IF(ABS(t-ROUND(t,0))&lt;0.001,t,NA())</f>
        <v>#N/A</v>
      </c>
      <c r="AD601" s="457" t="e">
        <f aca="false">IF(ABS(t-ROUND(t,0))&lt;0.001,pos_x,NA())</f>
        <v>#N/A</v>
      </c>
      <c r="AE601" s="458" t="e">
        <f aca="false">IF(t&lt;T_para, pos_z, NA())</f>
        <v>#N/A</v>
      </c>
      <c r="AF601" s="444"/>
      <c r="AG601" s="450" t="n">
        <f aca="false">IF(AND(L600&lt;L_rampe,Poussee&lt;Poids*SIN(M600)),0,(-W600+Poussee)/m-Poids*SIN(M600)/m)</f>
        <v>7.70299518134976</v>
      </c>
      <c r="AH601" s="449" t="n">
        <f aca="false">IF(AND(L600&lt;L_rampe,Poussee&lt;Poids*SIN(M600)), g*SIN(M600), (-W600+Poussee)/m)</f>
        <v>-1.18284026391228</v>
      </c>
    </row>
    <row r="602" customFormat="false" ht="12" hidden="false" customHeight="false" outlineLevel="0" collapsed="false">
      <c r="A602" s="448" t="n">
        <f aca="false">IF(B601+0.01&lt;=T_ini+ROUNDUP(Temps_fin_propu,0), 0.01, IF(K601&gt;0, 0.1, 0.0001))</f>
        <v>0.1</v>
      </c>
      <c r="B602" s="449" t="n">
        <f aca="false">B601+pas</f>
        <v>23.8</v>
      </c>
      <c r="C602" s="432"/>
      <c r="D602" s="450" t="n">
        <f aca="false">IF(AND(L601&lt;L_rampe,Poussee&lt;Poids*SIN(M601)),0,(-W601+Poussee)/m*COS(M601)-U601/m*SIN(M601))</f>
        <v>-0.506505604034295</v>
      </c>
      <c r="E602" s="451" t="n">
        <f aca="false">IF(AND(L601&lt;L_rampe,Poussee&lt;Poids*SIN(M601)),0,(-W601+Poussee)/m*SIN(M601)+U601/m*COS(M601)-Poids/m)</f>
        <v>-8.70921434035325</v>
      </c>
      <c r="F602" s="449" t="n">
        <f aca="false">SQRT(acc_x^2+acc_z^2)</f>
        <v>8.7239304417867</v>
      </c>
      <c r="G602" s="450" t="n">
        <f aca="false">G601+acc_x*pas</f>
        <v>27.5269126351085</v>
      </c>
      <c r="H602" s="451" t="n">
        <f aca="false">H601+acc_z*pas</f>
        <v>-60.8050778418412</v>
      </c>
      <c r="I602" s="449" t="n">
        <f aca="false">SQRT(vit_x^2+vit_z^2)</f>
        <v>66.7456995661388</v>
      </c>
      <c r="J602" s="450" t="n">
        <f aca="false">J601+0.5*(vit_x+G601)*pas*(K601&gt;=0)</f>
        <v>737.094113959198</v>
      </c>
      <c r="K602" s="451" t="n">
        <f aca="false">K601+0.5*(vit_z+H601)*pas</f>
        <v>1222.06731989327</v>
      </c>
      <c r="L602" s="449" t="n">
        <f aca="false">SQRT(pos_x^2+pos_z^2)</f>
        <v>1427.14970034135</v>
      </c>
      <c r="M602" s="450" t="n">
        <f aca="false">IF(AND(L601&gt;L_rampe,G602&gt;0),ATAN2(G602,H602),$M$4)</f>
        <v>-1.14569315341347</v>
      </c>
      <c r="N602" s="449" t="n">
        <f aca="false">DEGREES(Beta)</f>
        <v>-65.6433823076261</v>
      </c>
      <c r="O602" s="438"/>
      <c r="P602" s="452" t="n">
        <f aca="false">MATCH(t-pas/2-T_ini,CdP_t)</f>
        <v>23</v>
      </c>
      <c r="Q602" s="449" t="n">
        <f aca="false">(INDEX(CdP,2,i_P+1)-INDEX(CdP,2,i_P+0))/(INDEX(CdP,1,i_P+1)-INDEX(CdP,1,i_P+0))*(t-pas/2-T_ini-INDEX(CdP,1,i_P+0))+INDEX(CdP,2,i_P+0)</f>
        <v>0</v>
      </c>
      <c r="R602" s="450" t="n">
        <f aca="false">Poussee/(g*ISP)</f>
        <v>0</v>
      </c>
      <c r="S602" s="451" t="n">
        <f aca="false">S601-Débit*pas</f>
        <v>8.652</v>
      </c>
      <c r="T602" s="449" t="n">
        <f aca="false">m*g</f>
        <v>84.87612</v>
      </c>
      <c r="U602" s="453" t="n">
        <f aca="false">IF(pos_xz&lt;L_rampe,Poids*COS(Beta),0)</f>
        <v>0</v>
      </c>
      <c r="V602" s="450" t="n">
        <f aca="false">Rho_moyen*(20000-Alt_rampe-pos_z)/(20000+Alt_rampe+pos_z)</f>
        <v>1.08391737649273</v>
      </c>
      <c r="W602" s="449" t="n">
        <f aca="false">1/2*Rho*Sref*Cx*vit_xz^2</f>
        <v>10.7369021237322</v>
      </c>
      <c r="X602" s="438"/>
      <c r="Y602" s="454" t="str">
        <f aca="false">IF(AND(pos_z&lt;=0,K601&gt;0),"Impact balistique","") &amp; IF(AND(H603&lt;0,vit_z&gt;=0),"Apogée","") &amp; IF(AND(Poussee=0,Q601&gt;0),"Fin de propulsion","") &amp; IF(AND(L603&gt;L_rampe,pos_xz&lt;=L_rampe),"Sortie de rampe","")</f>
        <v/>
      </c>
      <c r="Z602" s="455" t="str">
        <f aca="false">IF(ABS(t-T_para)&lt;pas/2,"Para","")</f>
        <v/>
      </c>
      <c r="AA602" s="456" t="str">
        <f aca="false">IF(ABS(t-T_satellite)&lt;pas/2,"Satellite","")</f>
        <v/>
      </c>
      <c r="AB602" s="444"/>
      <c r="AC602" s="452" t="e">
        <f aca="false">IF(ABS(t-ROUND(t,0))&lt;0.001,t,NA())</f>
        <v>#N/A</v>
      </c>
      <c r="AD602" s="457" t="e">
        <f aca="false">IF(ABS(t-ROUND(t,0))&lt;0.001,pos_x,NA())</f>
        <v>#N/A</v>
      </c>
      <c r="AE602" s="458" t="e">
        <f aca="false">IF(t&lt;T_para, pos_z, NA())</f>
        <v>#N/A</v>
      </c>
      <c r="AF602" s="444"/>
      <c r="AG602" s="450" t="n">
        <f aca="false">IF(AND(L601&lt;L_rampe,Poussee&lt;Poids*SIN(M601)),0,(-W601+Poussee)/m-Poids*SIN(M601)/m)</f>
        <v>7.70012325532931</v>
      </c>
      <c r="AH602" s="449" t="n">
        <f aca="false">IF(AND(L601&lt;L_rampe,Poussee&lt;Poids*SIN(M601)), g*SIN(M601), (-W601+Poussee)/m)</f>
        <v>-1.21172480184326</v>
      </c>
    </row>
    <row r="603" customFormat="false" ht="12" hidden="false" customHeight="false" outlineLevel="0" collapsed="false">
      <c r="A603" s="448" t="n">
        <f aca="false">IF(B602+0.01&lt;=T_ini+ROUNDUP(Temps_fin_propu,0), 0.01, IF(K602&gt;0, 0.1, 0.0001))</f>
        <v>0.1</v>
      </c>
      <c r="B603" s="449" t="n">
        <f aca="false">B602+pas</f>
        <v>23.9</v>
      </c>
      <c r="C603" s="432"/>
      <c r="D603" s="450" t="n">
        <f aca="false">IF(AND(L602&lt;L_rampe,Poussee&lt;Poids*SIN(M602)),0,(-W602+Poussee)/m*COS(M602)-U602/m*SIN(M602))</f>
        <v>-0.511795777639673</v>
      </c>
      <c r="E603" s="451" t="n">
        <f aca="false">IF(AND(L602&lt;L_rampe,Poussee&lt;Poids*SIN(M602)),0,(-W602+Poussee)/m*SIN(M602)+U602/m*COS(M602)-Poids/m)</f>
        <v>-8.67947793561073</v>
      </c>
      <c r="F603" s="449" t="n">
        <f aca="false">SQRT(acc_x^2+acc_z^2)</f>
        <v>8.69455416641723</v>
      </c>
      <c r="G603" s="450" t="n">
        <f aca="false">G602+acc_x*pas</f>
        <v>27.4757330573445</v>
      </c>
      <c r="H603" s="451" t="n">
        <f aca="false">H602+acc_z*pas</f>
        <v>-61.6730256354023</v>
      </c>
      <c r="I603" s="449" t="n">
        <f aca="false">SQRT(vit_x^2+vit_z^2)</f>
        <v>67.5165016722833</v>
      </c>
      <c r="J603" s="450" t="n">
        <f aca="false">J602+0.5*(vit_x+G602)*pas*(K602&gt;=0)</f>
        <v>739.844246243821</v>
      </c>
      <c r="K603" s="451" t="n">
        <f aca="false">K602+0.5*(vit_z+H602)*pas</f>
        <v>1215.94341471941</v>
      </c>
      <c r="L603" s="449" t="n">
        <f aca="false">SQRT(pos_x^2+pos_z^2)</f>
        <v>1423.33688791501</v>
      </c>
      <c r="M603" s="450" t="n">
        <f aca="false">IF(AND(L602&gt;L_rampe,G603&gt;0),ATAN2(G603,H603),$M$4)</f>
        <v>-1.15168548573286</v>
      </c>
      <c r="N603" s="449" t="n">
        <f aca="false">DEGREES(Beta)</f>
        <v>-65.9867176589671</v>
      </c>
      <c r="O603" s="438"/>
      <c r="P603" s="452" t="n">
        <f aca="false">MATCH(t-pas/2-T_ini,CdP_t)</f>
        <v>23</v>
      </c>
      <c r="Q603" s="449" t="n">
        <f aca="false">(INDEX(CdP,2,i_P+1)-INDEX(CdP,2,i_P+0))/(INDEX(CdP,1,i_P+1)-INDEX(CdP,1,i_P+0))*(t-pas/2-T_ini-INDEX(CdP,1,i_P+0))+INDEX(CdP,2,i_P+0)</f>
        <v>0</v>
      </c>
      <c r="R603" s="450" t="n">
        <f aca="false">Poussee/(g*ISP)</f>
        <v>0</v>
      </c>
      <c r="S603" s="451" t="n">
        <f aca="false">S602-Débit*pas</f>
        <v>8.652</v>
      </c>
      <c r="T603" s="449" t="n">
        <f aca="false">m*g</f>
        <v>84.87612</v>
      </c>
      <c r="U603" s="453" t="n">
        <f aca="false">IF(pos_xz&lt;L_rampe,Poids*COS(Beta),0)</f>
        <v>0</v>
      </c>
      <c r="V603" s="450" t="n">
        <f aca="false">Rho_moyen*(20000-Alt_rampe-pos_z)/(20000+Alt_rampe+pos_z)</f>
        <v>1.08458383712526</v>
      </c>
      <c r="W603" s="449" t="n">
        <f aca="false">1/2*Rho*Sref*Cx*vit_xz^2</f>
        <v>10.9930759398822</v>
      </c>
      <c r="X603" s="438"/>
      <c r="Y603" s="454" t="str">
        <f aca="false">IF(AND(pos_z&lt;=0,K602&gt;0),"Impact balistique","") &amp; IF(AND(H604&lt;0,vit_z&gt;=0),"Apogée","") &amp; IF(AND(Poussee=0,Q602&gt;0),"Fin de propulsion","") &amp; IF(AND(L604&gt;L_rampe,pos_xz&lt;=L_rampe),"Sortie de rampe","")</f>
        <v/>
      </c>
      <c r="Z603" s="455" t="str">
        <f aca="false">IF(ABS(t-T_para)&lt;pas/2,"Para","")</f>
        <v/>
      </c>
      <c r="AA603" s="456" t="str">
        <f aca="false">IF(ABS(t-T_satellite)&lt;pas/2,"Satellite","")</f>
        <v/>
      </c>
      <c r="AB603" s="444"/>
      <c r="AC603" s="452" t="e">
        <f aca="false">IF(ABS(t-ROUND(t,0))&lt;0.001,t,NA())</f>
        <v>#N/A</v>
      </c>
      <c r="AD603" s="457" t="e">
        <f aca="false">IF(ABS(t-ROUND(t,0))&lt;0.001,pos_x,NA())</f>
        <v>#N/A</v>
      </c>
      <c r="AE603" s="458" t="e">
        <f aca="false">IF(t&lt;T_para, pos_z, NA())</f>
        <v>#N/A</v>
      </c>
      <c r="AF603" s="444"/>
      <c r="AG603" s="450" t="n">
        <f aca="false">IF(AND(L602&lt;L_rampe,Poussee&lt;Poids*SIN(M602)),0,(-W602+Poussee)/m-Poids*SIN(M602)/m)</f>
        <v>7.69589916926785</v>
      </c>
      <c r="AH603" s="449" t="n">
        <f aca="false">IF(AND(L602&lt;L_rampe,Poussee&lt;Poids*SIN(M602)), g*SIN(M602), (-W602+Poussee)/m)</f>
        <v>-1.24097343085208</v>
      </c>
    </row>
    <row r="604" customFormat="false" ht="12" hidden="false" customHeight="false" outlineLevel="0" collapsed="false">
      <c r="A604" s="448" t="n">
        <f aca="false">IF(B603+0.01&lt;=T_ini+ROUNDUP(Temps_fin_propu,0), 0.01, IF(K603&gt;0, 0.1, 0.0001))</f>
        <v>0.1</v>
      </c>
      <c r="B604" s="449" t="n">
        <f aca="false">B603+pas</f>
        <v>24</v>
      </c>
      <c r="C604" s="432"/>
      <c r="D604" s="450" t="n">
        <f aca="false">IF(AND(L603&lt;L_rampe,Poussee&lt;Poids*SIN(M603)),0,(-W603+Poussee)/m*COS(M603)-U603/m*SIN(M603))</f>
        <v>-0.517061348056098</v>
      </c>
      <c r="E604" s="451" t="n">
        <f aca="false">IF(AND(L603&lt;L_rampe,Poussee&lt;Poids*SIN(M603)),0,(-W603+Poussee)/m*SIN(M603)+U603/m*COS(M603)-Poids/m)</f>
        <v>-8.64938536936632</v>
      </c>
      <c r="F604" s="449" t="n">
        <f aca="false">SQRT(acc_x^2+acc_z^2)</f>
        <v>8.66482658253827</v>
      </c>
      <c r="G604" s="450" t="n">
        <f aca="false">G603+acc_x*pas</f>
        <v>27.4240269225389</v>
      </c>
      <c r="H604" s="451" t="n">
        <f aca="false">H603+acc_z*pas</f>
        <v>-62.5379641723389</v>
      </c>
      <c r="I604" s="449" t="n">
        <f aca="false">SQRT(vit_x^2+vit_z^2)</f>
        <v>68.2867059936916</v>
      </c>
      <c r="J604" s="450" t="n">
        <f aca="false">J603+0.5*(vit_x+G603)*pas*(K603&gt;=0)</f>
        <v>742.589234242815</v>
      </c>
      <c r="K604" s="451" t="n">
        <f aca="false">K603+0.5*(vit_z+H603)*pas</f>
        <v>1209.73286522902</v>
      </c>
      <c r="L604" s="449" t="n">
        <f aca="false">SQRT(pos_x^2+pos_z^2)</f>
        <v>1419.46904722454</v>
      </c>
      <c r="M604" s="450" t="n">
        <f aca="false">IF(AND(L603&gt;L_rampe,G604&gt;0),ATAN2(G604,H604),$M$4)</f>
        <v>-1.15753169927127</v>
      </c>
      <c r="N604" s="449" t="n">
        <f aca="false">DEGREES(Beta)</f>
        <v>-66.3216810208501</v>
      </c>
      <c r="O604" s="438"/>
      <c r="P604" s="452" t="n">
        <f aca="false">MATCH(t-pas/2-T_ini,CdP_t)</f>
        <v>23</v>
      </c>
      <c r="Q604" s="449" t="n">
        <f aca="false">(INDEX(CdP,2,i_P+1)-INDEX(CdP,2,i_P+0))/(INDEX(CdP,1,i_P+1)-INDEX(CdP,1,i_P+0))*(t-pas/2-T_ini-INDEX(CdP,1,i_P+0))+INDEX(CdP,2,i_P+0)</f>
        <v>0</v>
      </c>
      <c r="R604" s="450" t="n">
        <f aca="false">Poussee/(g*ISP)</f>
        <v>0</v>
      </c>
      <c r="S604" s="451" t="n">
        <f aca="false">S603-Débit*pas</f>
        <v>8.652</v>
      </c>
      <c r="T604" s="449" t="n">
        <f aca="false">m*g</f>
        <v>84.87612</v>
      </c>
      <c r="U604" s="453" t="n">
        <f aca="false">IF(pos_xz&lt;L_rampe,Poids*COS(Beta),0)</f>
        <v>0</v>
      </c>
      <c r="V604" s="450" t="n">
        <f aca="false">Rho_moyen*(20000-Alt_rampe-pos_z)/(20000+Alt_rampe+pos_z)</f>
        <v>1.08526012026441</v>
      </c>
      <c r="W604" s="449" t="n">
        <f aca="false">1/2*Rho*Sref*Cx*vit_xz^2</f>
        <v>11.252328667911</v>
      </c>
      <c r="X604" s="438"/>
      <c r="Y604" s="454" t="str">
        <f aca="false">IF(AND(pos_z&lt;=0,K603&gt;0),"Impact balistique","") &amp; IF(AND(H605&lt;0,vit_z&gt;=0),"Apogée","") &amp; IF(AND(Poussee=0,Q603&gt;0),"Fin de propulsion","") &amp; IF(AND(L605&gt;L_rampe,pos_xz&lt;=L_rampe),"Sortie de rampe","")</f>
        <v/>
      </c>
      <c r="Z604" s="455" t="str">
        <f aca="false">IF(ABS(t-T_para)&lt;pas/2,"Para","")</f>
        <v/>
      </c>
      <c r="AA604" s="456" t="str">
        <f aca="false">IF(ABS(t-T_satellite)&lt;pas/2,"Satellite","")</f>
        <v/>
      </c>
      <c r="AB604" s="444"/>
      <c r="AC604" s="452" t="n">
        <f aca="false">IF(ABS(t-ROUND(t,0))&lt;0.001,t,NA())</f>
        <v>24</v>
      </c>
      <c r="AD604" s="457" t="n">
        <f aca="false">IF(ABS(t-ROUND(t,0))&lt;0.001,pos_x,NA())</f>
        <v>742.589234242815</v>
      </c>
      <c r="AE604" s="458" t="e">
        <f aca="false">IF(t&lt;T_para, pos_z, NA())</f>
        <v>#N/A</v>
      </c>
      <c r="AF604" s="444"/>
      <c r="AG604" s="450" t="n">
        <f aca="false">IF(AND(L603&lt;L_rampe,Poussee&lt;Poids*SIN(M603)),0,(-W603+Poussee)/m-Poids*SIN(M603)/m)</f>
        <v>7.69037365949744</v>
      </c>
      <c r="AH604" s="449" t="n">
        <f aca="false">IF(AND(L603&lt;L_rampe,Poussee&lt;Poids*SIN(M603)), g*SIN(M603), (-W603+Poussee)/m)</f>
        <v>-1.27058205500256</v>
      </c>
    </row>
    <row r="605" customFormat="false" ht="12" hidden="false" customHeight="false" outlineLevel="0" collapsed="false">
      <c r="A605" s="448" t="n">
        <f aca="false">IF(B604+0.01&lt;=T_ini+ROUNDUP(Temps_fin_propu,0), 0.01, IF(K604&gt;0, 0.1, 0.0001))</f>
        <v>0.1</v>
      </c>
      <c r="B605" s="449" t="n">
        <f aca="false">B604+pas</f>
        <v>24.1</v>
      </c>
      <c r="C605" s="432"/>
      <c r="D605" s="450" t="n">
        <f aca="false">IF(AND(L604&lt;L_rampe,Poussee&lt;Poids*SIN(M604)),0,(-W604+Poussee)/m*COS(M604)-U604/m*SIN(M604))</f>
        <v>-0.522301124649543</v>
      </c>
      <c r="E605" s="451" t="n">
        <f aca="false">IF(AND(L604&lt;L_rampe,Poussee&lt;Poids*SIN(M604)),0,(-W604+Poussee)/m*SIN(M604)+U604/m*COS(M604)-Poids/m)</f>
        <v>-8.61894045528885</v>
      </c>
      <c r="F605" s="449" t="n">
        <f aca="false">SQRT(acc_x^2+acc_z^2)</f>
        <v>8.63475147509325</v>
      </c>
      <c r="G605" s="450" t="n">
        <f aca="false">G604+acc_x*pas</f>
        <v>27.3717968100739</v>
      </c>
      <c r="H605" s="451" t="n">
        <f aca="false">H604+acc_z*pas</f>
        <v>-63.3998582178678</v>
      </c>
      <c r="I605" s="449" t="n">
        <f aca="false">SQRT(vit_x^2+vit_z^2)</f>
        <v>69.0561893146278</v>
      </c>
      <c r="J605" s="450" t="n">
        <f aca="false">J604+0.5*(vit_x+G604)*pas*(K604&gt;=0)</f>
        <v>745.329025429446</v>
      </c>
      <c r="K605" s="451" t="n">
        <f aca="false">K604+0.5*(vit_z+H604)*pas</f>
        <v>1203.43597410951</v>
      </c>
      <c r="L605" s="449" t="n">
        <f aca="false">SQRT(pos_x^2+pos_z^2)</f>
        <v>1415.54706736601</v>
      </c>
      <c r="M605" s="450" t="n">
        <f aca="false">IF(AND(L604&gt;L_rampe,G605&gt;0),ATAN2(G605,H605),$M$4)</f>
        <v>-1.16323680657047</v>
      </c>
      <c r="N605" s="449" t="n">
        <f aca="false">DEGREES(Beta)</f>
        <v>-66.6485595907638</v>
      </c>
      <c r="O605" s="438"/>
      <c r="P605" s="452" t="n">
        <f aca="false">MATCH(t-pas/2-T_ini,CdP_t)</f>
        <v>23</v>
      </c>
      <c r="Q605" s="449" t="n">
        <f aca="false">(INDEX(CdP,2,i_P+1)-INDEX(CdP,2,i_P+0))/(INDEX(CdP,1,i_P+1)-INDEX(CdP,1,i_P+0))*(t-pas/2-T_ini-INDEX(CdP,1,i_P+0))+INDEX(CdP,2,i_P+0)</f>
        <v>0</v>
      </c>
      <c r="R605" s="450" t="n">
        <f aca="false">Poussee/(g*ISP)</f>
        <v>0</v>
      </c>
      <c r="S605" s="451" t="n">
        <f aca="false">S604-Débit*pas</f>
        <v>8.652</v>
      </c>
      <c r="T605" s="449" t="n">
        <f aca="false">m*g</f>
        <v>84.87612</v>
      </c>
      <c r="U605" s="453" t="n">
        <f aca="false">IF(pos_xz&lt;L_rampe,Poids*COS(Beta),0)</f>
        <v>0</v>
      </c>
      <c r="V605" s="450" t="n">
        <f aca="false">Rho_moyen*(20000-Alt_rampe-pos_z)/(20000+Alt_rampe+pos_z)</f>
        <v>1.08594620984219</v>
      </c>
      <c r="W605" s="449" t="n">
        <f aca="false">1/2*Rho*Sref*Cx*vit_xz^2</f>
        <v>11.514624221806</v>
      </c>
      <c r="X605" s="438"/>
      <c r="Y605" s="454" t="str">
        <f aca="false">IF(AND(pos_z&lt;=0,K604&gt;0),"Impact balistique","") &amp; IF(AND(H606&lt;0,vit_z&gt;=0),"Apogée","") &amp; IF(AND(Poussee=0,Q604&gt;0),"Fin de propulsion","") &amp; IF(AND(L606&gt;L_rampe,pos_xz&lt;=L_rampe),"Sortie de rampe","")</f>
        <v/>
      </c>
      <c r="Z605" s="455" t="str">
        <f aca="false">IF(ABS(t-T_para)&lt;pas/2,"Para","")</f>
        <v/>
      </c>
      <c r="AA605" s="456" t="str">
        <f aca="false">IF(ABS(t-T_satellite)&lt;pas/2,"Satellite","")</f>
        <v/>
      </c>
      <c r="AB605" s="444"/>
      <c r="AC605" s="452" t="e">
        <f aca="false">IF(ABS(t-ROUND(t,0))&lt;0.001,t,NA())</f>
        <v>#N/A</v>
      </c>
      <c r="AD605" s="457" t="e">
        <f aca="false">IF(ABS(t-ROUND(t,0))&lt;0.001,pos_x,NA())</f>
        <v>#N/A</v>
      </c>
      <c r="AE605" s="458" t="e">
        <f aca="false">IF(t&lt;T_para, pos_z, NA())</f>
        <v>#N/A</v>
      </c>
      <c r="AF605" s="444"/>
      <c r="AG605" s="450" t="n">
        <f aca="false">IF(AND(L604&lt;L_rampe,Poussee&lt;Poids*SIN(M604)),0,(-W604+Poussee)/m-Poids*SIN(M604)/m)</f>
        <v>7.6835949495175</v>
      </c>
      <c r="AH605" s="449" t="n">
        <f aca="false">IF(AND(L604&lt;L_rampe,Poussee&lt;Poids*SIN(M604)), g*SIN(M604), (-W604+Poussee)/m)</f>
        <v>-1.30054654044279</v>
      </c>
    </row>
    <row r="606" customFormat="false" ht="12" hidden="false" customHeight="false" outlineLevel="0" collapsed="false">
      <c r="A606" s="448" t="n">
        <f aca="false">IF(B605+0.01&lt;=T_ini+ROUNDUP(Temps_fin_propu,0), 0.01, IF(K605&gt;0, 0.1, 0.0001))</f>
        <v>0.1</v>
      </c>
      <c r="B606" s="449" t="n">
        <f aca="false">B605+pas</f>
        <v>24.2</v>
      </c>
      <c r="C606" s="432"/>
      <c r="D606" s="450" t="n">
        <f aca="false">IF(AND(L605&lt;L_rampe,Poussee&lt;Poids*SIN(M605)),0,(-W605+Poussee)/m*COS(M605)-U605/m*SIN(M605))</f>
        <v>-0.527513959507572</v>
      </c>
      <c r="E606" s="451" t="n">
        <f aca="false">IF(AND(L605&lt;L_rampe,Poussee&lt;Poids*SIN(M605)),0,(-W605+Poussee)/m*SIN(M605)+U605/m*COS(M605)-Poids/m)</f>
        <v>-8.5881470660188</v>
      </c>
      <c r="F606" s="449" t="n">
        <f aca="false">SQRT(acc_x^2+acc_z^2)</f>
        <v>8.60433268795685</v>
      </c>
      <c r="G606" s="450" t="n">
        <f aca="false">G605+acc_x*pas</f>
        <v>27.3190454141232</v>
      </c>
      <c r="H606" s="451" t="n">
        <f aca="false">H605+acc_z*pas</f>
        <v>-64.2586729244697</v>
      </c>
      <c r="I606" s="449" t="n">
        <f aca="false">SQRT(vit_x^2+vit_z^2)</f>
        <v>69.8248328916933</v>
      </c>
      <c r="J606" s="450" t="n">
        <f aca="false">J605+0.5*(vit_x+G605)*pas*(K605&gt;=0)</f>
        <v>748.063567540656</v>
      </c>
      <c r="K606" s="451" t="n">
        <f aca="false">K605+0.5*(vit_z+H605)*pas</f>
        <v>1197.05304755239</v>
      </c>
      <c r="L606" s="449" t="n">
        <f aca="false">SQRT(pos_x^2+pos_z^2)</f>
        <v>1411.57185425898</v>
      </c>
      <c r="M606" s="450" t="n">
        <f aca="false">IF(AND(L605&gt;L_rampe,G606&gt;0),ATAN2(G606,H606),$M$4)</f>
        <v>-1.16880561201344</v>
      </c>
      <c r="N606" s="449" t="n">
        <f aca="false">DEGREES(Beta)</f>
        <v>-66.967628639575</v>
      </c>
      <c r="O606" s="438"/>
      <c r="P606" s="452" t="n">
        <f aca="false">MATCH(t-pas/2-T_ini,CdP_t)</f>
        <v>23</v>
      </c>
      <c r="Q606" s="449" t="n">
        <f aca="false">(INDEX(CdP,2,i_P+1)-INDEX(CdP,2,i_P+0))/(INDEX(CdP,1,i_P+1)-INDEX(CdP,1,i_P+0))*(t-pas/2-T_ini-INDEX(CdP,1,i_P+0))+INDEX(CdP,2,i_P+0)</f>
        <v>0</v>
      </c>
      <c r="R606" s="450" t="n">
        <f aca="false">Poussee/(g*ISP)</f>
        <v>0</v>
      </c>
      <c r="S606" s="451" t="n">
        <f aca="false">S605-Débit*pas</f>
        <v>8.652</v>
      </c>
      <c r="T606" s="449" t="n">
        <f aca="false">m*g</f>
        <v>84.87612</v>
      </c>
      <c r="U606" s="453" t="n">
        <f aca="false">IF(pos_xz&lt;L_rampe,Poids*COS(Beta),0)</f>
        <v>0</v>
      </c>
      <c r="V606" s="450" t="n">
        <f aca="false">Rho_moyen*(20000-Alt_rampe-pos_z)/(20000+Alt_rampe+pos_z)</f>
        <v>1.08664208959028</v>
      </c>
      <c r="W606" s="449" t="n">
        <f aca="false">1/2*Rho*Sref*Cx*vit_xz^2</f>
        <v>11.7799262038459</v>
      </c>
      <c r="X606" s="438"/>
      <c r="Y606" s="454" t="str">
        <f aca="false">IF(AND(pos_z&lt;=0,K605&gt;0),"Impact balistique","") &amp; IF(AND(H607&lt;0,vit_z&gt;=0),"Apogée","") &amp; IF(AND(Poussee=0,Q605&gt;0),"Fin de propulsion","") &amp; IF(AND(L607&gt;L_rampe,pos_xz&lt;=L_rampe),"Sortie de rampe","")</f>
        <v/>
      </c>
      <c r="Z606" s="455" t="str">
        <f aca="false">IF(ABS(t-T_para)&lt;pas/2,"Para","")</f>
        <v/>
      </c>
      <c r="AA606" s="456" t="str">
        <f aca="false">IF(ABS(t-T_satellite)&lt;pas/2,"Satellite","")</f>
        <v/>
      </c>
      <c r="AB606" s="444"/>
      <c r="AC606" s="452" t="e">
        <f aca="false">IF(ABS(t-ROUND(t,0))&lt;0.001,t,NA())</f>
        <v>#N/A</v>
      </c>
      <c r="AD606" s="457" t="e">
        <f aca="false">IF(ABS(t-ROUND(t,0))&lt;0.001,pos_x,NA())</f>
        <v>#N/A</v>
      </c>
      <c r="AE606" s="458" t="e">
        <f aca="false">IF(t&lt;T_para, pos_z, NA())</f>
        <v>#N/A</v>
      </c>
      <c r="AF606" s="444"/>
      <c r="AG606" s="450" t="n">
        <f aca="false">IF(AND(L605&lt;L_rampe,Poussee&lt;Poids*SIN(M605)),0,(-W605+Poussee)/m-Poids*SIN(M605)/m)</f>
        <v>7.67560890176999</v>
      </c>
      <c r="AH606" s="449" t="n">
        <f aca="false">IF(AND(L605&lt;L_rampe,Poussee&lt;Poids*SIN(M605)), g*SIN(M605), (-W605+Poussee)/m)</f>
        <v>-1.33086271634374</v>
      </c>
    </row>
    <row r="607" customFormat="false" ht="12" hidden="false" customHeight="false" outlineLevel="0" collapsed="false">
      <c r="A607" s="448" t="n">
        <f aca="false">IF(B606+0.01&lt;=T_ini+ROUNDUP(Temps_fin_propu,0), 0.01, IF(K606&gt;0, 0.1, 0.0001))</f>
        <v>0.1</v>
      </c>
      <c r="B607" s="449" t="n">
        <f aca="false">B606+pas</f>
        <v>24.3</v>
      </c>
      <c r="C607" s="432"/>
      <c r="D607" s="450" t="n">
        <f aca="false">IF(AND(L606&lt;L_rampe,Poussee&lt;Poids*SIN(M606)),0,(-W606+Poussee)/m*COS(M606)-U606/m*SIN(M606))</f>
        <v>-0.532698745617353</v>
      </c>
      <c r="E607" s="451" t="n">
        <f aca="false">IF(AND(L606&lt;L_rampe,Poussee&lt;Poids*SIN(M606)),0,(-W606+Poussee)/m*SIN(M606)+U606/m*COS(M606)-Poids/m)</f>
        <v>-8.55700913069955</v>
      </c>
      <c r="F607" s="449" t="n">
        <f aca="false">SQRT(acc_x^2+acc_z^2)</f>
        <v>8.57357412147686</v>
      </c>
      <c r="G607" s="450" t="n">
        <f aca="false">G606+acc_x*pas</f>
        <v>27.2657755395614</v>
      </c>
      <c r="H607" s="451" t="n">
        <f aca="false">H606+acc_z*pas</f>
        <v>-65.1143738375396</v>
      </c>
      <c r="I607" s="449" t="n">
        <f aca="false">SQRT(vit_x^2+vit_z^2)</f>
        <v>70.5925222387514</v>
      </c>
      <c r="J607" s="450" t="n">
        <f aca="false">J606+0.5*(vit_x+G606)*pas*(K606&gt;=0)</f>
        <v>750.79280858834</v>
      </c>
      <c r="K607" s="451" t="n">
        <f aca="false">K606+0.5*(vit_z+H606)*pas</f>
        <v>1190.58439521429</v>
      </c>
      <c r="L607" s="449" t="n">
        <f aca="false">SQRT(pos_x^2+pos_z^2)</f>
        <v>1407.54433093802</v>
      </c>
      <c r="M607" s="450" t="n">
        <f aca="false">IF(AND(L606&gt;L_rampe,G607&gt;0),ATAN2(G607,H607),$M$4)</f>
        <v>-1.17424272130602</v>
      </c>
      <c r="N607" s="449" t="n">
        <f aca="false">DEGREES(Beta)</f>
        <v>-67.2791520547914</v>
      </c>
      <c r="O607" s="438"/>
      <c r="P607" s="452" t="n">
        <f aca="false">MATCH(t-pas/2-T_ini,CdP_t)</f>
        <v>23</v>
      </c>
      <c r="Q607" s="449" t="n">
        <f aca="false">(INDEX(CdP,2,i_P+1)-INDEX(CdP,2,i_P+0))/(INDEX(CdP,1,i_P+1)-INDEX(CdP,1,i_P+0))*(t-pas/2-T_ini-INDEX(CdP,1,i_P+0))+INDEX(CdP,2,i_P+0)</f>
        <v>0</v>
      </c>
      <c r="R607" s="450" t="n">
        <f aca="false">Poussee/(g*ISP)</f>
        <v>0</v>
      </c>
      <c r="S607" s="451" t="n">
        <f aca="false">S606-Débit*pas</f>
        <v>8.652</v>
      </c>
      <c r="T607" s="449" t="n">
        <f aca="false">m*g</f>
        <v>84.87612</v>
      </c>
      <c r="U607" s="453" t="n">
        <f aca="false">IF(pos_xz&lt;L_rampe,Poids*COS(Beta),0)</f>
        <v>0</v>
      </c>
      <c r="V607" s="450" t="n">
        <f aca="false">Rho_moyen*(20000-Alt_rampe-pos_z)/(20000+Alt_rampe+pos_z)</f>
        <v>1.0873477430413</v>
      </c>
      <c r="W607" s="449" t="n">
        <f aca="false">1/2*Rho*Sref*Cx*vit_xz^2</f>
        <v>12.0481979129076</v>
      </c>
      <c r="X607" s="438"/>
      <c r="Y607" s="454" t="str">
        <f aca="false">IF(AND(pos_z&lt;=0,K606&gt;0),"Impact balistique","") &amp; IF(AND(H608&lt;0,vit_z&gt;=0),"Apogée","") &amp; IF(AND(Poussee=0,Q606&gt;0),"Fin de propulsion","") &amp; IF(AND(L608&gt;L_rampe,pos_xz&lt;=L_rampe),"Sortie de rampe","")</f>
        <v/>
      </c>
      <c r="Z607" s="455" t="str">
        <f aca="false">IF(ABS(t-T_para)&lt;pas/2,"Para","")</f>
        <v/>
      </c>
      <c r="AA607" s="456" t="str">
        <f aca="false">IF(ABS(t-T_satellite)&lt;pas/2,"Satellite","")</f>
        <v/>
      </c>
      <c r="AB607" s="444"/>
      <c r="AC607" s="452" t="e">
        <f aca="false">IF(ABS(t-ROUND(t,0))&lt;0.001,t,NA())</f>
        <v>#N/A</v>
      </c>
      <c r="AD607" s="457" t="e">
        <f aca="false">IF(ABS(t-ROUND(t,0))&lt;0.001,pos_x,NA())</f>
        <v>#N/A</v>
      </c>
      <c r="AE607" s="458" t="e">
        <f aca="false">IF(t&lt;T_para, pos_z, NA())</f>
        <v>#N/A</v>
      </c>
      <c r="AF607" s="444"/>
      <c r="AG607" s="450" t="n">
        <f aca="false">IF(AND(L606&lt;L_rampe,Poussee&lt;Poids*SIN(M606)),0,(-W606+Poussee)/m-Poids*SIN(M606)/m)</f>
        <v>7.66645915999662</v>
      </c>
      <c r="AH607" s="449" t="n">
        <f aca="false">IF(AND(L606&lt;L_rampe,Poussee&lt;Poids*SIN(M606)), g*SIN(M606), (-W606+Poussee)/m)</f>
        <v>-1.36152637584904</v>
      </c>
    </row>
    <row r="608" customFormat="false" ht="12" hidden="false" customHeight="false" outlineLevel="0" collapsed="false">
      <c r="A608" s="448" t="n">
        <f aca="false">IF(B607+0.01&lt;=T_ini+ROUNDUP(Temps_fin_propu,0), 0.01, IF(K607&gt;0, 0.1, 0.0001))</f>
        <v>0.1</v>
      </c>
      <c r="B608" s="449" t="n">
        <f aca="false">B607+pas</f>
        <v>24.4</v>
      </c>
      <c r="C608" s="432"/>
      <c r="D608" s="450" t="n">
        <f aca="false">IF(AND(L607&lt;L_rampe,Poussee&lt;Poids*SIN(M607)),0,(-W607+Poussee)/m*COS(M607)-U607/m*SIN(M607))</f>
        <v>-0.537854415154558</v>
      </c>
      <c r="E608" s="451" t="n">
        <f aca="false">IF(AND(L607&lt;L_rampe,Poussee&lt;Poids*SIN(M607)),0,(-W607+Poussee)/m*SIN(M607)+U607/m*COS(M607)-Poids/m)</f>
        <v>-8.52553063261562</v>
      </c>
      <c r="F608" s="449" t="n">
        <f aca="false">SQRT(acc_x^2+acc_z^2)</f>
        <v>8.54247973012336</v>
      </c>
      <c r="G608" s="450" t="n">
        <f aca="false">G607+acc_x*pas</f>
        <v>27.211990098046</v>
      </c>
      <c r="H608" s="451" t="n">
        <f aca="false">H607+acc_z*pas</f>
        <v>-65.9669269008012</v>
      </c>
      <c r="I608" s="449" t="n">
        <f aca="false">SQRT(vit_x^2+vit_z^2)</f>
        <v>71.3591469247762</v>
      </c>
      <c r="J608" s="450" t="n">
        <f aca="false">J607+0.5*(vit_x+G607)*pas*(K607&gt;=0)</f>
        <v>753.51669687022</v>
      </c>
      <c r="K608" s="451" t="n">
        <f aca="false">K607+0.5*(vit_z+H607)*pas</f>
        <v>1184.03033017737</v>
      </c>
      <c r="L608" s="449" t="n">
        <f aca="false">SQRT(pos_x^2+pos_z^2)</f>
        <v>1403.46543785095</v>
      </c>
      <c r="M608" s="450" t="n">
        <f aca="false">IF(AND(L607&gt;L_rampe,G608&gt;0),ATAN2(G608,H608),$M$4)</f>
        <v>-1.17955255054227</v>
      </c>
      <c r="N608" s="449" t="n">
        <f aca="false">DEGREES(Beta)</f>
        <v>-67.5833828599637</v>
      </c>
      <c r="O608" s="438"/>
      <c r="P608" s="452" t="n">
        <f aca="false">MATCH(t-pas/2-T_ini,CdP_t)</f>
        <v>23</v>
      </c>
      <c r="Q608" s="449" t="n">
        <f aca="false">(INDEX(CdP,2,i_P+1)-INDEX(CdP,2,i_P+0))/(INDEX(CdP,1,i_P+1)-INDEX(CdP,1,i_P+0))*(t-pas/2-T_ini-INDEX(CdP,1,i_P+0))+INDEX(CdP,2,i_P+0)</f>
        <v>0</v>
      </c>
      <c r="R608" s="450" t="n">
        <f aca="false">Poussee/(g*ISP)</f>
        <v>0</v>
      </c>
      <c r="S608" s="451" t="n">
        <f aca="false">S607-Débit*pas</f>
        <v>8.652</v>
      </c>
      <c r="T608" s="449" t="n">
        <f aca="false">m*g</f>
        <v>84.87612</v>
      </c>
      <c r="U608" s="453" t="n">
        <f aca="false">IF(pos_xz&lt;L_rampe,Poids*COS(Beta),0)</f>
        <v>0</v>
      </c>
      <c r="V608" s="450" t="n">
        <f aca="false">Rho_moyen*(20000-Alt_rampe-pos_z)/(20000+Alt_rampe+pos_z)</f>
        <v>1.08806315353022</v>
      </c>
      <c r="W608" s="449" t="n">
        <f aca="false">1/2*Rho*Sref*Cx*vit_xz^2</f>
        <v>12.3194023528582</v>
      </c>
      <c r="X608" s="438"/>
      <c r="Y608" s="454" t="str">
        <f aca="false">IF(AND(pos_z&lt;=0,K607&gt;0),"Impact balistique","") &amp; IF(AND(H609&lt;0,vit_z&gt;=0),"Apogée","") &amp; IF(AND(Poussee=0,Q607&gt;0),"Fin de propulsion","") &amp; IF(AND(L609&gt;L_rampe,pos_xz&lt;=L_rampe),"Sortie de rampe","")</f>
        <v/>
      </c>
      <c r="Z608" s="455" t="str">
        <f aca="false">IF(ABS(t-T_para)&lt;pas/2,"Para","")</f>
        <v/>
      </c>
      <c r="AA608" s="456" t="str">
        <f aca="false">IF(ABS(t-T_satellite)&lt;pas/2,"Satellite","")</f>
        <v/>
      </c>
      <c r="AB608" s="444"/>
      <c r="AC608" s="452" t="e">
        <f aca="false">IF(ABS(t-ROUND(t,0))&lt;0.001,t,NA())</f>
        <v>#N/A</v>
      </c>
      <c r="AD608" s="457" t="e">
        <f aca="false">IF(ABS(t-ROUND(t,0))&lt;0.001,pos_x,NA())</f>
        <v>#N/A</v>
      </c>
      <c r="AE608" s="458" t="e">
        <f aca="false">IF(t&lt;T_para, pos_z, NA())</f>
        <v>#N/A</v>
      </c>
      <c r="AF608" s="444"/>
      <c r="AG608" s="450" t="n">
        <f aca="false">IF(AND(L607&lt;L_rampe,Poussee&lt;Poids*SIN(M607)),0,(-W607+Poussee)/m-Poids*SIN(M607)/m)</f>
        <v>7.65618728271299</v>
      </c>
      <c r="AH608" s="449" t="n">
        <f aca="false">IF(AND(L607&lt;L_rampe,Poussee&lt;Poids*SIN(M607)), g*SIN(M607), (-W607+Poussee)/m)</f>
        <v>-1.39253327703509</v>
      </c>
    </row>
    <row r="609" customFormat="false" ht="12" hidden="false" customHeight="false" outlineLevel="0" collapsed="false">
      <c r="A609" s="448" t="n">
        <f aca="false">IF(B608+0.01&lt;=T_ini+ROUNDUP(Temps_fin_propu,0), 0.01, IF(K608&gt;0, 0.1, 0.0001))</f>
        <v>0.1</v>
      </c>
      <c r="B609" s="449" t="n">
        <f aca="false">B608+pas</f>
        <v>24.5</v>
      </c>
      <c r="C609" s="432"/>
      <c r="D609" s="450" t="n">
        <f aca="false">IF(AND(L608&lt;L_rampe,Poussee&lt;Poids*SIN(M608)),0,(-W608+Poussee)/m*COS(M608)-U608/m*SIN(M608))</f>
        <v>-0.542979937876053</v>
      </c>
      <c r="E609" s="451" t="n">
        <f aca="false">IF(AND(L608&lt;L_rampe,Poussee&lt;Poids*SIN(M608)),0,(-W608+Poussee)/m*SIN(M608)+U608/m*COS(M608)-Poids/m)</f>
        <v>-8.49371560692861</v>
      </c>
      <c r="F609" s="449" t="n">
        <f aca="false">SQRT(acc_x^2+acc_z^2)</f>
        <v>8.51105352023582</v>
      </c>
      <c r="G609" s="450" t="n">
        <f aca="false">G608+acc_x*pas</f>
        <v>27.1576921042584</v>
      </c>
      <c r="H609" s="451" t="n">
        <f aca="false">H608+acc_z*pas</f>
        <v>-66.8162984614941</v>
      </c>
      <c r="I609" s="449" t="n">
        <f aca="false">SQRT(vit_x^2+vit_z^2)</f>
        <v>72.124600383816</v>
      </c>
      <c r="J609" s="450" t="n">
        <f aca="false">J608+0.5*(vit_x+G608)*pas*(K608&gt;=0)</f>
        <v>756.235180980335</v>
      </c>
      <c r="K609" s="451" t="n">
        <f aca="false">K608+0.5*(vit_z+H608)*pas</f>
        <v>1177.39116890926</v>
      </c>
      <c r="L609" s="449" t="n">
        <f aca="false">SQRT(pos_x^2+pos_z^2)</f>
        <v>1399.33613316382</v>
      </c>
      <c r="M609" s="450" t="n">
        <f aca="false">IF(AND(L608&gt;L_rampe,G609&gt;0),ATAN2(G609,H609),$M$4)</f>
        <v>-1.18473933486461</v>
      </c>
      <c r="N609" s="449" t="n">
        <f aca="false">DEGREES(Beta)</f>
        <v>-67.8805637108785</v>
      </c>
      <c r="O609" s="438"/>
      <c r="P609" s="452" t="n">
        <f aca="false">MATCH(t-pas/2-T_ini,CdP_t)</f>
        <v>23</v>
      </c>
      <c r="Q609" s="449" t="n">
        <f aca="false">(INDEX(CdP,2,i_P+1)-INDEX(CdP,2,i_P+0))/(INDEX(CdP,1,i_P+1)-INDEX(CdP,1,i_P+0))*(t-pas/2-T_ini-INDEX(CdP,1,i_P+0))+INDEX(CdP,2,i_P+0)</f>
        <v>0</v>
      </c>
      <c r="R609" s="450" t="n">
        <f aca="false">Poussee/(g*ISP)</f>
        <v>0</v>
      </c>
      <c r="S609" s="451" t="n">
        <f aca="false">S608-Débit*pas</f>
        <v>8.652</v>
      </c>
      <c r="T609" s="449" t="n">
        <f aca="false">m*g</f>
        <v>84.87612</v>
      </c>
      <c r="U609" s="453" t="n">
        <f aca="false">IF(pos_xz&lt;L_rampe,Poids*COS(Beta),0)</f>
        <v>0</v>
      </c>
      <c r="V609" s="450" t="n">
        <f aca="false">Rho_moyen*(20000-Alt_rampe-pos_z)/(20000+Alt_rampe+pos_z)</f>
        <v>1.08878830419572</v>
      </c>
      <c r="W609" s="449" t="n">
        <f aca="false">1/2*Rho*Sref*Cx*vit_xz^2</f>
        <v>12.5935022410239</v>
      </c>
      <c r="X609" s="438"/>
      <c r="Y609" s="454" t="str">
        <f aca="false">IF(AND(pos_z&lt;=0,K608&gt;0),"Impact balistique","") &amp; IF(AND(H610&lt;0,vit_z&gt;=0),"Apogée","") &amp; IF(AND(Poussee=0,Q608&gt;0),"Fin de propulsion","") &amp; IF(AND(L610&gt;L_rampe,pos_xz&lt;=L_rampe),"Sortie de rampe","")</f>
        <v/>
      </c>
      <c r="Z609" s="455" t="str">
        <f aca="false">IF(ABS(t-T_para)&lt;pas/2,"Para","")</f>
        <v/>
      </c>
      <c r="AA609" s="456" t="str">
        <f aca="false">IF(ABS(t-T_satellite)&lt;pas/2,"Satellite","")</f>
        <v/>
      </c>
      <c r="AB609" s="444"/>
      <c r="AC609" s="452" t="e">
        <f aca="false">IF(ABS(t-ROUND(t,0))&lt;0.001,t,NA())</f>
        <v>#N/A</v>
      </c>
      <c r="AD609" s="457" t="e">
        <f aca="false">IF(ABS(t-ROUND(t,0))&lt;0.001,pos_x,NA())</f>
        <v>#N/A</v>
      </c>
      <c r="AE609" s="458" t="e">
        <f aca="false">IF(t&lt;T_para, pos_z, NA())</f>
        <v>#N/A</v>
      </c>
      <c r="AF609" s="444"/>
      <c r="AG609" s="450" t="n">
        <f aca="false">IF(AND(L608&lt;L_rampe,Poussee&lt;Poids*SIN(M608)),0,(-W608+Poussee)/m-Poids*SIN(M608)/m)</f>
        <v>7.64483286831618</v>
      </c>
      <c r="AH609" s="449" t="n">
        <f aca="false">IF(AND(L608&lt;L_rampe,Poussee&lt;Poids*SIN(M608)), g*SIN(M608), (-W608+Poussee)/m)</f>
        <v>-1.42387914388097</v>
      </c>
    </row>
    <row r="610" customFormat="false" ht="12" hidden="false" customHeight="false" outlineLevel="0" collapsed="false">
      <c r="A610" s="448" t="n">
        <f aca="false">IF(B609+0.01&lt;=T_ini+ROUNDUP(Temps_fin_propu,0), 0.01, IF(K609&gt;0, 0.1, 0.0001))</f>
        <v>0.1</v>
      </c>
      <c r="B610" s="449" t="n">
        <f aca="false">B609+pas</f>
        <v>24.6</v>
      </c>
      <c r="C610" s="432"/>
      <c r="D610" s="450" t="n">
        <f aca="false">IF(AND(L609&lt;L_rampe,Poussee&lt;Poids*SIN(M609)),0,(-W609+Poussee)/m*COS(M609)-U609/m*SIN(M609))</f>
        <v>-0.548074319609676</v>
      </c>
      <c r="E610" s="451" t="n">
        <f aca="false">IF(AND(L609&lt;L_rampe,Poussee&lt;Poids*SIN(M609)),0,(-W609+Poussee)/m*SIN(M609)+U609/m*COS(M609)-Poids/m)</f>
        <v>-8.46156813850253</v>
      </c>
      <c r="F610" s="449" t="n">
        <f aca="false">SQRT(acc_x^2+acc_z^2)</f>
        <v>8.47929954785988</v>
      </c>
      <c r="G610" s="450" t="n">
        <f aca="false">G609+acc_x*pas</f>
        <v>27.1028846722974</v>
      </c>
      <c r="H610" s="451" t="n">
        <f aca="false">H609+acc_z*pas</f>
        <v>-67.6624552753443</v>
      </c>
      <c r="I610" s="449" t="n">
        <f aca="false">SQRT(vit_x^2+vit_z^2)</f>
        <v>72.8887797363066</v>
      </c>
      <c r="J610" s="450" t="n">
        <f aca="false">J609+0.5*(vit_x+G609)*pas*(K609&gt;=0)</f>
        <v>758.948209819163</v>
      </c>
      <c r="K610" s="451" t="n">
        <f aca="false">K609+0.5*(vit_z+H609)*pas</f>
        <v>1170.66723122242</v>
      </c>
      <c r="L610" s="449" t="n">
        <f aca="false">SQRT(pos_x^2+pos_z^2)</f>
        <v>1395.15739307279</v>
      </c>
      <c r="M610" s="450" t="n">
        <f aca="false">IF(AND(L609&gt;L_rampe,G610&gt;0),ATAN2(G610,H610),$M$4)</f>
        <v>-1.18980713673128</v>
      </c>
      <c r="N610" s="449" t="n">
        <f aca="false">DEGREES(Beta)</f>
        <v>-68.1709273692475</v>
      </c>
      <c r="O610" s="438"/>
      <c r="P610" s="452" t="n">
        <f aca="false">MATCH(t-pas/2-T_ini,CdP_t)</f>
        <v>23</v>
      </c>
      <c r="Q610" s="449" t="n">
        <f aca="false">(INDEX(CdP,2,i_P+1)-INDEX(CdP,2,i_P+0))/(INDEX(CdP,1,i_P+1)-INDEX(CdP,1,i_P+0))*(t-pas/2-T_ini-INDEX(CdP,1,i_P+0))+INDEX(CdP,2,i_P+0)</f>
        <v>0</v>
      </c>
      <c r="R610" s="450" t="n">
        <f aca="false">Poussee/(g*ISP)</f>
        <v>0</v>
      </c>
      <c r="S610" s="451" t="n">
        <f aca="false">S609-Débit*pas</f>
        <v>8.652</v>
      </c>
      <c r="T610" s="449" t="n">
        <f aca="false">m*g</f>
        <v>84.87612</v>
      </c>
      <c r="U610" s="453" t="n">
        <f aca="false">IF(pos_xz&lt;L_rampe,Poids*COS(Beta),0)</f>
        <v>0</v>
      </c>
      <c r="V610" s="450" t="n">
        <f aca="false">Rho_moyen*(20000-Alt_rampe-pos_z)/(20000+Alt_rampe+pos_z)</f>
        <v>1.08952317798161</v>
      </c>
      <c r="W610" s="449" t="n">
        <f aca="false">1/2*Rho*Sref*Cx*vit_xz^2</f>
        <v>12.870460016734</v>
      </c>
      <c r="X610" s="438"/>
      <c r="Y610" s="454" t="str">
        <f aca="false">IF(AND(pos_z&lt;=0,K609&gt;0),"Impact balistique","") &amp; IF(AND(H611&lt;0,vit_z&gt;=0),"Apogée","") &amp; IF(AND(Poussee=0,Q609&gt;0),"Fin de propulsion","") &amp; IF(AND(L611&gt;L_rampe,pos_xz&lt;=L_rampe),"Sortie de rampe","")</f>
        <v/>
      </c>
      <c r="Z610" s="455" t="str">
        <f aca="false">IF(ABS(t-T_para)&lt;pas/2,"Para","")</f>
        <v/>
      </c>
      <c r="AA610" s="456" t="str">
        <f aca="false">IF(ABS(t-T_satellite)&lt;pas/2,"Satellite","")</f>
        <v/>
      </c>
      <c r="AB610" s="444"/>
      <c r="AC610" s="452" t="e">
        <f aca="false">IF(ABS(t-ROUND(t,0))&lt;0.001,t,NA())</f>
        <v>#N/A</v>
      </c>
      <c r="AD610" s="457" t="e">
        <f aca="false">IF(ABS(t-ROUND(t,0))&lt;0.001,pos_x,NA())</f>
        <v>#N/A</v>
      </c>
      <c r="AE610" s="458" t="e">
        <f aca="false">IF(t&lt;T_para, pos_z, NA())</f>
        <v>#N/A</v>
      </c>
      <c r="AF610" s="444"/>
      <c r="AG610" s="450" t="n">
        <f aca="false">IF(AND(L609&lt;L_rampe,Poussee&lt;Poids*SIN(M609)),0,(-W609+Poussee)/m-Poids*SIN(M609)/m)</f>
        <v>7.63243367232252</v>
      </c>
      <c r="AH610" s="449" t="n">
        <f aca="false">IF(AND(L609&lt;L_rampe,Poussee&lt;Poids*SIN(M609)), g*SIN(M609), (-W609+Poussee)/m)</f>
        <v>-1.45555966724733</v>
      </c>
    </row>
    <row r="611" customFormat="false" ht="12" hidden="false" customHeight="false" outlineLevel="0" collapsed="false">
      <c r="A611" s="448" t="n">
        <f aca="false">IF(B610+0.01&lt;=T_ini+ROUNDUP(Temps_fin_propu,0), 0.01, IF(K610&gt;0, 0.1, 0.0001))</f>
        <v>0.1</v>
      </c>
      <c r="B611" s="449" t="n">
        <f aca="false">B610+pas</f>
        <v>24.7</v>
      </c>
      <c r="C611" s="432"/>
      <c r="D611" s="450" t="n">
        <f aca="false">IF(AND(L610&lt;L_rampe,Poussee&lt;Poids*SIN(M610)),0,(-W610+Poussee)/m*COS(M610)-U610/m*SIN(M610))</f>
        <v>-0.553136600834825</v>
      </c>
      <c r="E611" s="451" t="n">
        <f aca="false">IF(AND(L610&lt;L_rampe,Poussee&lt;Poids*SIN(M610)),0,(-W610+Poussee)/m*SIN(M610)+U610/m*COS(M610)-Poids/m)</f>
        <v>-8.4290923598108</v>
      </c>
      <c r="F611" s="449" t="n">
        <f aca="false">SQRT(acc_x^2+acc_z^2)</f>
        <v>8.44722191666609</v>
      </c>
      <c r="G611" s="450" t="n">
        <f aca="false">G610+acc_x*pas</f>
        <v>27.0475710122139</v>
      </c>
      <c r="H611" s="451" t="n">
        <f aca="false">H610+acc_z*pas</f>
        <v>-68.5053645113254</v>
      </c>
      <c r="I611" s="449" t="n">
        <f aca="false">SQRT(vit_x^2+vit_z^2)</f>
        <v>73.6515856210192</v>
      </c>
      <c r="J611" s="450" t="n">
        <f aca="false">J610+0.5*(vit_x+G610)*pas*(K610&gt;=0)</f>
        <v>761.655732603389</v>
      </c>
      <c r="K611" s="451" t="n">
        <f aca="false">K610+0.5*(vit_z+H610)*pas</f>
        <v>1163.85884023308</v>
      </c>
      <c r="L611" s="449" t="n">
        <f aca="false">SQRT(pos_x^2+pos_z^2)</f>
        <v>1390.93021212292</v>
      </c>
      <c r="M611" s="450" t="n">
        <f aca="false">IF(AND(L610&gt;L_rampe,G611&gt;0),ATAN2(G611,H611),$M$4)</f>
        <v>-1.19475985380414</v>
      </c>
      <c r="N611" s="449" t="n">
        <f aca="false">DEGREES(Beta)</f>
        <v>-68.4546971546443</v>
      </c>
      <c r="O611" s="438"/>
      <c r="P611" s="452" t="n">
        <f aca="false">MATCH(t-pas/2-T_ini,CdP_t)</f>
        <v>23</v>
      </c>
      <c r="Q611" s="449" t="n">
        <f aca="false">(INDEX(CdP,2,i_P+1)-INDEX(CdP,2,i_P+0))/(INDEX(CdP,1,i_P+1)-INDEX(CdP,1,i_P+0))*(t-pas/2-T_ini-INDEX(CdP,1,i_P+0))+INDEX(CdP,2,i_P+0)</f>
        <v>0</v>
      </c>
      <c r="R611" s="450" t="n">
        <f aca="false">Poussee/(g*ISP)</f>
        <v>0</v>
      </c>
      <c r="S611" s="451" t="n">
        <f aca="false">S610-Débit*pas</f>
        <v>8.652</v>
      </c>
      <c r="T611" s="449" t="n">
        <f aca="false">m*g</f>
        <v>84.87612</v>
      </c>
      <c r="U611" s="453" t="n">
        <f aca="false">IF(pos_xz&lt;L_rampe,Poids*COS(Beta),0)</f>
        <v>0</v>
      </c>
      <c r="V611" s="450" t="n">
        <f aca="false">Rho_moyen*(20000-Alt_rampe-pos_z)/(20000+Alt_rampe+pos_z)</f>
        <v>1.0902677576383</v>
      </c>
      <c r="W611" s="449" t="n">
        <f aca="false">1/2*Rho*Sref*Cx*vit_xz^2</f>
        <v>13.1502378499314</v>
      </c>
      <c r="X611" s="438"/>
      <c r="Y611" s="454" t="str">
        <f aca="false">IF(AND(pos_z&lt;=0,K610&gt;0),"Impact balistique","") &amp; IF(AND(H612&lt;0,vit_z&gt;=0),"Apogée","") &amp; IF(AND(Poussee=0,Q610&gt;0),"Fin de propulsion","") &amp; IF(AND(L612&gt;L_rampe,pos_xz&lt;=L_rampe),"Sortie de rampe","")</f>
        <v/>
      </c>
      <c r="Z611" s="455" t="str">
        <f aca="false">IF(ABS(t-T_para)&lt;pas/2,"Para","")</f>
        <v/>
      </c>
      <c r="AA611" s="456" t="str">
        <f aca="false">IF(ABS(t-T_satellite)&lt;pas/2,"Satellite","")</f>
        <v/>
      </c>
      <c r="AB611" s="444"/>
      <c r="AC611" s="452" t="e">
        <f aca="false">IF(ABS(t-ROUND(t,0))&lt;0.001,t,NA())</f>
        <v>#N/A</v>
      </c>
      <c r="AD611" s="457" t="e">
        <f aca="false">IF(ABS(t-ROUND(t,0))&lt;0.001,pos_x,NA())</f>
        <v>#N/A</v>
      </c>
      <c r="AE611" s="458" t="e">
        <f aca="false">IF(t&lt;T_para, pos_z, NA())</f>
        <v>#N/A</v>
      </c>
      <c r="AF611" s="444"/>
      <c r="AG611" s="450" t="n">
        <f aca="false">IF(AND(L610&lt;L_rampe,Poussee&lt;Poids*SIN(M610)),0,(-W610+Poussee)/m-Poids*SIN(M610)/m)</f>
        <v>7.61902571721023</v>
      </c>
      <c r="AH611" s="449" t="n">
        <f aca="false">IF(AND(L610&lt;L_rampe,Poussee&lt;Poids*SIN(M610)), g*SIN(M610), (-W610+Poussee)/m)</f>
        <v>-1.48757050586385</v>
      </c>
    </row>
    <row r="612" customFormat="false" ht="12" hidden="false" customHeight="false" outlineLevel="0" collapsed="false">
      <c r="A612" s="448" t="n">
        <f aca="false">IF(B611+0.01&lt;=T_ini+ROUNDUP(Temps_fin_propu,0), 0.01, IF(K611&gt;0, 0.1, 0.0001))</f>
        <v>0.1</v>
      </c>
      <c r="B612" s="449" t="n">
        <f aca="false">B611+pas</f>
        <v>24.8</v>
      </c>
      <c r="C612" s="432"/>
      <c r="D612" s="450" t="n">
        <f aca="false">IF(AND(L611&lt;L_rampe,Poussee&lt;Poids*SIN(M611)),0,(-W611+Poussee)/m*COS(M611)-U611/m*SIN(M611))</f>
        <v>-0.558165855347967</v>
      </c>
      <c r="E612" s="451" t="n">
        <f aca="false">IF(AND(L611&lt;L_rampe,Poussee&lt;Poids*SIN(M611)),0,(-W611+Poussee)/m*SIN(M611)+U611/m*COS(M611)-Poids/m)</f>
        <v>-8.39629244891819</v>
      </c>
      <c r="F612" s="449" t="n">
        <f aca="false">SQRT(acc_x^2+acc_z^2)</f>
        <v>8.41482477594376</v>
      </c>
      <c r="G612" s="450" t="n">
        <f aca="false">G611+acc_x*pas</f>
        <v>26.9917544266791</v>
      </c>
      <c r="H612" s="451" t="n">
        <f aca="false">H611+acc_z*pas</f>
        <v>-69.3449937562172</v>
      </c>
      <c r="I612" s="449" t="n">
        <f aca="false">SQRT(vit_x^2+vit_z^2)</f>
        <v>74.4129220369685</v>
      </c>
      <c r="J612" s="450" t="n">
        <f aca="false">J611+0.5*(vit_x+G611)*pas*(K611&gt;=0)</f>
        <v>764.357698875333</v>
      </c>
      <c r="K612" s="451" t="n">
        <f aca="false">K611+0.5*(vit_z+H611)*pas</f>
        <v>1156.96632231971</v>
      </c>
      <c r="L612" s="449" t="n">
        <f aca="false">SQRT(pos_x^2+pos_z^2)</f>
        <v>1386.65560353391</v>
      </c>
      <c r="M612" s="450" t="n">
        <f aca="false">IF(AND(L611&gt;L_rampe,G612&gt;0),ATAN2(G612,H612),$M$4)</f>
        <v>-1.19960122647027</v>
      </c>
      <c r="N612" s="449" t="n">
        <f aca="false">DEGREES(Beta)</f>
        <v>-68.7320873754635</v>
      </c>
      <c r="O612" s="438"/>
      <c r="P612" s="452" t="n">
        <f aca="false">MATCH(t-pas/2-T_ini,CdP_t)</f>
        <v>23</v>
      </c>
      <c r="Q612" s="449" t="n">
        <f aca="false">(INDEX(CdP,2,i_P+1)-INDEX(CdP,2,i_P+0))/(INDEX(CdP,1,i_P+1)-INDEX(CdP,1,i_P+0))*(t-pas/2-T_ini-INDEX(CdP,1,i_P+0))+INDEX(CdP,2,i_P+0)</f>
        <v>0</v>
      </c>
      <c r="R612" s="450" t="n">
        <f aca="false">Poussee/(g*ISP)</f>
        <v>0</v>
      </c>
      <c r="S612" s="451" t="n">
        <f aca="false">S611-Débit*pas</f>
        <v>8.652</v>
      </c>
      <c r="T612" s="449" t="n">
        <f aca="false">m*g</f>
        <v>84.87612</v>
      </c>
      <c r="U612" s="453" t="n">
        <f aca="false">IF(pos_xz&lt;L_rampe,Poids*COS(Beta),0)</f>
        <v>0</v>
      </c>
      <c r="V612" s="450" t="n">
        <f aca="false">Rho_moyen*(20000-Alt_rampe-pos_z)/(20000+Alt_rampe+pos_z)</f>
        <v>1.09102202572432</v>
      </c>
      <c r="W612" s="449" t="n">
        <f aca="false">1/2*Rho*Sref*Cx*vit_xz^2</f>
        <v>13.4327976498466</v>
      </c>
      <c r="X612" s="438"/>
      <c r="Y612" s="454" t="str">
        <f aca="false">IF(AND(pos_z&lt;=0,K611&gt;0),"Impact balistique","") &amp; IF(AND(H613&lt;0,vit_z&gt;=0),"Apogée","") &amp; IF(AND(Poussee=0,Q611&gt;0),"Fin de propulsion","") &amp; IF(AND(L613&gt;L_rampe,pos_xz&lt;=L_rampe),"Sortie de rampe","")</f>
        <v/>
      </c>
      <c r="Z612" s="455" t="str">
        <f aca="false">IF(ABS(t-T_para)&lt;pas/2,"Para","")</f>
        <v/>
      </c>
      <c r="AA612" s="456" t="str">
        <f aca="false">IF(ABS(t-T_satellite)&lt;pas/2,"Satellite","")</f>
        <v/>
      </c>
      <c r="AB612" s="444"/>
      <c r="AC612" s="452" t="e">
        <f aca="false">IF(ABS(t-ROUND(t,0))&lt;0.001,t,NA())</f>
        <v>#N/A</v>
      </c>
      <c r="AD612" s="457" t="e">
        <f aca="false">IF(ABS(t-ROUND(t,0))&lt;0.001,pos_x,NA())</f>
        <v>#N/A</v>
      </c>
      <c r="AE612" s="458" t="e">
        <f aca="false">IF(t&lt;T_para, pos_z, NA())</f>
        <v>#N/A</v>
      </c>
      <c r="AF612" s="444"/>
      <c r="AG612" s="450" t="n">
        <f aca="false">IF(AND(L611&lt;L_rampe,Poussee&lt;Poids*SIN(M611)),0,(-W611+Poussee)/m-Poids*SIN(M611)/m)</f>
        <v>7.60464339531978</v>
      </c>
      <c r="AH612" s="449" t="n">
        <f aca="false">IF(AND(L611&lt;L_rampe,Poussee&lt;Poids*SIN(M611)), g*SIN(M611), (-W611+Poussee)/m)</f>
        <v>-1.51990728732448</v>
      </c>
    </row>
    <row r="613" customFormat="false" ht="12" hidden="false" customHeight="false" outlineLevel="0" collapsed="false">
      <c r="A613" s="448" t="n">
        <f aca="false">IF(B612+0.01&lt;=T_ini+ROUNDUP(Temps_fin_propu,0), 0.01, IF(K612&gt;0, 0.1, 0.0001))</f>
        <v>0.1</v>
      </c>
      <c r="B613" s="449" t="n">
        <f aca="false">B612+pas</f>
        <v>24.9</v>
      </c>
      <c r="C613" s="432"/>
      <c r="D613" s="450" t="n">
        <f aca="false">IF(AND(L612&lt;L_rampe,Poussee&lt;Poids*SIN(M612)),0,(-W612+Poussee)/m*COS(M612)-U612/m*SIN(M612))</f>
        <v>-0.563161189007538</v>
      </c>
      <c r="E613" s="451" t="n">
        <f aca="false">IF(AND(L612&lt;L_rampe,Poussee&lt;Poids*SIN(M612)),0,(-W612+Poussee)/m*SIN(M612)+U612/m*COS(M612)-Poids/m)</f>
        <v>-8.36317262753134</v>
      </c>
      <c r="F613" s="449" t="n">
        <f aca="false">SQRT(acc_x^2+acc_z^2)</f>
        <v>8.3821123186637</v>
      </c>
      <c r="G613" s="450" t="n">
        <f aca="false">G612+acc_x*pas</f>
        <v>26.9354383077784</v>
      </c>
      <c r="H613" s="451" t="n">
        <f aca="false">H612+acc_z*pas</f>
        <v>-70.1813110189704</v>
      </c>
      <c r="I613" s="449" t="n">
        <f aca="false">SQRT(vit_x^2+vit_z^2)</f>
        <v>75.1726961946529</v>
      </c>
      <c r="J613" s="450" t="n">
        <f aca="false">J612+0.5*(vit_x+G612)*pas*(K612&gt;=0)</f>
        <v>767.054058512056</v>
      </c>
      <c r="K613" s="451" t="n">
        <f aca="false">K612+0.5*(vit_z+H612)*pas</f>
        <v>1149.99000708095</v>
      </c>
      <c r="L613" s="449" t="n">
        <f aca="false">SQRT(pos_x^2+pos_z^2)</f>
        <v>1382.33459953293</v>
      </c>
      <c r="M613" s="450" t="n">
        <f aca="false">IF(AND(L612&gt;L_rampe,G613&gt;0),ATAN2(G613,H613),$M$4)</f>
        <v>-1.2043348450114</v>
      </c>
      <c r="N613" s="449" t="n">
        <f aca="false">DEGREES(Beta)</f>
        <v>-69.0033037396953</v>
      </c>
      <c r="O613" s="438"/>
      <c r="P613" s="452" t="n">
        <f aca="false">MATCH(t-pas/2-T_ini,CdP_t)</f>
        <v>23</v>
      </c>
      <c r="Q613" s="449" t="n">
        <f aca="false">(INDEX(CdP,2,i_P+1)-INDEX(CdP,2,i_P+0))/(INDEX(CdP,1,i_P+1)-INDEX(CdP,1,i_P+0))*(t-pas/2-T_ini-INDEX(CdP,1,i_P+0))+INDEX(CdP,2,i_P+0)</f>
        <v>0</v>
      </c>
      <c r="R613" s="450" t="n">
        <f aca="false">Poussee/(g*ISP)</f>
        <v>0</v>
      </c>
      <c r="S613" s="451" t="n">
        <f aca="false">S612-Débit*pas</f>
        <v>8.652</v>
      </c>
      <c r="T613" s="449" t="n">
        <f aca="false">m*g</f>
        <v>84.87612</v>
      </c>
      <c r="U613" s="453" t="n">
        <f aca="false">IF(pos_xz&lt;L_rampe,Poids*COS(Beta),0)</f>
        <v>0</v>
      </c>
      <c r="V613" s="450" t="n">
        <f aca="false">Rho_moyen*(20000-Alt_rampe-pos_z)/(20000+Alt_rampe+pos_z)</f>
        <v>1.09178596460778</v>
      </c>
      <c r="W613" s="449" t="n">
        <f aca="false">1/2*Rho*Sref*Cx*vit_xz^2</f>
        <v>13.7181010737295</v>
      </c>
      <c r="X613" s="438"/>
      <c r="Y613" s="454" t="str">
        <f aca="false">IF(AND(pos_z&lt;=0,K612&gt;0),"Impact balistique","") &amp; IF(AND(H614&lt;0,vit_z&gt;=0),"Apogée","") &amp; IF(AND(Poussee=0,Q612&gt;0),"Fin de propulsion","") &amp; IF(AND(L614&gt;L_rampe,pos_xz&lt;=L_rampe),"Sortie de rampe","")</f>
        <v/>
      </c>
      <c r="Z613" s="455" t="str">
        <f aca="false">IF(ABS(t-T_para)&lt;pas/2,"Para","")</f>
        <v/>
      </c>
      <c r="AA613" s="456" t="str">
        <f aca="false">IF(ABS(t-T_satellite)&lt;pas/2,"Satellite","")</f>
        <v/>
      </c>
      <c r="AB613" s="444"/>
      <c r="AC613" s="452" t="e">
        <f aca="false">IF(ABS(t-ROUND(t,0))&lt;0.001,t,NA())</f>
        <v>#N/A</v>
      </c>
      <c r="AD613" s="457" t="e">
        <f aca="false">IF(ABS(t-ROUND(t,0))&lt;0.001,pos_x,NA())</f>
        <v>#N/A</v>
      </c>
      <c r="AE613" s="458" t="e">
        <f aca="false">IF(t&lt;T_para, pos_z, NA())</f>
        <v>#N/A</v>
      </c>
      <c r="AF613" s="444"/>
      <c r="AG613" s="450" t="n">
        <f aca="false">IF(AND(L612&lt;L_rampe,Poussee&lt;Poids*SIN(M612)),0,(-W612+Poussee)/m-Poids*SIN(M612)/m)</f>
        <v>7.58931956524209</v>
      </c>
      <c r="AH613" s="449" t="n">
        <f aca="false">IF(AND(L612&lt;L_rampe,Poussee&lt;Poids*SIN(M612)), g*SIN(M612), (-W612+Poussee)/m)</f>
        <v>-1.55256560908999</v>
      </c>
    </row>
    <row r="614" customFormat="false" ht="12" hidden="false" customHeight="false" outlineLevel="0" collapsed="false">
      <c r="A614" s="448" t="n">
        <f aca="false">IF(B613+0.01&lt;=T_ini+ROUNDUP(Temps_fin_propu,0), 0.01, IF(K613&gt;0, 0.1, 0.0001))</f>
        <v>0.1</v>
      </c>
      <c r="B614" s="449" t="n">
        <f aca="false">B613+pas</f>
        <v>25</v>
      </c>
      <c r="C614" s="432"/>
      <c r="D614" s="450" t="n">
        <f aca="false">IF(AND(L613&lt;L_rampe,Poussee&lt;Poids*SIN(M613)),0,(-W613+Poussee)/m*COS(M613)-U613/m*SIN(M613))</f>
        <v>-0.568121738553055</v>
      </c>
      <c r="E614" s="451" t="n">
        <f aca="false">IF(AND(L613&lt;L_rampe,Poussee&lt;Poids*SIN(M613)),0,(-W613+Poussee)/m*SIN(M613)+U613/m*COS(M613)-Poids/m)</f>
        <v>-8.3297371591122</v>
      </c>
      <c r="F614" s="449" t="n">
        <f aca="false">SQRT(acc_x^2+acc_z^2)</f>
        <v>8.3490887796041</v>
      </c>
      <c r="G614" s="450" t="n">
        <f aca="false">G613+acc_x*pas</f>
        <v>26.8786261339231</v>
      </c>
      <c r="H614" s="451" t="n">
        <f aca="false">H613+acc_z*pas</f>
        <v>-71.0142847348816</v>
      </c>
      <c r="I614" s="449" t="n">
        <f aca="false">SQRT(vit_x^2+vit_z^2)</f>
        <v>75.9308183760326</v>
      </c>
      <c r="J614" s="450" t="n">
        <f aca="false">J613+0.5*(vit_x+G613)*pas*(K613&gt;=0)</f>
        <v>769.744761734141</v>
      </c>
      <c r="K614" s="451" t="n">
        <f aca="false">K613+0.5*(vit_z+H613)*pas</f>
        <v>1142.93022729326</v>
      </c>
      <c r="L614" s="449" t="n">
        <f aca="false">SQRT(pos_x^2+pos_z^2)</f>
        <v>1377.96825169441</v>
      </c>
      <c r="M614" s="450" t="n">
        <f aca="false">IF(AND(L613&gt;L_rampe,G614&gt;0),ATAN2(G614,H614),$M$4)</f>
        <v>-1.2089641564349</v>
      </c>
      <c r="N614" s="449" t="n">
        <f aca="false">DEGREES(Beta)</f>
        <v>-69.2685437463134</v>
      </c>
      <c r="O614" s="438"/>
      <c r="P614" s="452" t="n">
        <f aca="false">MATCH(t-pas/2-T_ini,CdP_t)</f>
        <v>23</v>
      </c>
      <c r="Q614" s="449" t="n">
        <f aca="false">(INDEX(CdP,2,i_P+1)-INDEX(CdP,2,i_P+0))/(INDEX(CdP,1,i_P+1)-INDEX(CdP,1,i_P+0))*(t-pas/2-T_ini-INDEX(CdP,1,i_P+0))+INDEX(CdP,2,i_P+0)</f>
        <v>0</v>
      </c>
      <c r="R614" s="450" t="n">
        <f aca="false">Poussee/(g*ISP)</f>
        <v>0</v>
      </c>
      <c r="S614" s="451" t="n">
        <f aca="false">S613-Débit*pas</f>
        <v>8.652</v>
      </c>
      <c r="T614" s="449" t="n">
        <f aca="false">m*g</f>
        <v>84.87612</v>
      </c>
      <c r="U614" s="453" t="n">
        <f aca="false">IF(pos_xz&lt;L_rampe,Poids*COS(Beta),0)</f>
        <v>0</v>
      </c>
      <c r="V614" s="450" t="n">
        <f aca="false">Rho_moyen*(20000-Alt_rampe-pos_z)/(20000+Alt_rampe+pos_z)</f>
        <v>1.09255955646802</v>
      </c>
      <c r="W614" s="449" t="n">
        <f aca="false">1/2*Rho*Sref*Cx*vit_xz^2</f>
        <v>14.0061095356343</v>
      </c>
      <c r="X614" s="438"/>
      <c r="Y614" s="454" t="str">
        <f aca="false">IF(AND(pos_z&lt;=0,K613&gt;0),"Impact balistique","") &amp; IF(AND(H615&lt;0,vit_z&gt;=0),"Apogée","") &amp; IF(AND(Poussee=0,Q613&gt;0),"Fin de propulsion","") &amp; IF(AND(L615&gt;L_rampe,pos_xz&lt;=L_rampe),"Sortie de rampe","")</f>
        <v/>
      </c>
      <c r="Z614" s="455" t="str">
        <f aca="false">IF(ABS(t-T_para)&lt;pas/2,"Para","")</f>
        <v/>
      </c>
      <c r="AA614" s="456" t="str">
        <f aca="false">IF(ABS(t-T_satellite)&lt;pas/2,"Satellite","")</f>
        <v/>
      </c>
      <c r="AB614" s="444"/>
      <c r="AC614" s="452" t="n">
        <f aca="false">IF(ABS(t-ROUND(t,0))&lt;0.001,t,NA())</f>
        <v>25</v>
      </c>
      <c r="AD614" s="457" t="n">
        <f aca="false">IF(ABS(t-ROUND(t,0))&lt;0.001,pos_x,NA())</f>
        <v>769.744761734141</v>
      </c>
      <c r="AE614" s="458" t="e">
        <f aca="false">IF(t&lt;T_para, pos_z, NA())</f>
        <v>#N/A</v>
      </c>
      <c r="AF614" s="444"/>
      <c r="AG614" s="450" t="n">
        <f aca="false">IF(AND(L613&lt;L_rampe,Poussee&lt;Poids*SIN(M613)),0,(-W613+Poussee)/m-Poids*SIN(M613)/m)</f>
        <v>7.57308564210204</v>
      </c>
      <c r="AH614" s="449" t="n">
        <f aca="false">IF(AND(L613&lt;L_rampe,Poussee&lt;Poids*SIN(M613)), g*SIN(M613), (-W613+Poussee)/m)</f>
        <v>-1.58554103949717</v>
      </c>
    </row>
    <row r="615" customFormat="false" ht="12" hidden="false" customHeight="false" outlineLevel="0" collapsed="false">
      <c r="A615" s="448" t="n">
        <f aca="false">IF(B614+0.01&lt;=T_ini+ROUNDUP(Temps_fin_propu,0), 0.01, IF(K614&gt;0, 0.1, 0.0001))</f>
        <v>0.1</v>
      </c>
      <c r="B615" s="449" t="n">
        <f aca="false">B614+pas</f>
        <v>25.1</v>
      </c>
      <c r="C615" s="432"/>
      <c r="D615" s="450" t="n">
        <f aca="false">IF(AND(L614&lt;L_rampe,Poussee&lt;Poids*SIN(M614)),0,(-W614+Poussee)/m*COS(M614)-U614/m*SIN(M614))</f>
        <v>-0.5730466704936</v>
      </c>
      <c r="E615" s="451" t="n">
        <f aca="false">IF(AND(L614&lt;L_rampe,Poussee&lt;Poids*SIN(M614)),0,(-W614+Poussee)/m*SIN(M614)+U614/m*COS(M614)-Poids/m)</f>
        <v>-8.29599034704945</v>
      </c>
      <c r="F615" s="449" t="n">
        <f aca="false">SQRT(acc_x^2+acc_z^2)</f>
        <v>8.31575843353458</v>
      </c>
      <c r="G615" s="450" t="n">
        <f aca="false">G614+acc_x*pas</f>
        <v>26.8213214668737</v>
      </c>
      <c r="H615" s="451" t="n">
        <f aca="false">H614+acc_z*pas</f>
        <v>-71.8438837695865</v>
      </c>
      <c r="I615" s="449" t="n">
        <f aca="false">SQRT(vit_x^2+vit_z^2)</f>
        <v>76.6872018026948</v>
      </c>
      <c r="J615" s="450" t="n">
        <f aca="false">J614+0.5*(vit_x+G614)*pas*(K614&gt;=0)</f>
        <v>772.429759114181</v>
      </c>
      <c r="K615" s="451" t="n">
        <f aca="false">K614+0.5*(vit_z+H614)*pas</f>
        <v>1135.78731886803</v>
      </c>
      <c r="L615" s="449" t="n">
        <f aca="false">SQRT(pos_x^2+pos_z^2)</f>
        <v>1373.55763128695</v>
      </c>
      <c r="M615" s="450" t="n">
        <f aca="false">IF(AND(L614&gt;L_rampe,G615&gt;0),ATAN2(G615,H615),$M$4)</f>
        <v>-1.21349247098036</v>
      </c>
      <c r="N615" s="449" t="n">
        <f aca="false">DEGREES(Beta)</f>
        <v>-69.5279970580762</v>
      </c>
      <c r="O615" s="438"/>
      <c r="P615" s="452" t="n">
        <f aca="false">MATCH(t-pas/2-T_ini,CdP_t)</f>
        <v>23</v>
      </c>
      <c r="Q615" s="449" t="n">
        <f aca="false">(INDEX(CdP,2,i_P+1)-INDEX(CdP,2,i_P+0))/(INDEX(CdP,1,i_P+1)-INDEX(CdP,1,i_P+0))*(t-pas/2-T_ini-INDEX(CdP,1,i_P+0))+INDEX(CdP,2,i_P+0)</f>
        <v>0</v>
      </c>
      <c r="R615" s="450" t="n">
        <f aca="false">Poussee/(g*ISP)</f>
        <v>0</v>
      </c>
      <c r="S615" s="451" t="n">
        <f aca="false">S614-Débit*pas</f>
        <v>8.652</v>
      </c>
      <c r="T615" s="449" t="n">
        <f aca="false">m*g</f>
        <v>84.87612</v>
      </c>
      <c r="U615" s="453" t="n">
        <f aca="false">IF(pos_xz&lt;L_rampe,Poids*COS(Beta),0)</f>
        <v>0</v>
      </c>
      <c r="V615" s="450" t="n">
        <f aca="false">Rho_moyen*(20000-Alt_rampe-pos_z)/(20000+Alt_rampe+pos_z)</f>
        <v>1.0933427832971</v>
      </c>
      <c r="W615" s="449" t="n">
        <f aca="false">1/2*Rho*Sref*Cx*vit_xz^2</f>
        <v>14.2967842152525</v>
      </c>
      <c r="X615" s="438"/>
      <c r="Y615" s="454" t="str">
        <f aca="false">IF(AND(pos_z&lt;=0,K614&gt;0),"Impact balistique","") &amp; IF(AND(H616&lt;0,vit_z&gt;=0),"Apogée","") &amp; IF(AND(Poussee=0,Q614&gt;0),"Fin de propulsion","") &amp; IF(AND(L616&gt;L_rampe,pos_xz&lt;=L_rampe),"Sortie de rampe","")</f>
        <v/>
      </c>
      <c r="Z615" s="455" t="str">
        <f aca="false">IF(ABS(t-T_para)&lt;pas/2,"Para","")</f>
        <v/>
      </c>
      <c r="AA615" s="456" t="str">
        <f aca="false">IF(ABS(t-T_satellite)&lt;pas/2,"Satellite","")</f>
        <v/>
      </c>
      <c r="AB615" s="444"/>
      <c r="AC615" s="452" t="e">
        <f aca="false">IF(ABS(t-ROUND(t,0))&lt;0.001,t,NA())</f>
        <v>#N/A</v>
      </c>
      <c r="AD615" s="457" t="e">
        <f aca="false">IF(ABS(t-ROUND(t,0))&lt;0.001,pos_x,NA())</f>
        <v>#N/A</v>
      </c>
      <c r="AE615" s="458" t="e">
        <f aca="false">IF(t&lt;T_para, pos_z, NA())</f>
        <v>#N/A</v>
      </c>
      <c r="AF615" s="444"/>
      <c r="AG615" s="450" t="n">
        <f aca="false">IF(AND(L614&lt;L_rampe,Poussee&lt;Poids*SIN(M614)),0,(-W614+Poussee)/m-Poids*SIN(M614)/m)</f>
        <v>7.55597168212281</v>
      </c>
      <c r="AH615" s="449" t="n">
        <f aca="false">IF(AND(L614&lt;L_rampe,Poussee&lt;Poids*SIN(M614)), g*SIN(M614), (-W614+Poussee)/m)</f>
        <v>-1.6188291187742</v>
      </c>
    </row>
    <row r="616" customFormat="false" ht="12" hidden="false" customHeight="false" outlineLevel="0" collapsed="false">
      <c r="A616" s="448" t="n">
        <f aca="false">IF(B615+0.01&lt;=T_ini+ROUNDUP(Temps_fin_propu,0), 0.01, IF(K615&gt;0, 0.1, 0.0001))</f>
        <v>0.1</v>
      </c>
      <c r="B616" s="449" t="n">
        <f aca="false">B615+pas</f>
        <v>25.2</v>
      </c>
      <c r="C616" s="432"/>
      <c r="D616" s="450" t="n">
        <f aca="false">IF(AND(L615&lt;L_rampe,Poussee&lt;Poids*SIN(M615)),0,(-W615+Poussee)/m*COS(M615)-U615/m*SIN(M615))</f>
        <v>-0.577935180061139</v>
      </c>
      <c r="E616" s="451" t="n">
        <f aca="false">IF(AND(L615&lt;L_rampe,Poussee&lt;Poids*SIN(M615)),0,(-W615+Poussee)/m*SIN(M615)+U615/m*COS(M615)-Poids/m)</f>
        <v>-8.26193653288302</v>
      </c>
      <c r="F616" s="449" t="n">
        <f aca="false">SQRT(acc_x^2+acc_z^2)</f>
        <v>8.28212559345362</v>
      </c>
      <c r="G616" s="450" t="n">
        <f aca="false">G615+acc_x*pas</f>
        <v>26.7635279488676</v>
      </c>
      <c r="H616" s="451" t="n">
        <f aca="false">H615+acc_z*pas</f>
        <v>-72.6700774228748</v>
      </c>
      <c r="I616" s="449" t="n">
        <f aca="false">SQRT(vit_x^2+vit_z^2)</f>
        <v>77.4417625116864</v>
      </c>
      <c r="J616" s="450" t="n">
        <f aca="false">J615+0.5*(vit_x+G615)*pas*(K615&gt;=0)</f>
        <v>775.109001584968</v>
      </c>
      <c r="K616" s="451" t="n">
        <f aca="false">K615+0.5*(vit_z+H615)*pas</f>
        <v>1128.56162080841</v>
      </c>
      <c r="L616" s="449" t="n">
        <f aca="false">SQRT(pos_x^2+pos_z^2)</f>
        <v>1369.10382962716</v>
      </c>
      <c r="M616" s="450" t="n">
        <f aca="false">IF(AND(L615&gt;L_rampe,G616&gt;0),ATAN2(G616,H616),$M$4)</f>
        <v>-1.2179229683156</v>
      </c>
      <c r="N616" s="449" t="n">
        <f aca="false">DEGREES(Beta)</f>
        <v>-69.7818458565296</v>
      </c>
      <c r="O616" s="438"/>
      <c r="P616" s="452" t="n">
        <f aca="false">MATCH(t-pas/2-T_ini,CdP_t)</f>
        <v>23</v>
      </c>
      <c r="Q616" s="449" t="n">
        <f aca="false">(INDEX(CdP,2,i_P+1)-INDEX(CdP,2,i_P+0))/(INDEX(CdP,1,i_P+1)-INDEX(CdP,1,i_P+0))*(t-pas/2-T_ini-INDEX(CdP,1,i_P+0))+INDEX(CdP,2,i_P+0)</f>
        <v>0</v>
      </c>
      <c r="R616" s="450" t="n">
        <f aca="false">Poussee/(g*ISP)</f>
        <v>0</v>
      </c>
      <c r="S616" s="451" t="n">
        <f aca="false">S615-Débit*pas</f>
        <v>8.652</v>
      </c>
      <c r="T616" s="449" t="n">
        <f aca="false">m*g</f>
        <v>84.87612</v>
      </c>
      <c r="U616" s="453" t="n">
        <f aca="false">IF(pos_xz&lt;L_rampe,Poids*COS(Beta),0)</f>
        <v>0</v>
      </c>
      <c r="V616" s="450" t="n">
        <f aca="false">Rho_moyen*(20000-Alt_rampe-pos_z)/(20000+Alt_rampe+pos_z)</f>
        <v>1.09413562690148</v>
      </c>
      <c r="W616" s="449" t="n">
        <f aca="false">1/2*Rho*Sref*Cx*vit_xz^2</f>
        <v>14.5900860667897</v>
      </c>
      <c r="X616" s="438"/>
      <c r="Y616" s="454" t="str">
        <f aca="false">IF(AND(pos_z&lt;=0,K615&gt;0),"Impact balistique","") &amp; IF(AND(H617&lt;0,vit_z&gt;=0),"Apogée","") &amp; IF(AND(Poussee=0,Q615&gt;0),"Fin de propulsion","") &amp; IF(AND(L617&gt;L_rampe,pos_xz&lt;=L_rampe),"Sortie de rampe","")</f>
        <v/>
      </c>
      <c r="Z616" s="455" t="str">
        <f aca="false">IF(ABS(t-T_para)&lt;pas/2,"Para","")</f>
        <v/>
      </c>
      <c r="AA616" s="456" t="str">
        <f aca="false">IF(ABS(t-T_satellite)&lt;pas/2,"Satellite","")</f>
        <v/>
      </c>
      <c r="AB616" s="444"/>
      <c r="AC616" s="452" t="e">
        <f aca="false">IF(ABS(t-ROUND(t,0))&lt;0.001,t,NA())</f>
        <v>#N/A</v>
      </c>
      <c r="AD616" s="457" t="e">
        <f aca="false">IF(ABS(t-ROUND(t,0))&lt;0.001,pos_x,NA())</f>
        <v>#N/A</v>
      </c>
      <c r="AE616" s="458" t="e">
        <f aca="false">IF(t&lt;T_para, pos_z, NA())</f>
        <v>#N/A</v>
      </c>
      <c r="AF616" s="444"/>
      <c r="AG616" s="450" t="n">
        <f aca="false">IF(AND(L615&lt;L_rampe,Poussee&lt;Poids*SIN(M615)),0,(-W615+Poussee)/m-Poids*SIN(M615)/m)</f>
        <v>7.53800646183442</v>
      </c>
      <c r="AH616" s="449" t="n">
        <f aca="false">IF(AND(L615&lt;L_rampe,Poussee&lt;Poids*SIN(M615)), g*SIN(M615), (-W615+Poussee)/m)</f>
        <v>-1.65242536006155</v>
      </c>
    </row>
    <row r="617" customFormat="false" ht="12" hidden="false" customHeight="false" outlineLevel="0" collapsed="false">
      <c r="A617" s="448" t="n">
        <f aca="false">IF(B616+0.01&lt;=T_ini+ROUNDUP(Temps_fin_propu,0), 0.01, IF(K616&gt;0, 0.1, 0.0001))</f>
        <v>0.1</v>
      </c>
      <c r="B617" s="449" t="n">
        <f aca="false">B616+pas</f>
        <v>25.3</v>
      </c>
      <c r="C617" s="432"/>
      <c r="D617" s="450" t="n">
        <f aca="false">IF(AND(L616&lt;L_rampe,Poussee&lt;Poids*SIN(M616)),0,(-W616+Poussee)/m*COS(M616)-U616/m*SIN(M616))</f>
        <v>-0.58278649022442</v>
      </c>
      <c r="E617" s="451" t="n">
        <f aca="false">IF(AND(L616&lt;L_rampe,Poussee&lt;Poids*SIN(M616)),0,(-W616+Poussee)/m*SIN(M616)+U616/m*COS(M616)-Poids/m)</f>
        <v>-8.2275800945777</v>
      </c>
      <c r="F617" s="449" t="n">
        <f aca="false">SQRT(acc_x^2+acc_z^2)</f>
        <v>8.24819460887529</v>
      </c>
      <c r="G617" s="450" t="n">
        <f aca="false">G616+acc_x*pas</f>
        <v>26.7052492998451</v>
      </c>
      <c r="H617" s="451" t="n">
        <f aca="false">H616+acc_z*pas</f>
        <v>-73.4928354323326</v>
      </c>
      <c r="I617" s="449" t="n">
        <f aca="false">SQRT(vit_x^2+vit_z^2)</f>
        <v>78.1944192385288</v>
      </c>
      <c r="J617" s="450" t="n">
        <f aca="false">J616+0.5*(vit_x+G616)*pas*(K616&gt;=0)</f>
        <v>777.782440447404</v>
      </c>
      <c r="K617" s="451" t="n">
        <f aca="false">K616+0.5*(vit_z+H616)*pas</f>
        <v>1121.25347516565</v>
      </c>
      <c r="L617" s="449" t="n">
        <f aca="false">SQRT(pos_x^2+pos_z^2)</f>
        <v>1364.60795844058</v>
      </c>
      <c r="M617" s="450" t="n">
        <f aca="false">IF(AND(L616&gt;L_rampe,G617&gt;0),ATAN2(G617,H617),$M$4)</f>
        <v>-1.22225870343559</v>
      </c>
      <c r="N617" s="449" t="n">
        <f aca="false">DEGREES(Beta)</f>
        <v>-70.0302651799915</v>
      </c>
      <c r="O617" s="438"/>
      <c r="P617" s="452" t="n">
        <f aca="false">MATCH(t-pas/2-T_ini,CdP_t)</f>
        <v>23</v>
      </c>
      <c r="Q617" s="449" t="n">
        <f aca="false">(INDEX(CdP,2,i_P+1)-INDEX(CdP,2,i_P+0))/(INDEX(CdP,1,i_P+1)-INDEX(CdP,1,i_P+0))*(t-pas/2-T_ini-INDEX(CdP,1,i_P+0))+INDEX(CdP,2,i_P+0)</f>
        <v>0</v>
      </c>
      <c r="R617" s="450" t="n">
        <f aca="false">Poussee/(g*ISP)</f>
        <v>0</v>
      </c>
      <c r="S617" s="451" t="n">
        <f aca="false">S616-Débit*pas</f>
        <v>8.652</v>
      </c>
      <c r="T617" s="449" t="n">
        <f aca="false">m*g</f>
        <v>84.87612</v>
      </c>
      <c r="U617" s="453" t="n">
        <f aca="false">IF(pos_xz&lt;L_rampe,Poids*COS(Beta),0)</f>
        <v>0</v>
      </c>
      <c r="V617" s="450" t="n">
        <f aca="false">Rho_moyen*(20000-Alt_rampe-pos_z)/(20000+Alt_rampe+pos_z)</f>
        <v>1.09493806890364</v>
      </c>
      <c r="W617" s="449" t="n">
        <f aca="false">1/2*Rho*Sref*Cx*vit_xz^2</f>
        <v>14.8859758278817</v>
      </c>
      <c r="X617" s="438"/>
      <c r="Y617" s="454" t="str">
        <f aca="false">IF(AND(pos_z&lt;=0,K616&gt;0),"Impact balistique","") &amp; IF(AND(H618&lt;0,vit_z&gt;=0),"Apogée","") &amp; IF(AND(Poussee=0,Q616&gt;0),"Fin de propulsion","") &amp; IF(AND(L618&gt;L_rampe,pos_xz&lt;=L_rampe),"Sortie de rampe","")</f>
        <v/>
      </c>
      <c r="Z617" s="455" t="str">
        <f aca="false">IF(ABS(t-T_para)&lt;pas/2,"Para","")</f>
        <v/>
      </c>
      <c r="AA617" s="456" t="str">
        <f aca="false">IF(ABS(t-T_satellite)&lt;pas/2,"Satellite","")</f>
        <v/>
      </c>
      <c r="AB617" s="444"/>
      <c r="AC617" s="452" t="e">
        <f aca="false">IF(ABS(t-ROUND(t,0))&lt;0.001,t,NA())</f>
        <v>#N/A</v>
      </c>
      <c r="AD617" s="457" t="e">
        <f aca="false">IF(ABS(t-ROUND(t,0))&lt;0.001,pos_x,NA())</f>
        <v>#N/A</v>
      </c>
      <c r="AE617" s="458" t="e">
        <f aca="false">IF(t&lt;T_para, pos_z, NA())</f>
        <v>#N/A</v>
      </c>
      <c r="AF617" s="444"/>
      <c r="AG617" s="450" t="n">
        <f aca="false">IF(AND(L616&lt;L_rampe,Poussee&lt;Poids*SIN(M616)),0,(-W616+Poussee)/m-Poids*SIN(M616)/m)</f>
        <v>7.51921755226902</v>
      </c>
      <c r="AH617" s="449" t="n">
        <f aca="false">IF(AND(L616&lt;L_rampe,Poussee&lt;Poids*SIN(M616)), g*SIN(M616), (-W616+Poussee)/m)</f>
        <v>-1.68632525043801</v>
      </c>
    </row>
    <row r="618" customFormat="false" ht="12" hidden="false" customHeight="false" outlineLevel="0" collapsed="false">
      <c r="A618" s="448" t="n">
        <f aca="false">IF(B617+0.01&lt;=T_ini+ROUNDUP(Temps_fin_propu,0), 0.01, IF(K617&gt;0, 0.1, 0.0001))</f>
        <v>0.1</v>
      </c>
      <c r="B618" s="449" t="n">
        <f aca="false">B617+pas</f>
        <v>25.4000000000001</v>
      </c>
      <c r="C618" s="432"/>
      <c r="D618" s="450" t="n">
        <f aca="false">IF(AND(L617&lt;L_rampe,Poussee&lt;Poids*SIN(M617)),0,(-W617+Poussee)/m*COS(M617)-U617/m*SIN(M617))</f>
        <v>-0.587599850759511</v>
      </c>
      <c r="E618" s="451" t="n">
        <f aca="false">IF(AND(L617&lt;L_rampe,Poussee&lt;Poids*SIN(M617)),0,(-W617+Poussee)/m*SIN(M617)+U617/m*COS(M617)-Poids/m)</f>
        <v>-8.19292544484195</v>
      </c>
      <c r="F618" s="449" t="n">
        <f aca="false">SQRT(acc_x^2+acc_z^2)</f>
        <v>8.21396986416138</v>
      </c>
      <c r="G618" s="450" t="n">
        <f aca="false">G617+acc_x*pas</f>
        <v>26.6464893147692</v>
      </c>
      <c r="H618" s="451" t="n">
        <f aca="false">H617+acc_z*pas</f>
        <v>-74.3121279768168</v>
      </c>
      <c r="I618" s="449" t="n">
        <f aca="false">SQRT(vit_x^2+vit_z^2)</f>
        <v>78.9450933069618</v>
      </c>
      <c r="J618" s="450" t="n">
        <f aca="false">J617+0.5*(vit_x+G617)*pas*(K617&gt;=0)</f>
        <v>780.450027378135</v>
      </c>
      <c r="K618" s="451" t="n">
        <f aca="false">K617+0.5*(vit_z+H617)*pas</f>
        <v>1113.86322699519</v>
      </c>
      <c r="L618" s="449" t="n">
        <f aca="false">SQRT(pos_x^2+pos_z^2)</f>
        <v>1360.07115022953</v>
      </c>
      <c r="M618" s="450" t="n">
        <f aca="false">IF(AND(L617&gt;L_rampe,G618&gt;0),ATAN2(G618,H618),$M$4)</f>
        <v>-1.22650261227764</v>
      </c>
      <c r="N618" s="449" t="n">
        <f aca="false">DEGREES(Beta)</f>
        <v>-70.2734232452793</v>
      </c>
      <c r="O618" s="438"/>
      <c r="P618" s="452" t="n">
        <f aca="false">MATCH(t-pas/2-T_ini,CdP_t)</f>
        <v>23</v>
      </c>
      <c r="Q618" s="449" t="n">
        <f aca="false">(INDEX(CdP,2,i_P+1)-INDEX(CdP,2,i_P+0))/(INDEX(CdP,1,i_P+1)-INDEX(CdP,1,i_P+0))*(t-pas/2-T_ini-INDEX(CdP,1,i_P+0))+INDEX(CdP,2,i_P+0)</f>
        <v>0</v>
      </c>
      <c r="R618" s="450" t="n">
        <f aca="false">Poussee/(g*ISP)</f>
        <v>0</v>
      </c>
      <c r="S618" s="451" t="n">
        <f aca="false">S617-Débit*pas</f>
        <v>8.652</v>
      </c>
      <c r="T618" s="449" t="n">
        <f aca="false">m*g</f>
        <v>84.87612</v>
      </c>
      <c r="U618" s="453" t="n">
        <f aca="false">IF(pos_xz&lt;L_rampe,Poids*COS(Beta),0)</f>
        <v>0</v>
      </c>
      <c r="V618" s="450" t="n">
        <f aca="false">Rho_moyen*(20000-Alt_rampe-pos_z)/(20000+Alt_rampe+pos_z)</f>
        <v>1.09575009074374</v>
      </c>
      <c r="W618" s="449" t="n">
        <f aca="false">1/2*Rho*Sref*Cx*vit_xz^2</f>
        <v>15.1844140285457</v>
      </c>
      <c r="X618" s="438"/>
      <c r="Y618" s="454" t="str">
        <f aca="false">IF(AND(pos_z&lt;=0,K617&gt;0),"Impact balistique","") &amp; IF(AND(H619&lt;0,vit_z&gt;=0),"Apogée","") &amp; IF(AND(Poussee=0,Q617&gt;0),"Fin de propulsion","") &amp; IF(AND(L619&gt;L_rampe,pos_xz&lt;=L_rampe),"Sortie de rampe","")</f>
        <v/>
      </c>
      <c r="Z618" s="455" t="str">
        <f aca="false">IF(ABS(t-T_para)&lt;pas/2,"Para","")</f>
        <v/>
      </c>
      <c r="AA618" s="456" t="str">
        <f aca="false">IF(ABS(t-T_satellite)&lt;pas/2,"Satellite","")</f>
        <v/>
      </c>
      <c r="AB618" s="444"/>
      <c r="AC618" s="452" t="e">
        <f aca="false">IF(ABS(t-ROUND(t,0))&lt;0.001,t,NA())</f>
        <v>#N/A</v>
      </c>
      <c r="AD618" s="457" t="e">
        <f aca="false">IF(ABS(t-ROUND(t,0))&lt;0.001,pos_x,NA())</f>
        <v>#N/A</v>
      </c>
      <c r="AE618" s="458" t="e">
        <f aca="false">IF(t&lt;T_para, pos_z, NA())</f>
        <v>#N/A</v>
      </c>
      <c r="AF618" s="444"/>
      <c r="AG618" s="450" t="n">
        <f aca="false">IF(AND(L617&lt;L_rampe,Poussee&lt;Poids*SIN(M617)),0,(-W617+Poussee)/m-Poids*SIN(M617)/m)</f>
        <v>7.49963138846491</v>
      </c>
      <c r="AH618" s="449" t="n">
        <f aca="false">IF(AND(L617&lt;L_rampe,Poussee&lt;Poids*SIN(M617)), g*SIN(M617), (-W617+Poussee)/m)</f>
        <v>-1.72052425195119</v>
      </c>
    </row>
    <row r="619" customFormat="false" ht="12" hidden="false" customHeight="false" outlineLevel="0" collapsed="false">
      <c r="A619" s="448" t="n">
        <f aca="false">IF(B618+0.01&lt;=T_ini+ROUNDUP(Temps_fin_propu,0), 0.01, IF(K618&gt;0, 0.1, 0.0001))</f>
        <v>0.1</v>
      </c>
      <c r="B619" s="449" t="n">
        <f aca="false">B618+pas</f>
        <v>25.5000000000001</v>
      </c>
      <c r="C619" s="432"/>
      <c r="D619" s="450" t="n">
        <f aca="false">IF(AND(L618&lt;L_rampe,Poussee&lt;Poids*SIN(M618)),0,(-W618+Poussee)/m*COS(M618)-U618/m*SIN(M618))</f>
        <v>-0.59237453737323</v>
      </c>
      <c r="E619" s="451" t="n">
        <f aca="false">IF(AND(L618&lt;L_rampe,Poussee&lt;Poids*SIN(M618)),0,(-W618+Poussee)/m*SIN(M618)+U618/m*COS(M618)-Poids/m)</f>
        <v>-8.15797702948853</v>
      </c>
      <c r="F619" s="449" t="n">
        <f aca="false">SQRT(acc_x^2+acc_z^2)</f>
        <v>8.17945577689559</v>
      </c>
      <c r="G619" s="450" t="n">
        <f aca="false">G618+acc_x*pas</f>
        <v>26.5872518610319</v>
      </c>
      <c r="H619" s="451" t="n">
        <f aca="false">H618+acc_z*pas</f>
        <v>-75.1279256797656</v>
      </c>
      <c r="I619" s="449" t="n">
        <f aca="false">SQRT(vit_x^2+vit_z^2)</f>
        <v>79.6937085249917</v>
      </c>
      <c r="J619" s="450" t="n">
        <f aca="false">J618+0.5*(vit_x+G618)*pas*(K618&gt;=0)</f>
        <v>783.111714436925</v>
      </c>
      <c r="K619" s="451" t="n">
        <f aca="false">K618+0.5*(vit_z+H618)*pas</f>
        <v>1106.39122431236</v>
      </c>
      <c r="L619" s="449" t="n">
        <f aca="false">SQRT(pos_x^2+pos_z^2)</f>
        <v>1355.49455864778</v>
      </c>
      <c r="M619" s="450" t="n">
        <f aca="false">IF(AND(L618&gt;L_rampe,G619&gt;0),ATAN2(G619,H619),$M$4)</f>
        <v>-1.23065751706589</v>
      </c>
      <c r="N619" s="449" t="n">
        <f aca="false">DEGREES(Beta)</f>
        <v>-70.5114817539243</v>
      </c>
      <c r="O619" s="438"/>
      <c r="P619" s="452" t="n">
        <f aca="false">MATCH(t-pas/2-T_ini,CdP_t)</f>
        <v>23</v>
      </c>
      <c r="Q619" s="449" t="n">
        <f aca="false">(INDEX(CdP,2,i_P+1)-INDEX(CdP,2,i_P+0))/(INDEX(CdP,1,i_P+1)-INDEX(CdP,1,i_P+0))*(t-pas/2-T_ini-INDEX(CdP,1,i_P+0))+INDEX(CdP,2,i_P+0)</f>
        <v>0</v>
      </c>
      <c r="R619" s="450" t="n">
        <f aca="false">Poussee/(g*ISP)</f>
        <v>0</v>
      </c>
      <c r="S619" s="451" t="n">
        <f aca="false">S618-Débit*pas</f>
        <v>8.652</v>
      </c>
      <c r="T619" s="449" t="n">
        <f aca="false">m*g</f>
        <v>84.87612</v>
      </c>
      <c r="U619" s="453" t="n">
        <f aca="false">IF(pos_xz&lt;L_rampe,Poids*COS(Beta),0)</f>
        <v>0</v>
      </c>
      <c r="V619" s="450" t="n">
        <f aca="false">Rho_moyen*(20000-Alt_rampe-pos_z)/(20000+Alt_rampe+pos_z)</f>
        <v>1.09657167368134</v>
      </c>
      <c r="W619" s="449" t="n">
        <f aca="false">1/2*Rho*Sref*Cx*vit_xz^2</f>
        <v>15.485361000161</v>
      </c>
      <c r="X619" s="438"/>
      <c r="Y619" s="454" t="str">
        <f aca="false">IF(AND(pos_z&lt;=0,K618&gt;0),"Impact balistique","") &amp; IF(AND(H620&lt;0,vit_z&gt;=0),"Apogée","") &amp; IF(AND(Poussee=0,Q618&gt;0),"Fin de propulsion","") &amp; IF(AND(L620&gt;L_rampe,pos_xz&lt;=L_rampe),"Sortie de rampe","")</f>
        <v/>
      </c>
      <c r="Z619" s="455" t="str">
        <f aca="false">IF(ABS(t-T_para)&lt;pas/2,"Para","")</f>
        <v/>
      </c>
      <c r="AA619" s="456" t="str">
        <f aca="false">IF(ABS(t-T_satellite)&lt;pas/2,"Satellite","")</f>
        <v/>
      </c>
      <c r="AB619" s="444"/>
      <c r="AC619" s="452" t="e">
        <f aca="false">IF(ABS(t-ROUND(t,0))&lt;0.001,t,NA())</f>
        <v>#N/A</v>
      </c>
      <c r="AD619" s="457" t="e">
        <f aca="false">IF(ABS(t-ROUND(t,0))&lt;0.001,pos_x,NA())</f>
        <v>#N/A</v>
      </c>
      <c r="AE619" s="458" t="e">
        <f aca="false">IF(t&lt;T_para, pos_z, NA())</f>
        <v>#N/A</v>
      </c>
      <c r="AF619" s="444"/>
      <c r="AG619" s="450" t="n">
        <f aca="false">IF(AND(L618&lt;L_rampe,Poussee&lt;Poids*SIN(M618)),0,(-W618+Poussee)/m-Poids*SIN(M618)/m)</f>
        <v>7.47927333458173</v>
      </c>
      <c r="AH619" s="449" t="n">
        <f aca="false">IF(AND(L618&lt;L_rampe,Poussee&lt;Poids*SIN(M618)), g*SIN(M618), (-W618+Poussee)/m)</f>
        <v>-1.75501780265207</v>
      </c>
    </row>
    <row r="620" customFormat="false" ht="12" hidden="false" customHeight="false" outlineLevel="0" collapsed="false">
      <c r="A620" s="448" t="n">
        <f aca="false">IF(B619+0.01&lt;=T_ini+ROUNDUP(Temps_fin_propu,0), 0.01, IF(K619&gt;0, 0.1, 0.0001))</f>
        <v>0.1</v>
      </c>
      <c r="B620" s="449" t="n">
        <f aca="false">B619+pas</f>
        <v>25.6000000000001</v>
      </c>
      <c r="C620" s="432"/>
      <c r="D620" s="450" t="n">
        <f aca="false">IF(AND(L619&lt;L_rampe,Poussee&lt;Poids*SIN(M619)),0,(-W619+Poussee)/m*COS(M619)-U619/m*SIN(M619))</f>
        <v>-0.597109850876038</v>
      </c>
      <c r="E620" s="451" t="n">
        <f aca="false">IF(AND(L619&lt;L_rampe,Poussee&lt;Poids*SIN(M619)),0,(-W619+Poussee)/m*SIN(M619)+U619/m*COS(M619)-Poids/m)</f>
        <v>-8.12273932583381</v>
      </c>
      <c r="F620" s="449" t="n">
        <f aca="false">SQRT(acc_x^2+acc_z^2)</f>
        <v>8.14465679629659</v>
      </c>
      <c r="G620" s="450" t="n">
        <f aca="false">G619+acc_x*pas</f>
        <v>26.5275408759443</v>
      </c>
      <c r="H620" s="451" t="n">
        <f aca="false">H619+acc_z*pas</f>
        <v>-75.940199612349</v>
      </c>
      <c r="I620" s="449" t="n">
        <f aca="false">SQRT(vit_x^2+vit_z^2)</f>
        <v>80.4401910868461</v>
      </c>
      <c r="J620" s="450" t="n">
        <f aca="false">J619+0.5*(vit_x+G619)*pas*(K619&gt;=0)</f>
        <v>785.767454073774</v>
      </c>
      <c r="K620" s="451" t="n">
        <f aca="false">K619+0.5*(vit_z+H619)*pas</f>
        <v>1098.83781804776</v>
      </c>
      <c r="L620" s="449" t="n">
        <f aca="false">SQRT(pos_x^2+pos_z^2)</f>
        <v>1350.87935888203</v>
      </c>
      <c r="M620" s="450" t="n">
        <f aca="false">IF(AND(L619&gt;L_rampe,G620&gt;0),ATAN2(G620,H620),$M$4)</f>
        <v>-1.23472613139752</v>
      </c>
      <c r="N620" s="449" t="n">
        <f aca="false">DEGREES(Beta)</f>
        <v>-70.7445961835933</v>
      </c>
      <c r="O620" s="438"/>
      <c r="P620" s="452" t="n">
        <f aca="false">MATCH(t-pas/2-T_ini,CdP_t)</f>
        <v>23</v>
      </c>
      <c r="Q620" s="449" t="n">
        <f aca="false">(INDEX(CdP,2,i_P+1)-INDEX(CdP,2,i_P+0))/(INDEX(CdP,1,i_P+1)-INDEX(CdP,1,i_P+0))*(t-pas/2-T_ini-INDEX(CdP,1,i_P+0))+INDEX(CdP,2,i_P+0)</f>
        <v>0</v>
      </c>
      <c r="R620" s="450" t="n">
        <f aca="false">Poussee/(g*ISP)</f>
        <v>0</v>
      </c>
      <c r="S620" s="451" t="n">
        <f aca="false">S619-Débit*pas</f>
        <v>8.652</v>
      </c>
      <c r="T620" s="449" t="n">
        <f aca="false">m*g</f>
        <v>84.87612</v>
      </c>
      <c r="U620" s="453" t="n">
        <f aca="false">IF(pos_xz&lt;L_rampe,Poids*COS(Beta),0)</f>
        <v>0</v>
      </c>
      <c r="V620" s="450" t="n">
        <f aca="false">Rho_moyen*(20000-Alt_rampe-pos_z)/(20000+Alt_rampe+pos_z)</f>
        <v>1.09740279879709</v>
      </c>
      <c r="W620" s="449" t="n">
        <f aca="false">1/2*Rho*Sref*Cx*vit_xz^2</f>
        <v>15.7887768844773</v>
      </c>
      <c r="X620" s="438"/>
      <c r="Y620" s="454" t="str">
        <f aca="false">IF(AND(pos_z&lt;=0,K619&gt;0),"Impact balistique","") &amp; IF(AND(H621&lt;0,vit_z&gt;=0),"Apogée","") &amp; IF(AND(Poussee=0,Q619&gt;0),"Fin de propulsion","") &amp; IF(AND(L621&gt;L_rampe,pos_xz&lt;=L_rampe),"Sortie de rampe","")</f>
        <v/>
      </c>
      <c r="Z620" s="455" t="str">
        <f aca="false">IF(ABS(t-T_para)&lt;pas/2,"Para","")</f>
        <v/>
      </c>
      <c r="AA620" s="456" t="str">
        <f aca="false">IF(ABS(t-T_satellite)&lt;pas/2,"Satellite","")</f>
        <v/>
      </c>
      <c r="AB620" s="444"/>
      <c r="AC620" s="452" t="e">
        <f aca="false">IF(ABS(t-ROUND(t,0))&lt;0.001,t,NA())</f>
        <v>#N/A</v>
      </c>
      <c r="AD620" s="457" t="e">
        <f aca="false">IF(ABS(t-ROUND(t,0))&lt;0.001,pos_x,NA())</f>
        <v>#N/A</v>
      </c>
      <c r="AE620" s="458" t="e">
        <f aca="false">IF(t&lt;T_para, pos_z, NA())</f>
        <v>#N/A</v>
      </c>
      <c r="AF620" s="444"/>
      <c r="AG620" s="450" t="n">
        <f aca="false">IF(AND(L619&lt;L_rampe,Poussee&lt;Poids*SIN(M619)),0,(-W619+Poussee)/m-Poids*SIN(M619)/m)</f>
        <v>7.4581677449107</v>
      </c>
      <c r="AH620" s="449" t="n">
        <f aca="false">IF(AND(L619&lt;L_rampe,Poussee&lt;Poids*SIN(M619)), g*SIN(M619), (-W619+Poussee)/m)</f>
        <v>-1.78980131763304</v>
      </c>
    </row>
    <row r="621" customFormat="false" ht="12" hidden="false" customHeight="false" outlineLevel="0" collapsed="false">
      <c r="A621" s="448" t="n">
        <f aca="false">IF(B620+0.01&lt;=T_ini+ROUNDUP(Temps_fin_propu,0), 0.01, IF(K620&gt;0, 0.1, 0.0001))</f>
        <v>0.1</v>
      </c>
      <c r="B621" s="449" t="n">
        <f aca="false">B620+pas</f>
        <v>25.7000000000001</v>
      </c>
      <c r="C621" s="432"/>
      <c r="D621" s="450" t="n">
        <f aca="false">IF(AND(L620&lt;L_rampe,Poussee&lt;Poids*SIN(M620)),0,(-W620+Poussee)/m*COS(M620)-U620/m*SIN(M620))</f>
        <v>-0.601805116401129</v>
      </c>
      <c r="E621" s="451" t="n">
        <f aca="false">IF(AND(L620&lt;L_rampe,Poussee&lt;Poids*SIN(M620)),0,(-W620+Poussee)/m*SIN(M620)+U620/m*COS(M620)-Poids/m)</f>
        <v>-8.08721684113293</v>
      </c>
      <c r="F621" s="449" t="n">
        <f aca="false">SQRT(acc_x^2+acc_z^2)</f>
        <v>8.10957740166716</v>
      </c>
      <c r="G621" s="450" t="n">
        <f aca="false">G620+acc_x*pas</f>
        <v>26.4673603643042</v>
      </c>
      <c r="H621" s="451" t="n">
        <f aca="false">H620+acc_z*pas</f>
        <v>-76.7489212964623</v>
      </c>
      <c r="I621" s="449" t="n">
        <f aca="false">SQRT(vit_x^2+vit_z^2)</f>
        <v>81.1844694804647</v>
      </c>
      <c r="J621" s="450" t="n">
        <f aca="false">J620+0.5*(vit_x+G620)*pas*(K620&gt;=0)</f>
        <v>788.417199135786</v>
      </c>
      <c r="K621" s="451" t="n">
        <f aca="false">K620+0.5*(vit_z+H620)*pas</f>
        <v>1091.20336200232</v>
      </c>
      <c r="L621" s="449" t="n">
        <f aca="false">SQRT(pos_x^2+pos_z^2)</f>
        <v>1346.22674803997</v>
      </c>
      <c r="M621" s="450" t="n">
        <f aca="false">IF(AND(L620&gt;L_rampe,G621&gt;0),ATAN2(G621,H621),$M$4)</f>
        <v>-1.2387110650831</v>
      </c>
      <c r="N621" s="449" t="n">
        <f aca="false">DEGREES(Beta)</f>
        <v>-70.9729160654168</v>
      </c>
      <c r="O621" s="438"/>
      <c r="P621" s="452" t="n">
        <f aca="false">MATCH(t-pas/2-T_ini,CdP_t)</f>
        <v>23</v>
      </c>
      <c r="Q621" s="449" t="n">
        <f aca="false">(INDEX(CdP,2,i_P+1)-INDEX(CdP,2,i_P+0))/(INDEX(CdP,1,i_P+1)-INDEX(CdP,1,i_P+0))*(t-pas/2-T_ini-INDEX(CdP,1,i_P+0))+INDEX(CdP,2,i_P+0)</f>
        <v>0</v>
      </c>
      <c r="R621" s="450" t="n">
        <f aca="false">Poussee/(g*ISP)</f>
        <v>0</v>
      </c>
      <c r="S621" s="451" t="n">
        <f aca="false">S620-Débit*pas</f>
        <v>8.652</v>
      </c>
      <c r="T621" s="449" t="n">
        <f aca="false">m*g</f>
        <v>84.87612</v>
      </c>
      <c r="U621" s="453" t="n">
        <f aca="false">IF(pos_xz&lt;L_rampe,Poids*COS(Beta),0)</f>
        <v>0</v>
      </c>
      <c r="V621" s="450" t="n">
        <f aca="false">Rho_moyen*(20000-Alt_rampe-pos_z)/(20000+Alt_rampe+pos_z)</f>
        <v>1.09824344699449</v>
      </c>
      <c r="W621" s="449" t="n">
        <f aca="false">1/2*Rho*Sref*Cx*vit_xz^2</f>
        <v>16.0946216426436</v>
      </c>
      <c r="X621" s="438"/>
      <c r="Y621" s="454" t="str">
        <f aca="false">IF(AND(pos_z&lt;=0,K620&gt;0),"Impact balistique","") &amp; IF(AND(H622&lt;0,vit_z&gt;=0),"Apogée","") &amp; IF(AND(Poussee=0,Q620&gt;0),"Fin de propulsion","") &amp; IF(AND(L622&gt;L_rampe,pos_xz&lt;=L_rampe),"Sortie de rampe","")</f>
        <v/>
      </c>
      <c r="Z621" s="455" t="str">
        <f aca="false">IF(ABS(t-T_para)&lt;pas/2,"Para","")</f>
        <v/>
      </c>
      <c r="AA621" s="456" t="str">
        <f aca="false">IF(ABS(t-T_satellite)&lt;pas/2,"Satellite","")</f>
        <v/>
      </c>
      <c r="AB621" s="444"/>
      <c r="AC621" s="452" t="e">
        <f aca="false">IF(ABS(t-ROUND(t,0))&lt;0.001,t,NA())</f>
        <v>#N/A</v>
      </c>
      <c r="AD621" s="457" t="e">
        <f aca="false">IF(ABS(t-ROUND(t,0))&lt;0.001,pos_x,NA())</f>
        <v>#N/A</v>
      </c>
      <c r="AE621" s="458" t="e">
        <f aca="false">IF(t&lt;T_para, pos_z, NA())</f>
        <v>#N/A</v>
      </c>
      <c r="AF621" s="444"/>
      <c r="AG621" s="450" t="n">
        <f aca="false">IF(AND(L620&lt;L_rampe,Poussee&lt;Poids*SIN(M620)),0,(-W620+Poussee)/m-Poids*SIN(M620)/m)</f>
        <v>7.43633802104579</v>
      </c>
      <c r="AH621" s="449" t="n">
        <f aca="false">IF(AND(L620&lt;L_rampe,Poussee&lt;Poids*SIN(M620)), g*SIN(M620), (-W620+Poussee)/m)</f>
        <v>-1.82487019006903</v>
      </c>
    </row>
    <row r="622" customFormat="false" ht="12" hidden="false" customHeight="false" outlineLevel="0" collapsed="false">
      <c r="A622" s="448" t="n">
        <f aca="false">IF(B621+0.01&lt;=T_ini+ROUNDUP(Temps_fin_propu,0), 0.01, IF(K621&gt;0, 0.1, 0.0001))</f>
        <v>0.1</v>
      </c>
      <c r="B622" s="449" t="n">
        <f aca="false">B621+pas</f>
        <v>25.8000000000001</v>
      </c>
      <c r="C622" s="432"/>
      <c r="D622" s="450" t="n">
        <f aca="false">IF(AND(L621&lt;L_rampe,Poussee&lt;Poids*SIN(M621)),0,(-W621+Poussee)/m*COS(M621)-U621/m*SIN(M621))</f>
        <v>-0.606459682666703</v>
      </c>
      <c r="E622" s="451" t="n">
        <f aca="false">IF(AND(L621&lt;L_rampe,Poussee&lt;Poids*SIN(M621)),0,(-W621+Poussee)/m*SIN(M621)+U621/m*COS(M621)-Poids/m)</f>
        <v>-8.05141411104832</v>
      </c>
      <c r="F622" s="449" t="n">
        <f aca="false">SQRT(acc_x^2+acc_z^2)</f>
        <v>8.07422210087685</v>
      </c>
      <c r="G622" s="450" t="n">
        <f aca="false">G621+acc_x*pas</f>
        <v>26.4067143960375</v>
      </c>
      <c r="H622" s="451" t="n">
        <f aca="false">H621+acc_z*pas</f>
        <v>-77.5540627075671</v>
      </c>
      <c r="I622" s="449" t="n">
        <f aca="false">SQRT(vit_x^2+vit_z^2)</f>
        <v>81.9264744001788</v>
      </c>
      <c r="J622" s="450" t="n">
        <f aca="false">J621+0.5*(vit_x+G621)*pas*(K621&gt;=0)</f>
        <v>791.060902873803</v>
      </c>
      <c r="K622" s="451" t="n">
        <f aca="false">K621+0.5*(vit_z+H621)*pas</f>
        <v>1083.48821280211</v>
      </c>
      <c r="L622" s="449" t="n">
        <f aca="false">SQRT(pos_x^2+pos_z^2)</f>
        <v>1341.53794554483</v>
      </c>
      <c r="M622" s="450" t="n">
        <f aca="false">IF(AND(L621&gt;L_rampe,G622&gt;0),ATAN2(G622,H622),$M$4)</f>
        <v>-1.24261482875263</v>
      </c>
      <c r="N622" s="449" t="n">
        <f aca="false">DEGREES(Beta)</f>
        <v>-71.1965852478973</v>
      </c>
      <c r="O622" s="438"/>
      <c r="P622" s="452" t="n">
        <f aca="false">MATCH(t-pas/2-T_ini,CdP_t)</f>
        <v>23</v>
      </c>
      <c r="Q622" s="449" t="n">
        <f aca="false">(INDEX(CdP,2,i_P+1)-INDEX(CdP,2,i_P+0))/(INDEX(CdP,1,i_P+1)-INDEX(CdP,1,i_P+0))*(t-pas/2-T_ini-INDEX(CdP,1,i_P+0))+INDEX(CdP,2,i_P+0)</f>
        <v>0</v>
      </c>
      <c r="R622" s="450" t="n">
        <f aca="false">Poussee/(g*ISP)</f>
        <v>0</v>
      </c>
      <c r="S622" s="451" t="n">
        <f aca="false">S621-Débit*pas</f>
        <v>8.652</v>
      </c>
      <c r="T622" s="449" t="n">
        <f aca="false">m*g</f>
        <v>84.87612</v>
      </c>
      <c r="U622" s="453" t="n">
        <f aca="false">IF(pos_xz&lt;L_rampe,Poids*COS(Beta),0)</f>
        <v>0</v>
      </c>
      <c r="V622" s="450" t="n">
        <f aca="false">Rho_moyen*(20000-Alt_rampe-pos_z)/(20000+Alt_rampe+pos_z)</f>
        <v>1.09909359900164</v>
      </c>
      <c r="W622" s="449" t="n">
        <f aca="false">1/2*Rho*Sref*Cx*vit_xz^2</f>
        <v>16.4028550642566</v>
      </c>
      <c r="X622" s="438"/>
      <c r="Y622" s="454" t="str">
        <f aca="false">IF(AND(pos_z&lt;=0,K621&gt;0),"Impact balistique","") &amp; IF(AND(H623&lt;0,vit_z&gt;=0),"Apogée","") &amp; IF(AND(Poussee=0,Q621&gt;0),"Fin de propulsion","") &amp; IF(AND(L623&gt;L_rampe,pos_xz&lt;=L_rampe),"Sortie de rampe","")</f>
        <v/>
      </c>
      <c r="Z622" s="455" t="str">
        <f aca="false">IF(ABS(t-T_para)&lt;pas/2,"Para","")</f>
        <v/>
      </c>
      <c r="AA622" s="456" t="str">
        <f aca="false">IF(ABS(t-T_satellite)&lt;pas/2,"Satellite","")</f>
        <v/>
      </c>
      <c r="AB622" s="444"/>
      <c r="AC622" s="452" t="e">
        <f aca="false">IF(ABS(t-ROUND(t,0))&lt;0.001,t,NA())</f>
        <v>#N/A</v>
      </c>
      <c r="AD622" s="457" t="e">
        <f aca="false">IF(ABS(t-ROUND(t,0))&lt;0.001,pos_x,NA())</f>
        <v>#N/A</v>
      </c>
      <c r="AE622" s="458" t="e">
        <f aca="false">IF(t&lt;T_para, pos_z, NA())</f>
        <v>#N/A</v>
      </c>
      <c r="AF622" s="444"/>
      <c r="AG622" s="450" t="n">
        <f aca="false">IF(AND(L621&lt;L_rampe,Poussee&lt;Poids*SIN(M621)),0,(-W621+Poussee)/m-Poids*SIN(M621)/m)</f>
        <v>7.41380666546504</v>
      </c>
      <c r="AH622" s="449" t="n">
        <f aca="false">IF(AND(L621&lt;L_rampe,Poussee&lt;Poids*SIN(M621)), g*SIN(M621), (-W621+Poussee)/m)</f>
        <v>-1.86021979226117</v>
      </c>
    </row>
    <row r="623" customFormat="false" ht="12" hidden="false" customHeight="false" outlineLevel="0" collapsed="false">
      <c r="A623" s="448" t="n">
        <f aca="false">IF(B622+0.01&lt;=T_ini+ROUNDUP(Temps_fin_propu,0), 0.01, IF(K622&gt;0, 0.1, 0.0001))</f>
        <v>0.1</v>
      </c>
      <c r="B623" s="449" t="n">
        <f aca="false">B622+pas</f>
        <v>25.9000000000001</v>
      </c>
      <c r="C623" s="432"/>
      <c r="D623" s="450" t="n">
        <f aca="false">IF(AND(L622&lt;L_rampe,Poussee&lt;Poids*SIN(M622)),0,(-W622+Poussee)/m*COS(M622)-U622/m*SIN(M622))</f>
        <v>-0.611072921278591</v>
      </c>
      <c r="E623" s="451" t="n">
        <f aca="false">IF(AND(L622&lt;L_rampe,Poussee&lt;Poids*SIN(M622)),0,(-W622+Poussee)/m*SIN(M622)+U622/m*COS(M622)-Poids/m)</f>
        <v>-8.01533569814928</v>
      </c>
      <c r="F623" s="449" t="n">
        <f aca="false">SQRT(acc_x^2+acc_z^2)</f>
        <v>8.038595428876</v>
      </c>
      <c r="G623" s="450" t="n">
        <f aca="false">G622+acc_x*pas</f>
        <v>26.3456071039096</v>
      </c>
      <c r="H623" s="451" t="n">
        <f aca="false">H622+acc_z*pas</f>
        <v>-78.3555962773821</v>
      </c>
      <c r="I623" s="449" t="n">
        <f aca="false">SQRT(vit_x^2+vit_z^2)</f>
        <v>82.666138664254</v>
      </c>
      <c r="J623" s="450" t="n">
        <f aca="false">J622+0.5*(vit_x+G622)*pas*(K622&gt;=0)</f>
        <v>793.6985189488</v>
      </c>
      <c r="K623" s="451" t="n">
        <f aca="false">K622+0.5*(vit_z+H622)*pas</f>
        <v>1075.69272985287</v>
      </c>
      <c r="L623" s="449" t="n">
        <f aca="false">SQRT(pos_x^2+pos_z^2)</f>
        <v>1336.8141935362</v>
      </c>
      <c r="M623" s="450" t="n">
        <f aca="false">IF(AND(L622&gt;L_rampe,G623&gt;0),ATAN2(G623,H623),$M$4)</f>
        <v>-1.24643983823869</v>
      </c>
      <c r="N623" s="449" t="n">
        <f aca="false">DEGREES(Beta)</f>
        <v>-71.4157421480458</v>
      </c>
      <c r="O623" s="438"/>
      <c r="P623" s="452" t="n">
        <f aca="false">MATCH(t-pas/2-T_ini,CdP_t)</f>
        <v>23</v>
      </c>
      <c r="Q623" s="449" t="n">
        <f aca="false">(INDEX(CdP,2,i_P+1)-INDEX(CdP,2,i_P+0))/(INDEX(CdP,1,i_P+1)-INDEX(CdP,1,i_P+0))*(t-pas/2-T_ini-INDEX(CdP,1,i_P+0))+INDEX(CdP,2,i_P+0)</f>
        <v>0</v>
      </c>
      <c r="R623" s="450" t="n">
        <f aca="false">Poussee/(g*ISP)</f>
        <v>0</v>
      </c>
      <c r="S623" s="451" t="n">
        <f aca="false">S622-Débit*pas</f>
        <v>8.652</v>
      </c>
      <c r="T623" s="449" t="n">
        <f aca="false">m*g</f>
        <v>84.87612</v>
      </c>
      <c r="U623" s="453" t="n">
        <f aca="false">IF(pos_xz&lt;L_rampe,Poids*COS(Beta),0)</f>
        <v>0</v>
      </c>
      <c r="V623" s="450" t="n">
        <f aca="false">Rho_moyen*(20000-Alt_rampe-pos_z)/(20000+Alt_rampe+pos_z)</f>
        <v>1.09995323537306</v>
      </c>
      <c r="W623" s="449" t="n">
        <f aca="false">1/2*Rho*Sref*Cx*vit_xz^2</f>
        <v>16.7134367764216</v>
      </c>
      <c r="X623" s="438"/>
      <c r="Y623" s="454" t="str">
        <f aca="false">IF(AND(pos_z&lt;=0,K622&gt;0),"Impact balistique","") &amp; IF(AND(H624&lt;0,vit_z&gt;=0),"Apogée","") &amp; IF(AND(Poussee=0,Q622&gt;0),"Fin de propulsion","") &amp; IF(AND(L624&gt;L_rampe,pos_xz&lt;=L_rampe),"Sortie de rampe","")</f>
        <v/>
      </c>
      <c r="Z623" s="455" t="str">
        <f aca="false">IF(ABS(t-T_para)&lt;pas/2,"Para","")</f>
        <v/>
      </c>
      <c r="AA623" s="456" t="str">
        <f aca="false">IF(ABS(t-T_satellite)&lt;pas/2,"Satellite","")</f>
        <v/>
      </c>
      <c r="AB623" s="444"/>
      <c r="AC623" s="452" t="e">
        <f aca="false">IF(ABS(t-ROUND(t,0))&lt;0.001,t,NA())</f>
        <v>#N/A</v>
      </c>
      <c r="AD623" s="457" t="e">
        <f aca="false">IF(ABS(t-ROUND(t,0))&lt;0.001,pos_x,NA())</f>
        <v>#N/A</v>
      </c>
      <c r="AE623" s="458" t="e">
        <f aca="false">IF(t&lt;T_para, pos_z, NA())</f>
        <v>#N/A</v>
      </c>
      <c r="AF623" s="444"/>
      <c r="AG623" s="450" t="n">
        <f aca="false">IF(AND(L622&lt;L_rampe,Poussee&lt;Poids*SIN(M622)),0,(-W622+Poussee)/m-Poids*SIN(M622)/m)</f>
        <v>7.39059533175509</v>
      </c>
      <c r="AH623" s="449" t="n">
        <f aca="false">IF(AND(L622&lt;L_rampe,Poussee&lt;Poids*SIN(M622)), g*SIN(M622), (-W622+Poussee)/m)</f>
        <v>-1.89584547668245</v>
      </c>
    </row>
    <row r="624" customFormat="false" ht="12" hidden="false" customHeight="false" outlineLevel="0" collapsed="false">
      <c r="A624" s="448" t="n">
        <f aca="false">IF(B623+0.01&lt;=T_ini+ROUNDUP(Temps_fin_propu,0), 0.01, IF(K623&gt;0, 0.1, 0.0001))</f>
        <v>0.1</v>
      </c>
      <c r="B624" s="449" t="n">
        <f aca="false">B623+pas</f>
        <v>26.0000000000001</v>
      </c>
      <c r="C624" s="432"/>
      <c r="D624" s="450" t="n">
        <f aca="false">IF(AND(L623&lt;L_rampe,Poussee&lt;Poids*SIN(M623)),0,(-W623+Poussee)/m*COS(M623)-U623/m*SIN(M623))</f>
        <v>-0.615644226070589</v>
      </c>
      <c r="E624" s="451" t="n">
        <f aca="false">IF(AND(L623&lt;L_rampe,Poussee&lt;Poids*SIN(M623)),0,(-W623+Poussee)/m*SIN(M623)+U623/m*COS(M623)-Poids/m)</f>
        <v>-7.97898619044046</v>
      </c>
      <c r="F624" s="449" t="n">
        <f aca="false">SQRT(acc_x^2+acc_z^2)</f>
        <v>8.00270194623876</v>
      </c>
      <c r="G624" s="450" t="n">
        <f aca="false">G623+acc_x*pas</f>
        <v>26.2840426813026</v>
      </c>
      <c r="H624" s="451" t="n">
        <f aca="false">H623+acc_z*pas</f>
        <v>-79.1534948964261</v>
      </c>
      <c r="I624" s="449" t="n">
        <f aca="false">SQRT(vit_x^2+vit_z^2)</f>
        <v>83.4033971369937</v>
      </c>
      <c r="J624" s="450" t="n">
        <f aca="false">J623+0.5*(vit_x+G623)*pas*(K623&gt;=0)</f>
        <v>796.330001438061</v>
      </c>
      <c r="K624" s="451" t="n">
        <f aca="false">K623+0.5*(vit_z+H623)*pas</f>
        <v>1067.81727529418</v>
      </c>
      <c r="L624" s="449" t="n">
        <f aca="false">SQRT(pos_x^2+pos_z^2)</f>
        <v>1332.05675727689</v>
      </c>
      <c r="M624" s="450" t="n">
        <f aca="false">IF(AND(L623&gt;L_rampe,G624&gt;0),ATAN2(G624,H624),$M$4)</f>
        <v>-1.2501884187476</v>
      </c>
      <c r="N624" s="449" t="n">
        <f aca="false">DEGREES(Beta)</f>
        <v>-71.6305199903714</v>
      </c>
      <c r="O624" s="438"/>
      <c r="P624" s="452" t="n">
        <f aca="false">MATCH(t-pas/2-T_ini,CdP_t)</f>
        <v>23</v>
      </c>
      <c r="Q624" s="449" t="n">
        <f aca="false">(INDEX(CdP,2,i_P+1)-INDEX(CdP,2,i_P+0))/(INDEX(CdP,1,i_P+1)-INDEX(CdP,1,i_P+0))*(t-pas/2-T_ini-INDEX(CdP,1,i_P+0))+INDEX(CdP,2,i_P+0)</f>
        <v>0</v>
      </c>
      <c r="R624" s="450" t="n">
        <f aca="false">Poussee/(g*ISP)</f>
        <v>0</v>
      </c>
      <c r="S624" s="451" t="n">
        <f aca="false">S623-Débit*pas</f>
        <v>8.652</v>
      </c>
      <c r="T624" s="449" t="n">
        <f aca="false">m*g</f>
        <v>84.87612</v>
      </c>
      <c r="U624" s="453" t="n">
        <f aca="false">IF(pos_xz&lt;L_rampe,Poids*COS(Beta),0)</f>
        <v>0</v>
      </c>
      <c r="V624" s="450" t="n">
        <f aca="false">Rho_moyen*(20000-Alt_rampe-pos_z)/(20000+Alt_rampe+pos_z)</f>
        <v>1.10082233649147</v>
      </c>
      <c r="W624" s="449" t="n">
        <f aca="false">1/2*Rho*Sref*Cx*vit_xz^2</f>
        <v>17.0263262528251</v>
      </c>
      <c r="X624" s="438"/>
      <c r="Y624" s="454" t="str">
        <f aca="false">IF(AND(pos_z&lt;=0,K623&gt;0),"Impact balistique","") &amp; IF(AND(H625&lt;0,vit_z&gt;=0),"Apogée","") &amp; IF(AND(Poussee=0,Q623&gt;0),"Fin de propulsion","") &amp; IF(AND(L625&gt;L_rampe,pos_xz&lt;=L_rampe),"Sortie de rampe","")</f>
        <v/>
      </c>
      <c r="Z624" s="455" t="str">
        <f aca="false">IF(ABS(t-T_para)&lt;pas/2,"Para","")</f>
        <v/>
      </c>
      <c r="AA624" s="456" t="str">
        <f aca="false">IF(ABS(t-T_satellite)&lt;pas/2,"Satellite","")</f>
        <v/>
      </c>
      <c r="AB624" s="444"/>
      <c r="AC624" s="452" t="n">
        <f aca="false">IF(ABS(t-ROUND(t,0))&lt;0.001,t,NA())</f>
        <v>26.0000000000001</v>
      </c>
      <c r="AD624" s="457" t="n">
        <f aca="false">IF(ABS(t-ROUND(t,0))&lt;0.001,pos_x,NA())</f>
        <v>796.330001438061</v>
      </c>
      <c r="AE624" s="458" t="e">
        <f aca="false">IF(t&lt;T_para, pos_z, NA())</f>
        <v>#N/A</v>
      </c>
      <c r="AF624" s="444"/>
      <c r="AG624" s="450" t="n">
        <f aca="false">IF(AND(L623&lt;L_rampe,Poussee&lt;Poids*SIN(M623)),0,(-W623+Poussee)/m-Poids*SIN(M623)/m)</f>
        <v>7.36672487169701</v>
      </c>
      <c r="AH624" s="449" t="n">
        <f aca="false">IF(AND(L623&lt;L_rampe,Poussee&lt;Poids*SIN(M623)), g*SIN(M623), (-W623+Poussee)/m)</f>
        <v>-1.93174257702516</v>
      </c>
    </row>
    <row r="625" customFormat="false" ht="12" hidden="false" customHeight="false" outlineLevel="0" collapsed="false">
      <c r="A625" s="448" t="n">
        <f aca="false">IF(B624+0.01&lt;=T_ini+ROUNDUP(Temps_fin_propu,0), 0.01, IF(K624&gt;0, 0.1, 0.0001))</f>
        <v>0.1</v>
      </c>
      <c r="B625" s="449" t="n">
        <f aca="false">B624+pas</f>
        <v>26.1000000000001</v>
      </c>
      <c r="C625" s="432"/>
      <c r="D625" s="450" t="n">
        <f aca="false">IF(AND(L624&lt;L_rampe,Poussee&lt;Poids*SIN(M624)),0,(-W624+Poussee)/m*COS(M624)-U624/m*SIN(M624))</f>
        <v>-0.620173012480032</v>
      </c>
      <c r="E625" s="451" t="n">
        <f aca="false">IF(AND(L624&lt;L_rampe,Poussee&lt;Poids*SIN(M624)),0,(-W624+Poussee)/m*SIN(M624)+U624/m*COS(M624)-Poids/m)</f>
        <v>-7.94237019991756</v>
      </c>
      <c r="F625" s="449" t="n">
        <f aca="false">SQRT(acc_x^2+acc_z^2)</f>
        <v>7.96654623773358</v>
      </c>
      <c r="G625" s="450" t="n">
        <f aca="false">G624+acc_x*pas</f>
        <v>26.2220253800546</v>
      </c>
      <c r="H625" s="451" t="n">
        <f aca="false">H624+acc_z*pas</f>
        <v>-79.9477319164179</v>
      </c>
      <c r="I625" s="449" t="n">
        <f aca="false">SQRT(vit_x^2+vit_z^2)</f>
        <v>84.138186655119</v>
      </c>
      <c r="J625" s="450" t="n">
        <f aca="false">J624+0.5*(vit_x+G624)*pas*(K624&gt;=0)</f>
        <v>798.955304841129</v>
      </c>
      <c r="K625" s="451" t="n">
        <f aca="false">K624+0.5*(vit_z+H624)*pas</f>
        <v>1059.86221395353</v>
      </c>
      <c r="L625" s="449" t="n">
        <f aca="false">SQRT(pos_x^2+pos_z^2)</f>
        <v>1327.26692556557</v>
      </c>
      <c r="M625" s="450" t="n">
        <f aca="false">IF(AND(L624&gt;L_rampe,G625&gt;0),ATAN2(G625,H625),$M$4)</f>
        <v>-1.25386280882897</v>
      </c>
      <c r="N625" s="449" t="n">
        <f aca="false">DEGREES(Beta)</f>
        <v>-71.8410470343189</v>
      </c>
      <c r="O625" s="438"/>
      <c r="P625" s="452" t="n">
        <f aca="false">MATCH(t-pas/2-T_ini,CdP_t)</f>
        <v>23</v>
      </c>
      <c r="Q625" s="449" t="n">
        <f aca="false">(INDEX(CdP,2,i_P+1)-INDEX(CdP,2,i_P+0))/(INDEX(CdP,1,i_P+1)-INDEX(CdP,1,i_P+0))*(t-pas/2-T_ini-INDEX(CdP,1,i_P+0))+INDEX(CdP,2,i_P+0)</f>
        <v>0</v>
      </c>
      <c r="R625" s="450" t="n">
        <f aca="false">Poussee/(g*ISP)</f>
        <v>0</v>
      </c>
      <c r="S625" s="451" t="n">
        <f aca="false">S624-Débit*pas</f>
        <v>8.652</v>
      </c>
      <c r="T625" s="449" t="n">
        <f aca="false">m*g</f>
        <v>84.87612</v>
      </c>
      <c r="U625" s="453" t="n">
        <f aca="false">IF(pos_xz&lt;L_rampe,Poids*COS(Beta),0)</f>
        <v>0</v>
      </c>
      <c r="V625" s="450" t="n">
        <f aca="false">Rho_moyen*(20000-Alt_rampe-pos_z)/(20000+Alt_rampe+pos_z)</f>
        <v>1.10170088256961</v>
      </c>
      <c r="W625" s="449" t="n">
        <f aca="false">1/2*Rho*Sref*Cx*vit_xz^2</f>
        <v>17.3414828228115</v>
      </c>
      <c r="X625" s="438"/>
      <c r="Y625" s="454" t="str">
        <f aca="false">IF(AND(pos_z&lt;=0,K624&gt;0),"Impact balistique","") &amp; IF(AND(H626&lt;0,vit_z&gt;=0),"Apogée","") &amp; IF(AND(Poussee=0,Q624&gt;0),"Fin de propulsion","") &amp; IF(AND(L626&gt;L_rampe,pos_xz&lt;=L_rampe),"Sortie de rampe","")</f>
        <v/>
      </c>
      <c r="Z625" s="455" t="str">
        <f aca="false">IF(ABS(t-T_para)&lt;pas/2,"Para","")</f>
        <v/>
      </c>
      <c r="AA625" s="456" t="str">
        <f aca="false">IF(ABS(t-T_satellite)&lt;pas/2,"Satellite","")</f>
        <v/>
      </c>
      <c r="AB625" s="444"/>
      <c r="AC625" s="452" t="e">
        <f aca="false">IF(ABS(t-ROUND(t,0))&lt;0.001,t,NA())</f>
        <v>#N/A</v>
      </c>
      <c r="AD625" s="457" t="e">
        <f aca="false">IF(ABS(t-ROUND(t,0))&lt;0.001,pos_x,NA())</f>
        <v>#N/A</v>
      </c>
      <c r="AE625" s="458" t="e">
        <f aca="false">IF(t&lt;T_para, pos_z, NA())</f>
        <v>#N/A</v>
      </c>
      <c r="AF625" s="444"/>
      <c r="AG625" s="450" t="n">
        <f aca="false">IF(AND(L624&lt;L_rampe,Poussee&lt;Poids*SIN(M624)),0,(-W624+Poussee)/m-Poids*SIN(M624)/m)</f>
        <v>7.3422153794173</v>
      </c>
      <c r="AH625" s="449" t="n">
        <f aca="false">IF(AND(L624&lt;L_rampe,Poussee&lt;Poids*SIN(M624)), g*SIN(M624), (-W624+Poussee)/m)</f>
        <v>-1.96790640924932</v>
      </c>
    </row>
    <row r="626" customFormat="false" ht="12" hidden="false" customHeight="false" outlineLevel="0" collapsed="false">
      <c r="A626" s="448" t="n">
        <f aca="false">IF(B625+0.01&lt;=T_ini+ROUNDUP(Temps_fin_propu,0), 0.01, IF(K625&gt;0, 0.1, 0.0001))</f>
        <v>0.1</v>
      </c>
      <c r="B626" s="449" t="n">
        <f aca="false">B625+pas</f>
        <v>26.2000000000001</v>
      </c>
      <c r="C626" s="432"/>
      <c r="D626" s="450" t="n">
        <f aca="false">IF(AND(L625&lt;L_rampe,Poussee&lt;Poids*SIN(M625)),0,(-W625+Poussee)/m*COS(M625)-U625/m*SIN(M625))</f>
        <v>-0.62465871695631</v>
      </c>
      <c r="E626" s="451" t="n">
        <f aca="false">IF(AND(L625&lt;L_rampe,Poussee&lt;Poids*SIN(M625)),0,(-W625+Poussee)/m*SIN(M625)+U625/m*COS(M625)-Poids/m)</f>
        <v>-7.90549236114832</v>
      </c>
      <c r="F626" s="449" t="n">
        <f aca="false">SQRT(acc_x^2+acc_z^2)</f>
        <v>7.93013291091921</v>
      </c>
      <c r="G626" s="450" t="n">
        <f aca="false">G625+acc_x*pas</f>
        <v>26.1595595083589</v>
      </c>
      <c r="H626" s="451" t="n">
        <f aca="false">H625+acc_z*pas</f>
        <v>-80.7382811525327</v>
      </c>
      <c r="I626" s="449" t="n">
        <f aca="false">SQRT(vit_x^2+vit_z^2)</f>
        <v>84.870445958159</v>
      </c>
      <c r="J626" s="450" t="n">
        <f aca="false">J625+0.5*(vit_x+G625)*pas*(K625&gt;=0)</f>
        <v>801.57438408555</v>
      </c>
      <c r="K626" s="451" t="n">
        <f aca="false">K625+0.5*(vit_z+H625)*pas</f>
        <v>1051.82791330009</v>
      </c>
      <c r="L626" s="449" t="n">
        <f aca="false">SQRT(pos_x^2+pos_z^2)</f>
        <v>1322.44601115484</v>
      </c>
      <c r="M626" s="450" t="n">
        <f aca="false">IF(AND(L625&gt;L_rampe,G626&gt;0),ATAN2(G626,H626),$M$4)</f>
        <v>-1.25746516415364</v>
      </c>
      <c r="N626" s="449" t="n">
        <f aca="false">DEGREES(Beta)</f>
        <v>-72.0474467907287</v>
      </c>
      <c r="O626" s="438"/>
      <c r="P626" s="452" t="n">
        <f aca="false">MATCH(t-pas/2-T_ini,CdP_t)</f>
        <v>23</v>
      </c>
      <c r="Q626" s="449" t="n">
        <f aca="false">(INDEX(CdP,2,i_P+1)-INDEX(CdP,2,i_P+0))/(INDEX(CdP,1,i_P+1)-INDEX(CdP,1,i_P+0))*(t-pas/2-T_ini-INDEX(CdP,1,i_P+0))+INDEX(CdP,2,i_P+0)</f>
        <v>0</v>
      </c>
      <c r="R626" s="450" t="n">
        <f aca="false">Poussee/(g*ISP)</f>
        <v>0</v>
      </c>
      <c r="S626" s="451" t="n">
        <f aca="false">S625-Débit*pas</f>
        <v>8.652</v>
      </c>
      <c r="T626" s="449" t="n">
        <f aca="false">m*g</f>
        <v>84.87612</v>
      </c>
      <c r="U626" s="453" t="n">
        <f aca="false">IF(pos_xz&lt;L_rampe,Poids*COS(Beta),0)</f>
        <v>0</v>
      </c>
      <c r="V626" s="450" t="n">
        <f aca="false">Rho_moyen*(20000-Alt_rampe-pos_z)/(20000+Alt_rampe+pos_z)</f>
        <v>1.10258885365213</v>
      </c>
      <c r="W626" s="449" t="n">
        <f aca="false">1/2*Rho*Sref*Cx*vit_xz^2</f>
        <v>17.6588656804645</v>
      </c>
      <c r="X626" s="438"/>
      <c r="Y626" s="454" t="str">
        <f aca="false">IF(AND(pos_z&lt;=0,K625&gt;0),"Impact balistique","") &amp; IF(AND(H627&lt;0,vit_z&gt;=0),"Apogée","") &amp; IF(AND(Poussee=0,Q625&gt;0),"Fin de propulsion","") &amp; IF(AND(L627&gt;L_rampe,pos_xz&lt;=L_rampe),"Sortie de rampe","")</f>
        <v/>
      </c>
      <c r="Z626" s="455" t="str">
        <f aca="false">IF(ABS(t-T_para)&lt;pas/2,"Para","")</f>
        <v/>
      </c>
      <c r="AA626" s="456" t="str">
        <f aca="false">IF(ABS(t-T_satellite)&lt;pas/2,"Satellite","")</f>
        <v/>
      </c>
      <c r="AB626" s="444"/>
      <c r="AC626" s="452" t="e">
        <f aca="false">IF(ABS(t-ROUND(t,0))&lt;0.001,t,NA())</f>
        <v>#N/A</v>
      </c>
      <c r="AD626" s="457" t="e">
        <f aca="false">IF(ABS(t-ROUND(t,0))&lt;0.001,pos_x,NA())</f>
        <v>#N/A</v>
      </c>
      <c r="AE626" s="458" t="e">
        <f aca="false">IF(t&lt;T_para, pos_z, NA())</f>
        <v>#N/A</v>
      </c>
      <c r="AF626" s="444"/>
      <c r="AG626" s="450" t="n">
        <f aca="false">IF(AND(L625&lt;L_rampe,Poussee&lt;Poids*SIN(M625)),0,(-W625+Poussee)/m-Poids*SIN(M625)/m)</f>
        <v>7.31708623279461</v>
      </c>
      <c r="AH626" s="449" t="n">
        <f aca="false">IF(AND(L625&lt;L_rampe,Poussee&lt;Poids*SIN(M625)), g*SIN(M625), (-W625+Poussee)/m)</f>
        <v>-2.00433227263194</v>
      </c>
    </row>
    <row r="627" customFormat="false" ht="12" hidden="false" customHeight="false" outlineLevel="0" collapsed="false">
      <c r="A627" s="448" t="n">
        <f aca="false">IF(B626+0.01&lt;=T_ini+ROUNDUP(Temps_fin_propu,0), 0.01, IF(K626&gt;0, 0.1, 0.0001))</f>
        <v>0.1</v>
      </c>
      <c r="B627" s="449" t="n">
        <f aca="false">B626+pas</f>
        <v>26.3000000000001</v>
      </c>
      <c r="C627" s="432"/>
      <c r="D627" s="450" t="n">
        <f aca="false">IF(AND(L626&lt;L_rampe,Poussee&lt;Poids*SIN(M626)),0,(-W626+Poussee)/m*COS(M626)-U626/m*SIN(M626))</f>
        <v>-0.629100796400162</v>
      </c>
      <c r="E627" s="451" t="n">
        <f aca="false">IF(AND(L626&lt;L_rampe,Poussee&lt;Poids*SIN(M626)),0,(-W626+Poussee)/m*SIN(M626)+U626/m*COS(M626)-Poids/m)</f>
        <v>-7.8683573298775</v>
      </c>
      <c r="F627" s="449" t="n">
        <f aca="false">SQRT(acc_x^2+acc_z^2)</f>
        <v>7.89346659476483</v>
      </c>
      <c r="G627" s="450" t="n">
        <f aca="false">G626+acc_x*pas</f>
        <v>26.0966494287189</v>
      </c>
      <c r="H627" s="451" t="n">
        <f aca="false">H626+acc_z*pas</f>
        <v>-81.5251168855205</v>
      </c>
      <c r="I627" s="449" t="n">
        <f aca="false">SQRT(vit_x^2+vit_z^2)</f>
        <v>85.6001156226043</v>
      </c>
      <c r="J627" s="450" t="n">
        <f aca="false">J626+0.5*(vit_x+G626)*pas*(K626&gt;=0)</f>
        <v>804.187194532403</v>
      </c>
      <c r="K627" s="451" t="n">
        <f aca="false">K626+0.5*(vit_z+H626)*pas</f>
        <v>1043.71474339818</v>
      </c>
      <c r="L627" s="449" t="n">
        <f aca="false">SQRT(pos_x^2+pos_z^2)</f>
        <v>1317.59535117449</v>
      </c>
      <c r="M627" s="450" t="n">
        <f aca="false">IF(AND(L626&gt;L_rampe,G627&gt;0),ATAN2(G627,H627),$M$4)</f>
        <v>-1.2609975611095</v>
      </c>
      <c r="N627" s="449" t="n">
        <f aca="false">DEGREES(Beta)</f>
        <v>-72.2498382278647</v>
      </c>
      <c r="O627" s="438"/>
      <c r="P627" s="452" t="n">
        <f aca="false">MATCH(t-pas/2-T_ini,CdP_t)</f>
        <v>23</v>
      </c>
      <c r="Q627" s="449" t="n">
        <f aca="false">(INDEX(CdP,2,i_P+1)-INDEX(CdP,2,i_P+0))/(INDEX(CdP,1,i_P+1)-INDEX(CdP,1,i_P+0))*(t-pas/2-T_ini-INDEX(CdP,1,i_P+0))+INDEX(CdP,2,i_P+0)</f>
        <v>0</v>
      </c>
      <c r="R627" s="450" t="n">
        <f aca="false">Poussee/(g*ISP)</f>
        <v>0</v>
      </c>
      <c r="S627" s="451" t="n">
        <f aca="false">S626-Débit*pas</f>
        <v>8.652</v>
      </c>
      <c r="T627" s="449" t="n">
        <f aca="false">m*g</f>
        <v>84.87612</v>
      </c>
      <c r="U627" s="453" t="n">
        <f aca="false">IF(pos_xz&lt;L_rampe,Poids*COS(Beta),0)</f>
        <v>0</v>
      </c>
      <c r="V627" s="450" t="n">
        <f aca="false">Rho_moyen*(20000-Alt_rampe-pos_z)/(20000+Alt_rampe+pos_z)</f>
        <v>1.10348622961743</v>
      </c>
      <c r="W627" s="449" t="n">
        <f aca="false">1/2*Rho*Sref*Cx*vit_xz^2</f>
        <v>17.978433893685</v>
      </c>
      <c r="X627" s="438"/>
      <c r="Y627" s="454" t="str">
        <f aca="false">IF(AND(pos_z&lt;=0,K626&gt;0),"Impact balistique","") &amp; IF(AND(H628&lt;0,vit_z&gt;=0),"Apogée","") &amp; IF(AND(Poussee=0,Q626&gt;0),"Fin de propulsion","") &amp; IF(AND(L628&gt;L_rampe,pos_xz&lt;=L_rampe),"Sortie de rampe","")</f>
        <v/>
      </c>
      <c r="Z627" s="455" t="str">
        <f aca="false">IF(ABS(t-T_para)&lt;pas/2,"Para","")</f>
        <v/>
      </c>
      <c r="AA627" s="456" t="str">
        <f aca="false">IF(ABS(t-T_satellite)&lt;pas/2,"Satellite","")</f>
        <v/>
      </c>
      <c r="AB627" s="444"/>
      <c r="AC627" s="452" t="e">
        <f aca="false">IF(ABS(t-ROUND(t,0))&lt;0.001,t,NA())</f>
        <v>#N/A</v>
      </c>
      <c r="AD627" s="457" t="e">
        <f aca="false">IF(ABS(t-ROUND(t,0))&lt;0.001,pos_x,NA())</f>
        <v>#N/A</v>
      </c>
      <c r="AE627" s="458" t="e">
        <f aca="false">IF(t&lt;T_para, pos_z, NA())</f>
        <v>#N/A</v>
      </c>
      <c r="AF627" s="444"/>
      <c r="AG627" s="450" t="n">
        <f aca="false">IF(AND(L626&lt;L_rampe,Poussee&lt;Poids*SIN(M626)),0,(-W626+Poussee)/m-Poids*SIN(M626)/m)</f>
        <v>7.29135613229996</v>
      </c>
      <c r="AH627" s="449" t="n">
        <f aca="false">IF(AND(L626&lt;L_rampe,Poussee&lt;Poids*SIN(M626)), g*SIN(M626), (-W626+Poussee)/m)</f>
        <v>-2.04101545081652</v>
      </c>
    </row>
    <row r="628" customFormat="false" ht="12" hidden="false" customHeight="false" outlineLevel="0" collapsed="false">
      <c r="A628" s="448" t="n">
        <f aca="false">IF(B627+0.01&lt;=T_ini+ROUNDUP(Temps_fin_propu,0), 0.01, IF(K627&gt;0, 0.1, 0.0001))</f>
        <v>0.1</v>
      </c>
      <c r="B628" s="449" t="n">
        <f aca="false">B627+pas</f>
        <v>26.4000000000001</v>
      </c>
      <c r="C628" s="432"/>
      <c r="D628" s="450" t="n">
        <f aca="false">IF(AND(L627&lt;L_rampe,Poussee&lt;Poids*SIN(M627)),0,(-W627+Poussee)/m*COS(M627)-U627/m*SIN(M627))</f>
        <v>-0.633498727631744</v>
      </c>
      <c r="E628" s="451" t="n">
        <f aca="false">IF(AND(L627&lt;L_rampe,Poussee&lt;Poids*SIN(M627)),0,(-W627+Poussee)/m*SIN(M627)+U627/m*COS(M627)-Poids/m)</f>
        <v>-7.83096978165439</v>
      </c>
      <c r="F628" s="449" t="n">
        <f aca="false">SQRT(acc_x^2+acc_z^2)</f>
        <v>7.85655193829299</v>
      </c>
      <c r="G628" s="450" t="n">
        <f aca="false">G627+acc_x*pas</f>
        <v>26.0332995559557</v>
      </c>
      <c r="H628" s="451" t="n">
        <f aca="false">H627+acc_z*pas</f>
        <v>-82.3082138636859</v>
      </c>
      <c r="I628" s="449" t="n">
        <f aca="false">SQRT(vit_x^2+vit_z^2)</f>
        <v>86.3271379995907</v>
      </c>
      <c r="J628" s="450" t="n">
        <f aca="false">J627+0.5*(vit_x+G627)*pas*(K627&gt;=0)</f>
        <v>806.793691981637</v>
      </c>
      <c r="K628" s="451" t="n">
        <f aca="false">K627+0.5*(vit_z+H627)*pas</f>
        <v>1035.52307686072</v>
      </c>
      <c r="L628" s="449" t="n">
        <f aca="false">SQRT(pos_x^2+pos_z^2)</f>
        <v>1312.71630755943</v>
      </c>
      <c r="M628" s="450" t="n">
        <f aca="false">IF(AND(L627&gt;L_rampe,G628&gt;0),ATAN2(G628,H628),$M$4)</f>
        <v>-1.26446200022446</v>
      </c>
      <c r="N628" s="449" t="n">
        <f aca="false">DEGREES(Beta)</f>
        <v>-72.4483359675316</v>
      </c>
      <c r="O628" s="438"/>
      <c r="P628" s="452" t="n">
        <f aca="false">MATCH(t-pas/2-T_ini,CdP_t)</f>
        <v>23</v>
      </c>
      <c r="Q628" s="449" t="n">
        <f aca="false">(INDEX(CdP,2,i_P+1)-INDEX(CdP,2,i_P+0))/(INDEX(CdP,1,i_P+1)-INDEX(CdP,1,i_P+0))*(t-pas/2-T_ini-INDEX(CdP,1,i_P+0))+INDEX(CdP,2,i_P+0)</f>
        <v>0</v>
      </c>
      <c r="R628" s="450" t="n">
        <f aca="false">Poussee/(g*ISP)</f>
        <v>0</v>
      </c>
      <c r="S628" s="451" t="n">
        <f aca="false">S627-Débit*pas</f>
        <v>8.652</v>
      </c>
      <c r="T628" s="449" t="n">
        <f aca="false">m*g</f>
        <v>84.87612</v>
      </c>
      <c r="U628" s="453" t="n">
        <f aca="false">IF(pos_xz&lt;L_rampe,Poids*COS(Beta),0)</f>
        <v>0</v>
      </c>
      <c r="V628" s="450" t="n">
        <f aca="false">Rho_moyen*(20000-Alt_rampe-pos_z)/(20000+Alt_rampe+pos_z)</f>
        <v>1.10439299017957</v>
      </c>
      <c r="W628" s="449" t="n">
        <f aca="false">1/2*Rho*Sref*Cx*vit_xz^2</f>
        <v>18.3001464132655</v>
      </c>
      <c r="X628" s="438"/>
      <c r="Y628" s="454" t="str">
        <f aca="false">IF(AND(pos_z&lt;=0,K627&gt;0),"Impact balistique","") &amp; IF(AND(H629&lt;0,vit_z&gt;=0),"Apogée","") &amp; IF(AND(Poussee=0,Q627&gt;0),"Fin de propulsion","") &amp; IF(AND(L629&gt;L_rampe,pos_xz&lt;=L_rampe),"Sortie de rampe","")</f>
        <v/>
      </c>
      <c r="Z628" s="455" t="str">
        <f aca="false">IF(ABS(t-T_para)&lt;pas/2,"Para","")</f>
        <v/>
      </c>
      <c r="AA628" s="456" t="str">
        <f aca="false">IF(ABS(t-T_satellite)&lt;pas/2,"Satellite","")</f>
        <v/>
      </c>
      <c r="AB628" s="444"/>
      <c r="AC628" s="452" t="e">
        <f aca="false">IF(ABS(t-ROUND(t,0))&lt;0.001,t,NA())</f>
        <v>#N/A</v>
      </c>
      <c r="AD628" s="457" t="e">
        <f aca="false">IF(ABS(t-ROUND(t,0))&lt;0.001,pos_x,NA())</f>
        <v>#N/A</v>
      </c>
      <c r="AE628" s="458" t="e">
        <f aca="false">IF(t&lt;T_para, pos_z, NA())</f>
        <v>#N/A</v>
      </c>
      <c r="AF628" s="444"/>
      <c r="AG628" s="450" t="n">
        <f aca="false">IF(AND(L627&lt;L_rampe,Poussee&lt;Poids*SIN(M627)),0,(-W627+Poussee)/m-Poids*SIN(M627)/m)</f>
        <v>7.26504313743691</v>
      </c>
      <c r="AH628" s="449" t="n">
        <f aca="false">IF(AND(L627&lt;L_rampe,Poussee&lt;Poids*SIN(M627)), g*SIN(M627), (-W627+Poussee)/m)</f>
        <v>-2.07795121286235</v>
      </c>
    </row>
    <row r="629" customFormat="false" ht="12" hidden="false" customHeight="false" outlineLevel="0" collapsed="false">
      <c r="A629" s="448" t="n">
        <f aca="false">IF(B628+0.01&lt;=T_ini+ROUNDUP(Temps_fin_propu,0), 0.01, IF(K628&gt;0, 0.1, 0.0001))</f>
        <v>0.1</v>
      </c>
      <c r="B629" s="449" t="n">
        <f aca="false">B628+pas</f>
        <v>26.5000000000001</v>
      </c>
      <c r="C629" s="432"/>
      <c r="D629" s="450" t="n">
        <f aca="false">IF(AND(L628&lt;L_rampe,Poussee&lt;Poids*SIN(M628)),0,(-W628+Poussee)/m*COS(M628)-U628/m*SIN(M628))</f>
        <v>-0.637852006885585</v>
      </c>
      <c r="E629" s="451" t="n">
        <f aca="false">IF(AND(L628&lt;L_rampe,Poussee&lt;Poids*SIN(M628)),0,(-W628+Poussee)/m*SIN(M628)+U628/m*COS(M628)-Poids/m)</f>
        <v>-7.79333441048162</v>
      </c>
      <c r="F629" s="449" t="n">
        <f aca="false">SQRT(acc_x^2+acc_z^2)</f>
        <v>7.81939360924394</v>
      </c>
      <c r="G629" s="450" t="n">
        <f aca="false">G628+acc_x*pas</f>
        <v>25.9695143552672</v>
      </c>
      <c r="H629" s="451" t="n">
        <f aca="false">H628+acc_z*pas</f>
        <v>-83.0875473047341</v>
      </c>
      <c r="I629" s="449" t="n">
        <f aca="false">SQRT(vit_x^2+vit_z^2)</f>
        <v>87.0514571558963</v>
      </c>
      <c r="J629" s="450" t="n">
        <f aca="false">J628+0.5*(vit_x+G628)*pas*(K628&gt;=0)</f>
        <v>809.393832677198</v>
      </c>
      <c r="K629" s="451" t="n">
        <f aca="false">K628+0.5*(vit_z+H628)*pas</f>
        <v>1027.2532888023</v>
      </c>
      <c r="L629" s="449" t="n">
        <f aca="false">SQRT(pos_x^2+pos_z^2)</f>
        <v>1307.81026748188</v>
      </c>
      <c r="M629" s="450" t="n">
        <f aca="false">IF(AND(L628&gt;L_rampe,G629&gt;0),ATAN2(G629,H629),$M$4)</f>
        <v>-1.26786040942499</v>
      </c>
      <c r="N629" s="449" t="n">
        <f aca="false">DEGREES(Beta)</f>
        <v>-72.6430504717805</v>
      </c>
      <c r="O629" s="438"/>
      <c r="P629" s="452" t="n">
        <f aca="false">MATCH(t-pas/2-T_ini,CdP_t)</f>
        <v>23</v>
      </c>
      <c r="Q629" s="449" t="n">
        <f aca="false">(INDEX(CdP,2,i_P+1)-INDEX(CdP,2,i_P+0))/(INDEX(CdP,1,i_P+1)-INDEX(CdP,1,i_P+0))*(t-pas/2-T_ini-INDEX(CdP,1,i_P+0))+INDEX(CdP,2,i_P+0)</f>
        <v>0</v>
      </c>
      <c r="R629" s="450" t="n">
        <f aca="false">Poussee/(g*ISP)</f>
        <v>0</v>
      </c>
      <c r="S629" s="451" t="n">
        <f aca="false">S628-Débit*pas</f>
        <v>8.652</v>
      </c>
      <c r="T629" s="449" t="n">
        <f aca="false">m*g</f>
        <v>84.87612</v>
      </c>
      <c r="U629" s="453" t="n">
        <f aca="false">IF(pos_xz&lt;L_rampe,Poids*COS(Beta),0)</f>
        <v>0</v>
      </c>
      <c r="V629" s="450" t="n">
        <f aca="false">Rho_moyen*(20000-Alt_rampe-pos_z)/(20000+Alt_rampe+pos_z)</f>
        <v>1.10530911489016</v>
      </c>
      <c r="W629" s="449" t="n">
        <f aca="false">1/2*Rho*Sref*Cx*vit_xz^2</f>
        <v>18.6239620819545</v>
      </c>
      <c r="X629" s="438"/>
      <c r="Y629" s="454" t="str">
        <f aca="false">IF(AND(pos_z&lt;=0,K628&gt;0),"Impact balistique","") &amp; IF(AND(H630&lt;0,vit_z&gt;=0),"Apogée","") &amp; IF(AND(Poussee=0,Q628&gt;0),"Fin de propulsion","") &amp; IF(AND(L630&gt;L_rampe,pos_xz&lt;=L_rampe),"Sortie de rampe","")</f>
        <v/>
      </c>
      <c r="Z629" s="455" t="str">
        <f aca="false">IF(ABS(t-T_para)&lt;pas/2,"Para","")</f>
        <v/>
      </c>
      <c r="AA629" s="456" t="str">
        <f aca="false">IF(ABS(t-T_satellite)&lt;pas/2,"Satellite","")</f>
        <v/>
      </c>
      <c r="AB629" s="444"/>
      <c r="AC629" s="452" t="e">
        <f aca="false">IF(ABS(t-ROUND(t,0))&lt;0.001,t,NA())</f>
        <v>#N/A</v>
      </c>
      <c r="AD629" s="457" t="e">
        <f aca="false">IF(ABS(t-ROUND(t,0))&lt;0.001,pos_x,NA())</f>
        <v>#N/A</v>
      </c>
      <c r="AE629" s="458" t="e">
        <f aca="false">IF(t&lt;T_para, pos_z, NA())</f>
        <v>#N/A</v>
      </c>
      <c r="AF629" s="444"/>
      <c r="AG629" s="450" t="n">
        <f aca="false">IF(AND(L628&lt;L_rampe,Poussee&lt;Poids*SIN(M628)),0,(-W628+Poussee)/m-Poids*SIN(M628)/m)</f>
        <v>7.23816470093664</v>
      </c>
      <c r="AH629" s="449" t="n">
        <f aca="false">IF(AND(L628&lt;L_rampe,Poussee&lt;Poids*SIN(M628)), g*SIN(M628), (-W628+Poussee)/m)</f>
        <v>-2.11513481429328</v>
      </c>
    </row>
    <row r="630" customFormat="false" ht="12" hidden="false" customHeight="false" outlineLevel="0" collapsed="false">
      <c r="A630" s="448" t="n">
        <f aca="false">IF(B629+0.01&lt;=T_ini+ROUNDUP(Temps_fin_propu,0), 0.01, IF(K629&gt;0, 0.1, 0.0001))</f>
        <v>0.1</v>
      </c>
      <c r="B630" s="449" t="n">
        <f aca="false">B629+pas</f>
        <v>26.6000000000001</v>
      </c>
      <c r="C630" s="432"/>
      <c r="D630" s="450" t="n">
        <f aca="false">IF(AND(L629&lt;L_rampe,Poussee&lt;Poids*SIN(M629)),0,(-W629+Poussee)/m*COS(M629)-U629/m*SIN(M629))</f>
        <v>-0.642160149330684</v>
      </c>
      <c r="E630" s="451" t="n">
        <f aca="false">IF(AND(L629&lt;L_rampe,Poussee&lt;Poids*SIN(M629)),0,(-W629+Poussee)/m*SIN(M629)+U629/m*COS(M629)-Poids/m)</f>
        <v>-7.7554559274842</v>
      </c>
      <c r="F630" s="449" t="n">
        <f aca="false">SQRT(acc_x^2+acc_z^2)</f>
        <v>7.7819962927605</v>
      </c>
      <c r="G630" s="450" t="n">
        <f aca="false">G629+acc_x*pas</f>
        <v>25.9052983403341</v>
      </c>
      <c r="H630" s="451" t="n">
        <f aca="false">H629+acc_z*pas</f>
        <v>-83.8630928974825</v>
      </c>
      <c r="I630" s="449" t="n">
        <f aca="false">SQRT(vit_x^2+vit_z^2)</f>
        <v>87.7730188180485</v>
      </c>
      <c r="J630" s="450" t="n">
        <f aca="false">J629+0.5*(vit_x+G629)*pas*(K629&gt;=0)</f>
        <v>811.987573311978</v>
      </c>
      <c r="K630" s="451" t="n">
        <f aca="false">K629+0.5*(vit_z+H629)*pas</f>
        <v>1018.90575679219</v>
      </c>
      <c r="L630" s="449" t="n">
        <f aca="false">SQRT(pos_x^2+pos_z^2)</f>
        <v>1302.87864378742</v>
      </c>
      <c r="M630" s="450" t="n">
        <f aca="false">IF(AND(L629&gt;L_rampe,G630&gt;0),ATAN2(G630,H630),$M$4)</f>
        <v>-1.27119464713881</v>
      </c>
      <c r="N630" s="449" t="n">
        <f aca="false">DEGREES(Beta)</f>
        <v>-72.8340882206754</v>
      </c>
      <c r="O630" s="438"/>
      <c r="P630" s="452" t="n">
        <f aca="false">MATCH(t-pas/2-T_ini,CdP_t)</f>
        <v>23</v>
      </c>
      <c r="Q630" s="449" t="n">
        <f aca="false">(INDEX(CdP,2,i_P+1)-INDEX(CdP,2,i_P+0))/(INDEX(CdP,1,i_P+1)-INDEX(CdP,1,i_P+0))*(t-pas/2-T_ini-INDEX(CdP,1,i_P+0))+INDEX(CdP,2,i_P+0)</f>
        <v>0</v>
      </c>
      <c r="R630" s="450" t="n">
        <f aca="false">Poussee/(g*ISP)</f>
        <v>0</v>
      </c>
      <c r="S630" s="451" t="n">
        <f aca="false">S629-Débit*pas</f>
        <v>8.652</v>
      </c>
      <c r="T630" s="449" t="n">
        <f aca="false">m*g</f>
        <v>84.87612</v>
      </c>
      <c r="U630" s="453" t="n">
        <f aca="false">IF(pos_xz&lt;L_rampe,Poids*COS(Beta),0)</f>
        <v>0</v>
      </c>
      <c r="V630" s="450" t="n">
        <f aca="false">Rho_moyen*(20000-Alt_rampe-pos_z)/(20000+Alt_rampe+pos_z)</f>
        <v>1.10623458314027</v>
      </c>
      <c r="W630" s="449" t="n">
        <f aca="false">1/2*Rho*Sref*Cx*vit_xz^2</f>
        <v>18.94983964351</v>
      </c>
      <c r="X630" s="438"/>
      <c r="Y630" s="454" t="str">
        <f aca="false">IF(AND(pos_z&lt;=0,K629&gt;0),"Impact balistique","") &amp; IF(AND(H631&lt;0,vit_z&gt;=0),"Apogée","") &amp; IF(AND(Poussee=0,Q629&gt;0),"Fin de propulsion","") &amp; IF(AND(L631&gt;L_rampe,pos_xz&lt;=L_rampe),"Sortie de rampe","")</f>
        <v/>
      </c>
      <c r="Z630" s="455" t="str">
        <f aca="false">IF(ABS(t-T_para)&lt;pas/2,"Para","")</f>
        <v/>
      </c>
      <c r="AA630" s="456" t="str">
        <f aca="false">IF(ABS(t-T_satellite)&lt;pas/2,"Satellite","")</f>
        <v/>
      </c>
      <c r="AB630" s="444"/>
      <c r="AC630" s="452" t="e">
        <f aca="false">IF(ABS(t-ROUND(t,0))&lt;0.001,t,NA())</f>
        <v>#N/A</v>
      </c>
      <c r="AD630" s="457" t="e">
        <f aca="false">IF(ABS(t-ROUND(t,0))&lt;0.001,pos_x,NA())</f>
        <v>#N/A</v>
      </c>
      <c r="AE630" s="458" t="e">
        <f aca="false">IF(t&lt;T_para, pos_z, NA())</f>
        <v>#N/A</v>
      </c>
      <c r="AF630" s="444"/>
      <c r="AG630" s="450" t="n">
        <f aca="false">IF(AND(L629&lt;L_rampe,Poussee&lt;Poids*SIN(M629)),0,(-W629+Poussee)/m-Poids*SIN(M629)/m)</f>
        <v>7.21073770085287</v>
      </c>
      <c r="AH630" s="449" t="n">
        <f aca="false">IF(AND(L629&lt;L_rampe,Poussee&lt;Poids*SIN(M629)), g*SIN(M629), (-W629+Poussee)/m)</f>
        <v>-2.15256149814546</v>
      </c>
    </row>
    <row r="631" customFormat="false" ht="12" hidden="false" customHeight="false" outlineLevel="0" collapsed="false">
      <c r="A631" s="448" t="n">
        <f aca="false">IF(B630+0.01&lt;=T_ini+ROUNDUP(Temps_fin_propu,0), 0.01, IF(K630&gt;0, 0.1, 0.0001))</f>
        <v>0.1</v>
      </c>
      <c r="B631" s="449" t="n">
        <f aca="false">B630+pas</f>
        <v>26.7000000000001</v>
      </c>
      <c r="C631" s="432"/>
      <c r="D631" s="450" t="n">
        <f aca="false">IF(AND(L630&lt;L_rampe,Poussee&lt;Poids*SIN(M630)),0,(-W630+Poussee)/m*COS(M630)-U630/m*SIN(M630))</f>
        <v>-0.64642268861409</v>
      </c>
      <c r="E631" s="451" t="n">
        <f aca="false">IF(AND(L630&lt;L_rampe,Poussee&lt;Poids*SIN(M630)),0,(-W630+Poussee)/m*SIN(M630)+U630/m*COS(M630)-Poids/m)</f>
        <v>-7.71733905959778</v>
      </c>
      <c r="F631" s="449" t="n">
        <f aca="false">SQRT(acc_x^2+acc_z^2)</f>
        <v>7.74436469009231</v>
      </c>
      <c r="G631" s="450" t="n">
        <f aca="false">G630+acc_x*pas</f>
        <v>25.8406560714727</v>
      </c>
      <c r="H631" s="451" t="n">
        <f aca="false">H630+acc_z*pas</f>
        <v>-84.6348268034423</v>
      </c>
      <c r="I631" s="449" t="n">
        <f aca="false">SQRT(vit_x^2+vit_z^2)</f>
        <v>88.4917703193512</v>
      </c>
      <c r="J631" s="450" t="n">
        <f aca="false">J630+0.5*(vit_x+G630)*pas*(K630&gt;=0)</f>
        <v>814.574871032569</v>
      </c>
      <c r="K631" s="451" t="n">
        <f aca="false">K630+0.5*(vit_z+H630)*pas</f>
        <v>1010.48086080715</v>
      </c>
      <c r="L631" s="449" t="n">
        <f aca="false">SQRT(pos_x^2+pos_z^2)</f>
        <v>1297.92287543416</v>
      </c>
      <c r="M631" s="450" t="n">
        <f aca="false">IF(AND(L630&gt;L_rampe,G631&gt;0),ATAN2(G631,H631),$M$4)</f>
        <v>-1.27446650524932</v>
      </c>
      <c r="N631" s="449" t="n">
        <f aca="false">DEGREES(Beta)</f>
        <v>-73.0215518815738</v>
      </c>
      <c r="O631" s="438"/>
      <c r="P631" s="452" t="n">
        <f aca="false">MATCH(t-pas/2-T_ini,CdP_t)</f>
        <v>23</v>
      </c>
      <c r="Q631" s="449" t="n">
        <f aca="false">(INDEX(CdP,2,i_P+1)-INDEX(CdP,2,i_P+0))/(INDEX(CdP,1,i_P+1)-INDEX(CdP,1,i_P+0))*(t-pas/2-T_ini-INDEX(CdP,1,i_P+0))+INDEX(CdP,2,i_P+0)</f>
        <v>0</v>
      </c>
      <c r="R631" s="450" t="n">
        <f aca="false">Poussee/(g*ISP)</f>
        <v>0</v>
      </c>
      <c r="S631" s="451" t="n">
        <f aca="false">S630-Débit*pas</f>
        <v>8.652</v>
      </c>
      <c r="T631" s="449" t="n">
        <f aca="false">m*g</f>
        <v>84.87612</v>
      </c>
      <c r="U631" s="453" t="n">
        <f aca="false">IF(pos_xz&lt;L_rampe,Poids*COS(Beta),0)</f>
        <v>0</v>
      </c>
      <c r="V631" s="450" t="n">
        <f aca="false">Rho_moyen*(20000-Alt_rampe-pos_z)/(20000+Alt_rampe+pos_z)</f>
        <v>1.10716937416242</v>
      </c>
      <c r="W631" s="449" t="n">
        <f aca="false">1/2*Rho*Sref*Cx*vit_xz^2</f>
        <v>19.2777377517359</v>
      </c>
      <c r="X631" s="438"/>
      <c r="Y631" s="454" t="str">
        <f aca="false">IF(AND(pos_z&lt;=0,K630&gt;0),"Impact balistique","") &amp; IF(AND(H632&lt;0,vit_z&gt;=0),"Apogée","") &amp; IF(AND(Poussee=0,Q630&gt;0),"Fin de propulsion","") &amp; IF(AND(L632&gt;L_rampe,pos_xz&lt;=L_rampe),"Sortie de rampe","")</f>
        <v/>
      </c>
      <c r="Z631" s="455" t="str">
        <f aca="false">IF(ABS(t-T_para)&lt;pas/2,"Para","")</f>
        <v/>
      </c>
      <c r="AA631" s="456" t="str">
        <f aca="false">IF(ABS(t-T_satellite)&lt;pas/2,"Satellite","")</f>
        <v/>
      </c>
      <c r="AB631" s="444"/>
      <c r="AC631" s="452" t="e">
        <f aca="false">IF(ABS(t-ROUND(t,0))&lt;0.001,t,NA())</f>
        <v>#N/A</v>
      </c>
      <c r="AD631" s="457" t="e">
        <f aca="false">IF(ABS(t-ROUND(t,0))&lt;0.001,pos_x,NA())</f>
        <v>#N/A</v>
      </c>
      <c r="AE631" s="458" t="e">
        <f aca="false">IF(t&lt;T_para, pos_z, NA())</f>
        <v>#N/A</v>
      </c>
      <c r="AF631" s="444"/>
      <c r="AG631" s="450" t="n">
        <f aca="false">IF(AND(L630&lt;L_rampe,Poussee&lt;Poids*SIN(M630)),0,(-W630+Poussee)/m-Poids*SIN(M630)/m)</f>
        <v>7.18277847069185</v>
      </c>
      <c r="AH631" s="449" t="n">
        <f aca="false">IF(AND(L630&lt;L_rampe,Poussee&lt;Poids*SIN(M630)), g*SIN(M630), (-W630+Poussee)/m)</f>
        <v>-2.19022649601364</v>
      </c>
    </row>
    <row r="632" customFormat="false" ht="12" hidden="false" customHeight="false" outlineLevel="0" collapsed="false">
      <c r="A632" s="448" t="n">
        <f aca="false">IF(B631+0.01&lt;=T_ini+ROUNDUP(Temps_fin_propu,0), 0.01, IF(K631&gt;0, 0.1, 0.0001))</f>
        <v>0.1</v>
      </c>
      <c r="B632" s="449" t="n">
        <f aca="false">B631+pas</f>
        <v>26.8000000000001</v>
      </c>
      <c r="C632" s="432"/>
      <c r="D632" s="450" t="n">
        <f aca="false">IF(AND(L631&lt;L_rampe,Poussee&lt;Poids*SIN(M631)),0,(-W631+Poussee)/m*COS(M631)-U631/m*SIN(M631))</f>
        <v>-0.650639176426456</v>
      </c>
      <c r="E632" s="451" t="n">
        <f aca="false">IF(AND(L631&lt;L_rampe,Poussee&lt;Poids*SIN(M631)),0,(-W631+Poussee)/m*SIN(M631)+U631/m*COS(M631)-Poids/m)</f>
        <v>-7.67898854827531</v>
      </c>
      <c r="F632" s="449" t="n">
        <f aca="false">SQRT(acc_x^2+acc_z^2)</f>
        <v>7.70650351731862</v>
      </c>
      <c r="G632" s="450" t="n">
        <f aca="false">G631+acc_x*pas</f>
        <v>25.7755921538301</v>
      </c>
      <c r="H632" s="451" t="n">
        <f aca="false">H631+acc_z*pas</f>
        <v>-85.4027256582698</v>
      </c>
      <c r="I632" s="449" t="n">
        <f aca="false">SQRT(vit_x^2+vit_z^2)</f>
        <v>89.2076605496539</v>
      </c>
      <c r="J632" s="450" t="n">
        <f aca="false">J631+0.5*(vit_x+G631)*pas*(K631&gt;=0)</f>
        <v>817.155683443834</v>
      </c>
      <c r="K632" s="451" t="n">
        <f aca="false">K631+0.5*(vit_z+H631)*pas</f>
        <v>1001.97898318406</v>
      </c>
      <c r="L632" s="449" t="n">
        <f aca="false">SQRT(pos_x^2+pos_z^2)</f>
        <v>1292.9444279346</v>
      </c>
      <c r="M632" s="450" t="n">
        <f aca="false">IF(AND(L631&gt;L_rampe,G632&gt;0),ATAN2(G632,H632),$M$4)</f>
        <v>-1.27767771190953</v>
      </c>
      <c r="N632" s="449" t="n">
        <f aca="false">DEGREES(Beta)</f>
        <v>-73.2055404703482</v>
      </c>
      <c r="O632" s="438"/>
      <c r="P632" s="452" t="n">
        <f aca="false">MATCH(t-pas/2-T_ini,CdP_t)</f>
        <v>23</v>
      </c>
      <c r="Q632" s="449" t="n">
        <f aca="false">(INDEX(CdP,2,i_P+1)-INDEX(CdP,2,i_P+0))/(INDEX(CdP,1,i_P+1)-INDEX(CdP,1,i_P+0))*(t-pas/2-T_ini-INDEX(CdP,1,i_P+0))+INDEX(CdP,2,i_P+0)</f>
        <v>0</v>
      </c>
      <c r="R632" s="450" t="n">
        <f aca="false">Poussee/(g*ISP)</f>
        <v>0</v>
      </c>
      <c r="S632" s="451" t="n">
        <f aca="false">S631-Débit*pas</f>
        <v>8.652</v>
      </c>
      <c r="T632" s="449" t="n">
        <f aca="false">m*g</f>
        <v>84.87612</v>
      </c>
      <c r="U632" s="453" t="n">
        <f aca="false">IF(pos_xz&lt;L_rampe,Poids*COS(Beta),0)</f>
        <v>0</v>
      </c>
      <c r="V632" s="450" t="n">
        <f aca="false">Rho_moyen*(20000-Alt_rampe-pos_z)/(20000+Alt_rampe+pos_z)</f>
        <v>1.10811346703249</v>
      </c>
      <c r="W632" s="449" t="n">
        <f aca="false">1/2*Rho*Sref*Cx*vit_xz^2</f>
        <v>19.6076149794997</v>
      </c>
      <c r="X632" s="438"/>
      <c r="Y632" s="454" t="str">
        <f aca="false">IF(AND(pos_z&lt;=0,K631&gt;0),"Impact balistique","") &amp; IF(AND(H633&lt;0,vit_z&gt;=0),"Apogée","") &amp; IF(AND(Poussee=0,Q631&gt;0),"Fin de propulsion","") &amp; IF(AND(L633&gt;L_rampe,pos_xz&lt;=L_rampe),"Sortie de rampe","")</f>
        <v/>
      </c>
      <c r="Z632" s="455" t="str">
        <f aca="false">IF(ABS(t-T_para)&lt;pas/2,"Para","")</f>
        <v/>
      </c>
      <c r="AA632" s="456" t="str">
        <f aca="false">IF(ABS(t-T_satellite)&lt;pas/2,"Satellite","")</f>
        <v/>
      </c>
      <c r="AB632" s="444"/>
      <c r="AC632" s="452" t="e">
        <f aca="false">IF(ABS(t-ROUND(t,0))&lt;0.001,t,NA())</f>
        <v>#N/A</v>
      </c>
      <c r="AD632" s="457" t="e">
        <f aca="false">IF(ABS(t-ROUND(t,0))&lt;0.001,pos_x,NA())</f>
        <v>#N/A</v>
      </c>
      <c r="AE632" s="458" t="e">
        <f aca="false">IF(t&lt;T_para, pos_z, NA())</f>
        <v>#N/A</v>
      </c>
      <c r="AF632" s="444"/>
      <c r="AG632" s="450" t="n">
        <f aca="false">IF(AND(L631&lt;L_rampe,Poussee&lt;Poids*SIN(M631)),0,(-W631+Poussee)/m-Poids*SIN(M631)/m)</f>
        <v>7.15430282770364</v>
      </c>
      <c r="AH632" s="449" t="n">
        <f aca="false">IF(AND(L631&lt;L_rampe,Poussee&lt;Poids*SIN(M631)), g*SIN(M631), (-W631+Poussee)/m)</f>
        <v>-2.22812502909569</v>
      </c>
    </row>
    <row r="633" customFormat="false" ht="12" hidden="false" customHeight="false" outlineLevel="0" collapsed="false">
      <c r="A633" s="448" t="n">
        <f aca="false">IF(B632+0.01&lt;=T_ini+ROUNDUP(Temps_fin_propu,0), 0.01, IF(K632&gt;0, 0.1, 0.0001))</f>
        <v>0.1</v>
      </c>
      <c r="B633" s="449" t="n">
        <f aca="false">B632+pas</f>
        <v>26.9000000000001</v>
      </c>
      <c r="C633" s="432"/>
      <c r="D633" s="450" t="n">
        <f aca="false">IF(AND(L632&lt;L_rampe,Poussee&lt;Poids*SIN(M632)),0,(-W632+Poussee)/m*COS(M632)-U632/m*SIN(M632))</f>
        <v>-0.654809182088107</v>
      </c>
      <c r="E633" s="451" t="n">
        <f aca="false">IF(AND(L632&lt;L_rampe,Poussee&lt;Poids*SIN(M632)),0,(-W632+Poussee)/m*SIN(M632)+U632/m*COS(M632)-Poids/m)</f>
        <v>-7.64040914821129</v>
      </c>
      <c r="F633" s="449" t="n">
        <f aca="false">SQRT(acc_x^2+acc_z^2)</f>
        <v>7.66841750408894</v>
      </c>
      <c r="G633" s="450" t="n">
        <f aca="false">G632+acc_x*pas</f>
        <v>25.7101112356212</v>
      </c>
      <c r="H633" s="451" t="n">
        <f aca="false">H632+acc_z*pas</f>
        <v>-86.1667665730909</v>
      </c>
      <c r="I633" s="449" t="n">
        <f aca="false">SQRT(vit_x^2+vit_z^2)</f>
        <v>89.9206399076961</v>
      </c>
      <c r="J633" s="450" t="n">
        <f aca="false">J632+0.5*(vit_x+G632)*pas*(K632&gt;=0)</f>
        <v>819.729968613306</v>
      </c>
      <c r="K633" s="451" t="n">
        <f aca="false">K632+0.5*(vit_z+H632)*pas</f>
        <v>993.400508572492</v>
      </c>
      <c r="L633" s="449" t="n">
        <f aca="false">SQRT(pos_x^2+pos_z^2)</f>
        <v>1287.94479379935</v>
      </c>
      <c r="M633" s="450" t="n">
        <f aca="false">IF(AND(L632&gt;L_rampe,G633&gt;0),ATAN2(G633,H633),$M$4)</f>
        <v>-1.28082993422233</v>
      </c>
      <c r="N633" s="449" t="n">
        <f aca="false">DEGREES(Beta)</f>
        <v>-73.3861495049585</v>
      </c>
      <c r="O633" s="438"/>
      <c r="P633" s="452" t="n">
        <f aca="false">MATCH(t-pas/2-T_ini,CdP_t)</f>
        <v>23</v>
      </c>
      <c r="Q633" s="449" t="n">
        <f aca="false">(INDEX(CdP,2,i_P+1)-INDEX(CdP,2,i_P+0))/(INDEX(CdP,1,i_P+1)-INDEX(CdP,1,i_P+0))*(t-pas/2-T_ini-INDEX(CdP,1,i_P+0))+INDEX(CdP,2,i_P+0)</f>
        <v>0</v>
      </c>
      <c r="R633" s="450" t="n">
        <f aca="false">Poussee/(g*ISP)</f>
        <v>0</v>
      </c>
      <c r="S633" s="451" t="n">
        <f aca="false">S632-Débit*pas</f>
        <v>8.652</v>
      </c>
      <c r="T633" s="449" t="n">
        <f aca="false">m*g</f>
        <v>84.87612</v>
      </c>
      <c r="U633" s="453" t="n">
        <f aca="false">IF(pos_xz&lt;L_rampe,Poids*COS(Beta),0)</f>
        <v>0</v>
      </c>
      <c r="V633" s="450" t="n">
        <f aca="false">Rho_moyen*(20000-Alt_rampe-pos_z)/(20000+Alt_rampe+pos_z)</f>
        <v>1.10906684067173</v>
      </c>
      <c r="W633" s="449" t="n">
        <f aca="false">1/2*Rho*Sref*Cx*vit_xz^2</f>
        <v>19.9394298277278</v>
      </c>
      <c r="X633" s="438"/>
      <c r="Y633" s="454" t="str">
        <f aca="false">IF(AND(pos_z&lt;=0,K632&gt;0),"Impact balistique","") &amp; IF(AND(H634&lt;0,vit_z&gt;=0),"Apogée","") &amp; IF(AND(Poussee=0,Q632&gt;0),"Fin de propulsion","") &amp; IF(AND(L634&gt;L_rampe,pos_xz&lt;=L_rampe),"Sortie de rampe","")</f>
        <v/>
      </c>
      <c r="Z633" s="455" t="str">
        <f aca="false">IF(ABS(t-T_para)&lt;pas/2,"Para","")</f>
        <v/>
      </c>
      <c r="AA633" s="456" t="str">
        <f aca="false">IF(ABS(t-T_satellite)&lt;pas/2,"Satellite","")</f>
        <v/>
      </c>
      <c r="AB633" s="444"/>
      <c r="AC633" s="452" t="e">
        <f aca="false">IF(ABS(t-ROUND(t,0))&lt;0.001,t,NA())</f>
        <v>#N/A</v>
      </c>
      <c r="AD633" s="457" t="e">
        <f aca="false">IF(ABS(t-ROUND(t,0))&lt;0.001,pos_x,NA())</f>
        <v>#N/A</v>
      </c>
      <c r="AE633" s="458" t="e">
        <f aca="false">IF(t&lt;T_para, pos_z, NA())</f>
        <v>#N/A</v>
      </c>
      <c r="AF633" s="444"/>
      <c r="AG633" s="450" t="n">
        <f aca="false">IF(AND(L632&lt;L_rampe,Poussee&lt;Poids*SIN(M632)),0,(-W632+Poussee)/m-Poids*SIN(M632)/m)</f>
        <v>7.12532609945238</v>
      </c>
      <c r="AH633" s="449" t="n">
        <f aca="false">IF(AND(L632&lt;L_rampe,Poussee&lt;Poids*SIN(M632)), g*SIN(M632), (-W632+Poussee)/m)</f>
        <v>-2.26625230923482</v>
      </c>
    </row>
    <row r="634" customFormat="false" ht="12" hidden="false" customHeight="false" outlineLevel="0" collapsed="false">
      <c r="A634" s="448" t="n">
        <f aca="false">IF(B633+0.01&lt;=T_ini+ROUNDUP(Temps_fin_propu,0), 0.01, IF(K633&gt;0, 0.1, 0.0001))</f>
        <v>0.1</v>
      </c>
      <c r="B634" s="449" t="n">
        <f aca="false">B633+pas</f>
        <v>27.0000000000001</v>
      </c>
      <c r="C634" s="432"/>
      <c r="D634" s="450" t="n">
        <f aca="false">IF(AND(L633&lt;L_rampe,Poussee&lt;Poids*SIN(M633)),0,(-W633+Poussee)/m*COS(M633)-U633/m*SIN(M633))</f>
        <v>-0.658932292154304</v>
      </c>
      <c r="E634" s="451" t="n">
        <f aca="false">IF(AND(L633&lt;L_rampe,Poussee&lt;Poids*SIN(M633)),0,(-W633+Poussee)/m*SIN(M633)+U633/m*COS(M633)-Poids/m)</f>
        <v>-7.60160562608279</v>
      </c>
      <c r="F634" s="449" t="n">
        <f aca="false">SQRT(acc_x^2+acc_z^2)</f>
        <v>7.63011139238067</v>
      </c>
      <c r="G634" s="450" t="n">
        <f aca="false">G633+acc_x*pas</f>
        <v>25.6442180064058</v>
      </c>
      <c r="H634" s="451" t="n">
        <f aca="false">H633+acc_z*pas</f>
        <v>-86.9269271356992</v>
      </c>
      <c r="I634" s="449" t="n">
        <f aca="false">SQRT(vit_x^2+vit_z^2)</f>
        <v>90.6306602558716</v>
      </c>
      <c r="J634" s="450" t="n">
        <f aca="false">J633+0.5*(vit_x+G633)*pas*(K633&gt;=0)</f>
        <v>822.297685075408</v>
      </c>
      <c r="K634" s="451" t="n">
        <f aca="false">K633+0.5*(vit_z+H633)*pas</f>
        <v>984.745823887052</v>
      </c>
      <c r="L634" s="449" t="n">
        <f aca="false">SQRT(pos_x^2+pos_z^2)</f>
        <v>1282.9254929821</v>
      </c>
      <c r="M634" s="450" t="n">
        <f aca="false">IF(AND(L633&gt;L_rampe,G634&gt;0),ATAN2(G634,H634),$M$4)</f>
        <v>-1.28392478079412</v>
      </c>
      <c r="N634" s="449" t="n">
        <f aca="false">DEGREES(Beta)</f>
        <v>-73.5634711517624</v>
      </c>
      <c r="O634" s="438"/>
      <c r="P634" s="452" t="n">
        <f aca="false">MATCH(t-pas/2-T_ini,CdP_t)</f>
        <v>23</v>
      </c>
      <c r="Q634" s="449" t="n">
        <f aca="false">(INDEX(CdP,2,i_P+1)-INDEX(CdP,2,i_P+0))/(INDEX(CdP,1,i_P+1)-INDEX(CdP,1,i_P+0))*(t-pas/2-T_ini-INDEX(CdP,1,i_P+0))+INDEX(CdP,2,i_P+0)</f>
        <v>0</v>
      </c>
      <c r="R634" s="450" t="n">
        <f aca="false">Poussee/(g*ISP)</f>
        <v>0</v>
      </c>
      <c r="S634" s="451" t="n">
        <f aca="false">S633-Débit*pas</f>
        <v>8.652</v>
      </c>
      <c r="T634" s="449" t="n">
        <f aca="false">m*g</f>
        <v>84.87612</v>
      </c>
      <c r="U634" s="453" t="n">
        <f aca="false">IF(pos_xz&lt;L_rampe,Poids*COS(Beta),0)</f>
        <v>0</v>
      </c>
      <c r="V634" s="450" t="n">
        <f aca="false">Rho_moyen*(20000-Alt_rampe-pos_z)/(20000+Alt_rampe+pos_z)</f>
        <v>1.11002947384871</v>
      </c>
      <c r="W634" s="449" t="n">
        <f aca="false">1/2*Rho*Sref*Cx*vit_xz^2</f>
        <v>20.2731407343743</v>
      </c>
      <c r="X634" s="438"/>
      <c r="Y634" s="454" t="str">
        <f aca="false">IF(AND(pos_z&lt;=0,K633&gt;0),"Impact balistique","") &amp; IF(AND(H635&lt;0,vit_z&gt;=0),"Apogée","") &amp; IF(AND(Poussee=0,Q633&gt;0),"Fin de propulsion","") &amp; IF(AND(L635&gt;L_rampe,pos_xz&lt;=L_rampe),"Sortie de rampe","")</f>
        <v/>
      </c>
      <c r="Z634" s="455" t="str">
        <f aca="false">IF(ABS(t-T_para)&lt;pas/2,"Para","")</f>
        <v/>
      </c>
      <c r="AA634" s="456" t="str">
        <f aca="false">IF(ABS(t-T_satellite)&lt;pas/2,"Satellite","")</f>
        <v/>
      </c>
      <c r="AB634" s="444"/>
      <c r="AC634" s="452" t="n">
        <f aca="false">IF(ABS(t-ROUND(t,0))&lt;0.001,t,NA())</f>
        <v>27.0000000000001</v>
      </c>
      <c r="AD634" s="457" t="n">
        <f aca="false">IF(ABS(t-ROUND(t,0))&lt;0.001,pos_x,NA())</f>
        <v>822.297685075408</v>
      </c>
      <c r="AE634" s="458" t="e">
        <f aca="false">IF(t&lt;T_para, pos_z, NA())</f>
        <v>#N/A</v>
      </c>
      <c r="AF634" s="444"/>
      <c r="AG634" s="450" t="n">
        <f aca="false">IF(AND(L633&lt;L_rampe,Poussee&lt;Poids*SIN(M633)),0,(-W633+Poussee)/m-Poids*SIN(M633)/m)</f>
        <v>7.09586314877559</v>
      </c>
      <c r="AH634" s="449" t="n">
        <f aca="false">IF(AND(L633&lt;L_rampe,Poussee&lt;Poids*SIN(M633)), g*SIN(M633), (-W633+Poussee)/m)</f>
        <v>-2.30460353995929</v>
      </c>
    </row>
    <row r="635" customFormat="false" ht="12" hidden="false" customHeight="false" outlineLevel="0" collapsed="false">
      <c r="A635" s="448" t="n">
        <f aca="false">IF(B634+0.01&lt;=T_ini+ROUNDUP(Temps_fin_propu,0), 0.01, IF(K634&gt;0, 0.1, 0.0001))</f>
        <v>0.1</v>
      </c>
      <c r="B635" s="449" t="n">
        <f aca="false">B634+pas</f>
        <v>27.1000000000001</v>
      </c>
      <c r="C635" s="432"/>
      <c r="D635" s="450" t="n">
        <f aca="false">IF(AND(L634&lt;L_rampe,Poussee&lt;Poids*SIN(M634)),0,(-W634+Poussee)/m*COS(M634)-U634/m*SIN(M634))</f>
        <v>-0.663008110038435</v>
      </c>
      <c r="E635" s="451" t="n">
        <f aca="false">IF(AND(L634&lt;L_rampe,Poussee&lt;Poids*SIN(M634)),0,(-W634+Poussee)/m*SIN(M634)+U634/m*COS(M634)-Poids/m)</f>
        <v>-7.56258275930691</v>
      </c>
      <c r="F635" s="449" t="n">
        <f aca="false">SQRT(acc_x^2+acc_z^2)</f>
        <v>7.5915899352733</v>
      </c>
      <c r="G635" s="450" t="n">
        <f aca="false">G634+acc_x*pas</f>
        <v>25.577917195402</v>
      </c>
      <c r="H635" s="451" t="n">
        <f aca="false">H634+acc_z*pas</f>
        <v>-87.6831854116299</v>
      </c>
      <c r="I635" s="449" t="n">
        <f aca="false">SQRT(vit_x^2+vit_z^2)</f>
        <v>91.3376748772658</v>
      </c>
      <c r="J635" s="450" t="n">
        <f aca="false">J634+0.5*(vit_x+G634)*pas*(K634&gt;=0)</f>
        <v>824.858791835498</v>
      </c>
      <c r="K635" s="451" t="n">
        <f aca="false">K634+0.5*(vit_z+H634)*pas</f>
        <v>976.015318259686</v>
      </c>
      <c r="L635" s="449" t="n">
        <f aca="false">SQRT(pos_x^2+pos_z^2)</f>
        <v>1277.88807332484</v>
      </c>
      <c r="M635" s="450" t="n">
        <f aca="false">IF(AND(L634&gt;L_rampe,G635&gt;0),ATAN2(G635,H635),$M$4)</f>
        <v>-1.28696380416806</v>
      </c>
      <c r="N635" s="449" t="n">
        <f aca="false">DEGREES(Beta)</f>
        <v>-73.737594364931</v>
      </c>
      <c r="O635" s="438"/>
      <c r="P635" s="452" t="n">
        <f aca="false">MATCH(t-pas/2-T_ini,CdP_t)</f>
        <v>23</v>
      </c>
      <c r="Q635" s="449" t="n">
        <f aca="false">(INDEX(CdP,2,i_P+1)-INDEX(CdP,2,i_P+0))/(INDEX(CdP,1,i_P+1)-INDEX(CdP,1,i_P+0))*(t-pas/2-T_ini-INDEX(CdP,1,i_P+0))+INDEX(CdP,2,i_P+0)</f>
        <v>0</v>
      </c>
      <c r="R635" s="450" t="n">
        <f aca="false">Poussee/(g*ISP)</f>
        <v>0</v>
      </c>
      <c r="S635" s="451" t="n">
        <f aca="false">S634-Débit*pas</f>
        <v>8.652</v>
      </c>
      <c r="T635" s="449" t="n">
        <f aca="false">m*g</f>
        <v>84.87612</v>
      </c>
      <c r="U635" s="453" t="n">
        <f aca="false">IF(pos_xz&lt;L_rampe,Poids*COS(Beta),0)</f>
        <v>0</v>
      </c>
      <c r="V635" s="450" t="n">
        <f aca="false">Rho_moyen*(20000-Alt_rampe-pos_z)/(20000+Alt_rampe+pos_z)</f>
        <v>1.11100134518139</v>
      </c>
      <c r="W635" s="449" t="n">
        <f aca="false">1/2*Rho*Sref*Cx*vit_xz^2</f>
        <v>20.6087060833605</v>
      </c>
      <c r="X635" s="438"/>
      <c r="Y635" s="454" t="str">
        <f aca="false">IF(AND(pos_z&lt;=0,K634&gt;0),"Impact balistique","") &amp; IF(AND(H636&lt;0,vit_z&gt;=0),"Apogée","") &amp; IF(AND(Poussee=0,Q634&gt;0),"Fin de propulsion","") &amp; IF(AND(L636&gt;L_rampe,pos_xz&lt;=L_rampe),"Sortie de rampe","")</f>
        <v/>
      </c>
      <c r="Z635" s="455" t="str">
        <f aca="false">IF(ABS(t-T_para)&lt;pas/2,"Para","")</f>
        <v/>
      </c>
      <c r="AA635" s="456" t="str">
        <f aca="false">IF(ABS(t-T_satellite)&lt;pas/2,"Satellite","")</f>
        <v/>
      </c>
      <c r="AB635" s="444"/>
      <c r="AC635" s="452" t="e">
        <f aca="false">IF(ABS(t-ROUND(t,0))&lt;0.001,t,NA())</f>
        <v>#N/A</v>
      </c>
      <c r="AD635" s="457" t="e">
        <f aca="false">IF(ABS(t-ROUND(t,0))&lt;0.001,pos_x,NA())</f>
        <v>#N/A</v>
      </c>
      <c r="AE635" s="458" t="e">
        <f aca="false">IF(t&lt;T_para, pos_z, NA())</f>
        <v>#N/A</v>
      </c>
      <c r="AF635" s="444"/>
      <c r="AG635" s="450" t="n">
        <f aca="false">IF(AND(L634&lt;L_rampe,Poussee&lt;Poids*SIN(M634)),0,(-W634+Poussee)/m-Poids*SIN(M634)/m)</f>
        <v>7.06592839723506</v>
      </c>
      <c r="AH635" s="449" t="n">
        <f aca="false">IF(AND(L634&lt;L_rampe,Poussee&lt;Poids*SIN(M634)), g*SIN(M634), (-W634+Poussee)/m)</f>
        <v>-2.34317391751899</v>
      </c>
    </row>
    <row r="636" customFormat="false" ht="12" hidden="false" customHeight="false" outlineLevel="0" collapsed="false">
      <c r="A636" s="448" t="n">
        <f aca="false">IF(B635+0.01&lt;=T_ini+ROUNDUP(Temps_fin_propu,0), 0.01, IF(K635&gt;0, 0.1, 0.0001))</f>
        <v>0.1</v>
      </c>
      <c r="B636" s="449" t="n">
        <f aca="false">B635+pas</f>
        <v>27.2000000000001</v>
      </c>
      <c r="C636" s="432"/>
      <c r="D636" s="450" t="n">
        <f aca="false">IF(AND(L635&lt;L_rampe,Poussee&lt;Poids*SIN(M635)),0,(-W635+Poussee)/m*COS(M635)-U635/m*SIN(M635))</f>
        <v>-0.667036255651979</v>
      </c>
      <c r="E636" s="451" t="n">
        <f aca="false">IF(AND(L635&lt;L_rampe,Poussee&lt;Poids*SIN(M635)),0,(-W635+Poussee)/m*SIN(M635)+U635/m*COS(M635)-Poids/m)</f>
        <v>-7.52334533481382</v>
      </c>
      <c r="F636" s="449" t="n">
        <f aca="false">SQRT(acc_x^2+acc_z^2)</f>
        <v>7.55285789573848</v>
      </c>
      <c r="G636" s="450" t="n">
        <f aca="false">G635+acc_x*pas</f>
        <v>25.5112135698368</v>
      </c>
      <c r="H636" s="451" t="n">
        <f aca="false">H635+acc_z*pas</f>
        <v>-88.4355199451113</v>
      </c>
      <c r="I636" s="449" t="n">
        <f aca="false">SQRT(vit_x^2+vit_z^2)</f>
        <v>92.0416384348301</v>
      </c>
      <c r="J636" s="450" t="n">
        <f aca="false">J635+0.5*(vit_x+G635)*pas*(K635&gt;=0)</f>
        <v>827.41324837376</v>
      </c>
      <c r="K636" s="451" t="n">
        <f aca="false">K635+0.5*(vit_z+H635)*pas</f>
        <v>967.209382991849</v>
      </c>
      <c r="L636" s="449" t="n">
        <f aca="false">SQRT(pos_x^2+pos_z^2)</f>
        <v>1272.83411100264</v>
      </c>
      <c r="M636" s="450" t="n">
        <f aca="false">IF(AND(L635&gt;L_rampe,G636&gt;0),ATAN2(G636,H636),$M$4)</f>
        <v>-1.28994850314313</v>
      </c>
      <c r="N636" s="449" t="n">
        <f aca="false">DEGREES(Beta)</f>
        <v>-73.9086050193196</v>
      </c>
      <c r="O636" s="438"/>
      <c r="P636" s="452" t="n">
        <f aca="false">MATCH(t-pas/2-T_ini,CdP_t)</f>
        <v>23</v>
      </c>
      <c r="Q636" s="449" t="n">
        <f aca="false">(INDEX(CdP,2,i_P+1)-INDEX(CdP,2,i_P+0))/(INDEX(CdP,1,i_P+1)-INDEX(CdP,1,i_P+0))*(t-pas/2-T_ini-INDEX(CdP,1,i_P+0))+INDEX(CdP,2,i_P+0)</f>
        <v>0</v>
      </c>
      <c r="R636" s="450" t="n">
        <f aca="false">Poussee/(g*ISP)</f>
        <v>0</v>
      </c>
      <c r="S636" s="451" t="n">
        <f aca="false">S635-Débit*pas</f>
        <v>8.652</v>
      </c>
      <c r="T636" s="449" t="n">
        <f aca="false">m*g</f>
        <v>84.87612</v>
      </c>
      <c r="U636" s="453" t="n">
        <f aca="false">IF(pos_xz&lt;L_rampe,Poids*COS(Beta),0)</f>
        <v>0</v>
      </c>
      <c r="V636" s="450" t="n">
        <f aca="false">Rho_moyen*(20000-Alt_rampe-pos_z)/(20000+Alt_rampe+pos_z)</f>
        <v>1.11198243313904</v>
      </c>
      <c r="W636" s="449" t="n">
        <f aca="false">1/2*Rho*Sref*Cx*vit_xz^2</f>
        <v>20.9460842134821</v>
      </c>
      <c r="X636" s="438"/>
      <c r="Y636" s="454" t="str">
        <f aca="false">IF(AND(pos_z&lt;=0,K635&gt;0),"Impact balistique","") &amp; IF(AND(H637&lt;0,vit_z&gt;=0),"Apogée","") &amp; IF(AND(Poussee=0,Q635&gt;0),"Fin de propulsion","") &amp; IF(AND(L637&gt;L_rampe,pos_xz&lt;=L_rampe),"Sortie de rampe","")</f>
        <v/>
      </c>
      <c r="Z636" s="455" t="str">
        <f aca="false">IF(ABS(t-T_para)&lt;pas/2,"Para","")</f>
        <v/>
      </c>
      <c r="AA636" s="456" t="str">
        <f aca="false">IF(ABS(t-T_satellite)&lt;pas/2,"Satellite","")</f>
        <v/>
      </c>
      <c r="AB636" s="444"/>
      <c r="AC636" s="452" t="e">
        <f aca="false">IF(ABS(t-ROUND(t,0))&lt;0.001,t,NA())</f>
        <v>#N/A</v>
      </c>
      <c r="AD636" s="457" t="e">
        <f aca="false">IF(ABS(t-ROUND(t,0))&lt;0.001,pos_x,NA())</f>
        <v>#N/A</v>
      </c>
      <c r="AE636" s="458" t="e">
        <f aca="false">IF(t&lt;T_para, pos_z, NA())</f>
        <v>#N/A</v>
      </c>
      <c r="AF636" s="444"/>
      <c r="AG636" s="450" t="n">
        <f aca="false">IF(AND(L635&lt;L_rampe,Poussee&lt;Poids*SIN(M635)),0,(-W635+Poussee)/m-Poids*SIN(M635)/m)</f>
        <v>7.03553584715512</v>
      </c>
      <c r="AH636" s="449" t="n">
        <f aca="false">IF(AND(L635&lt;L_rampe,Poussee&lt;Poids*SIN(M635)), g*SIN(M635), (-W635+Poussee)/m)</f>
        <v>-2.38195863191869</v>
      </c>
    </row>
    <row r="637" customFormat="false" ht="12" hidden="false" customHeight="false" outlineLevel="0" collapsed="false">
      <c r="A637" s="448" t="n">
        <f aca="false">IF(B636+0.01&lt;=T_ini+ROUNDUP(Temps_fin_propu,0), 0.01, IF(K636&gt;0, 0.1, 0.0001))</f>
        <v>0.1</v>
      </c>
      <c r="B637" s="449" t="n">
        <f aca="false">B636+pas</f>
        <v>27.3000000000001</v>
      </c>
      <c r="C637" s="432"/>
      <c r="D637" s="450" t="n">
        <f aca="false">IF(AND(L636&lt;L_rampe,Poussee&lt;Poids*SIN(M636)),0,(-W636+Poussee)/m*COS(M636)-U636/m*SIN(M636))</f>
        <v>-0.671016365060129</v>
      </c>
      <c r="E637" s="451" t="n">
        <f aca="false">IF(AND(L636&lt;L_rampe,Poussee&lt;Poids*SIN(M636)),0,(-W636+Poussee)/m*SIN(M636)+U636/m*COS(M636)-Poids/m)</f>
        <v>-7.48389814783512</v>
      </c>
      <c r="F637" s="449" t="n">
        <f aca="false">SQRT(acc_x^2+acc_z^2)</f>
        <v>7.51392004544555</v>
      </c>
      <c r="G637" s="450" t="n">
        <f aca="false">G636+acc_x*pas</f>
        <v>25.4441119333308</v>
      </c>
      <c r="H637" s="451" t="n">
        <f aca="false">H636+acc_z*pas</f>
        <v>-89.1839097598948</v>
      </c>
      <c r="I637" s="449" t="n">
        <f aca="false">SQRT(vit_x^2+vit_z^2)</f>
        <v>92.7425069325653</v>
      </c>
      <c r="J637" s="450" t="n">
        <f aca="false">J636+0.5*(vit_x+G636)*pas*(K636&gt;=0)</f>
        <v>829.961014648918</v>
      </c>
      <c r="K637" s="451" t="n">
        <f aca="false">K636+0.5*(vit_z+H636)*pas</f>
        <v>958.328411506599</v>
      </c>
      <c r="L637" s="449" t="n">
        <f aca="false">SQRT(pos_x^2+pos_z^2)</f>
        <v>1267.76521096685</v>
      </c>
      <c r="M637" s="450" t="n">
        <f aca="false">IF(AND(L636&gt;L_rampe,G637&gt;0),ATAN2(G637,H637),$M$4)</f>
        <v>-1.29288032498469</v>
      </c>
      <c r="N637" s="449" t="n">
        <f aca="false">DEGREES(Beta)</f>
        <v>-74.0765860371249</v>
      </c>
      <c r="O637" s="438"/>
      <c r="P637" s="452" t="n">
        <f aca="false">MATCH(t-pas/2-T_ini,CdP_t)</f>
        <v>23</v>
      </c>
      <c r="Q637" s="449" t="n">
        <f aca="false">(INDEX(CdP,2,i_P+1)-INDEX(CdP,2,i_P+0))/(INDEX(CdP,1,i_P+1)-INDEX(CdP,1,i_P+0))*(t-pas/2-T_ini-INDEX(CdP,1,i_P+0))+INDEX(CdP,2,i_P+0)</f>
        <v>0</v>
      </c>
      <c r="R637" s="450" t="n">
        <f aca="false">Poussee/(g*ISP)</f>
        <v>0</v>
      </c>
      <c r="S637" s="451" t="n">
        <f aca="false">S636-Débit*pas</f>
        <v>8.652</v>
      </c>
      <c r="T637" s="449" t="n">
        <f aca="false">m*g</f>
        <v>84.87612</v>
      </c>
      <c r="U637" s="453" t="n">
        <f aca="false">IF(pos_xz&lt;L_rampe,Poids*COS(Beta),0)</f>
        <v>0</v>
      </c>
      <c r="V637" s="450" t="n">
        <f aca="false">Rho_moyen*(20000-Alt_rampe-pos_z)/(20000+Alt_rampe+pos_z)</f>
        <v>1.11297271604437</v>
      </c>
      <c r="W637" s="449" t="n">
        <f aca="false">1/2*Rho*Sref*Cx*vit_xz^2</f>
        <v>21.2852334272802</v>
      </c>
      <c r="X637" s="438"/>
      <c r="Y637" s="454" t="str">
        <f aca="false">IF(AND(pos_z&lt;=0,K636&gt;0),"Impact balistique","") &amp; IF(AND(H638&lt;0,vit_z&gt;=0),"Apogée","") &amp; IF(AND(Poussee=0,Q636&gt;0),"Fin de propulsion","") &amp; IF(AND(L638&gt;L_rampe,pos_xz&lt;=L_rampe),"Sortie de rampe","")</f>
        <v/>
      </c>
      <c r="Z637" s="455" t="str">
        <f aca="false">IF(ABS(t-T_para)&lt;pas/2,"Para","")</f>
        <v/>
      </c>
      <c r="AA637" s="456" t="str">
        <f aca="false">IF(ABS(t-T_satellite)&lt;pas/2,"Satellite","")</f>
        <v/>
      </c>
      <c r="AB637" s="444"/>
      <c r="AC637" s="452" t="e">
        <f aca="false">IF(ABS(t-ROUND(t,0))&lt;0.001,t,NA())</f>
        <v>#N/A</v>
      </c>
      <c r="AD637" s="457" t="e">
        <f aca="false">IF(ABS(t-ROUND(t,0))&lt;0.001,pos_x,NA())</f>
        <v>#N/A</v>
      </c>
      <c r="AE637" s="458" t="e">
        <f aca="false">IF(t&lt;T_para, pos_z, NA())</f>
        <v>#N/A</v>
      </c>
      <c r="AF637" s="444"/>
      <c r="AG637" s="450" t="n">
        <f aca="false">IF(AND(L636&lt;L_rampe,Poussee&lt;Poids*SIN(M636)),0,(-W636+Poussee)/m-Poids*SIN(M636)/m)</f>
        <v>7.00469910233775</v>
      </c>
      <c r="AH637" s="449" t="n">
        <f aca="false">IF(AND(L636&lt;L_rampe,Poussee&lt;Poids*SIN(M636)), g*SIN(M636), (-W636+Poussee)/m)</f>
        <v>-2.42095286794753</v>
      </c>
    </row>
    <row r="638" customFormat="false" ht="12" hidden="false" customHeight="false" outlineLevel="0" collapsed="false">
      <c r="A638" s="448" t="n">
        <f aca="false">IF(B637+0.01&lt;=T_ini+ROUNDUP(Temps_fin_propu,0), 0.01, IF(K637&gt;0, 0.1, 0.0001))</f>
        <v>0.1</v>
      </c>
      <c r="B638" s="449" t="n">
        <f aca="false">B637+pas</f>
        <v>27.4000000000001</v>
      </c>
      <c r="C638" s="432"/>
      <c r="D638" s="450" t="n">
        <f aca="false">IF(AND(L637&lt;L_rampe,Poussee&lt;Poids*SIN(M637)),0,(-W637+Poussee)/m*COS(M637)-U637/m*SIN(M637))</f>
        <v>-0.674948090152069</v>
      </c>
      <c r="E638" s="451" t="n">
        <f aca="false">IF(AND(L637&lt;L_rampe,Poussee&lt;Poids*SIN(M637)),0,(-W637+Poussee)/m*SIN(M637)+U637/m*COS(M637)-Poids/m)</f>
        <v>-7.44424600070702</v>
      </c>
      <c r="F638" s="449" t="n">
        <f aca="false">SQRT(acc_x^2+acc_z^2)</f>
        <v>7.47478116358214</v>
      </c>
      <c r="G638" s="450" t="n">
        <f aca="false">G637+acc_x*pas</f>
        <v>25.3766171243156</v>
      </c>
      <c r="H638" s="451" t="n">
        <f aca="false">H637+acc_z*pas</f>
        <v>-89.9283343599655</v>
      </c>
      <c r="I638" s="449" t="n">
        <f aca="false">SQRT(vit_x^2+vit_z^2)</f>
        <v>93.4402376785925</v>
      </c>
      <c r="J638" s="450" t="n">
        <f aca="false">J637+0.5*(vit_x+G637)*pas*(K637&gt;=0)</f>
        <v>832.502051101801</v>
      </c>
      <c r="K638" s="451" t="n">
        <f aca="false">K637+0.5*(vit_z+H637)*pas</f>
        <v>949.372799300606</v>
      </c>
      <c r="L638" s="449" t="n">
        <f aca="false">SQRT(pos_x^2+pos_z^2)</f>
        <v>1262.68300738569</v>
      </c>
      <c r="M638" s="450" t="n">
        <f aca="false">IF(AND(L637&gt;L_rampe,G638&gt;0),ATAN2(G638,H638),$M$4)</f>
        <v>-1.29576066753209</v>
      </c>
      <c r="N638" s="449" t="n">
        <f aca="false">DEGREES(Beta)</f>
        <v>-74.2416175086428</v>
      </c>
      <c r="O638" s="438"/>
      <c r="P638" s="452" t="n">
        <f aca="false">MATCH(t-pas/2-T_ini,CdP_t)</f>
        <v>23</v>
      </c>
      <c r="Q638" s="449" t="n">
        <f aca="false">(INDEX(CdP,2,i_P+1)-INDEX(CdP,2,i_P+0))/(INDEX(CdP,1,i_P+1)-INDEX(CdP,1,i_P+0))*(t-pas/2-T_ini-INDEX(CdP,1,i_P+0))+INDEX(CdP,2,i_P+0)</f>
        <v>0</v>
      </c>
      <c r="R638" s="450" t="n">
        <f aca="false">Poussee/(g*ISP)</f>
        <v>0</v>
      </c>
      <c r="S638" s="451" t="n">
        <f aca="false">S637-Débit*pas</f>
        <v>8.652</v>
      </c>
      <c r="T638" s="449" t="n">
        <f aca="false">m*g</f>
        <v>84.87612</v>
      </c>
      <c r="U638" s="453" t="n">
        <f aca="false">IF(pos_xz&lt;L_rampe,Poids*COS(Beta),0)</f>
        <v>0</v>
      </c>
      <c r="V638" s="450" t="n">
        <f aca="false">Rho_moyen*(20000-Alt_rampe-pos_z)/(20000+Alt_rampe+pos_z)</f>
        <v>1.11397217207552</v>
      </c>
      <c r="W638" s="449" t="n">
        <f aca="false">1/2*Rho*Sref*Cx*vit_xz^2</f>
        <v>21.6261119998741</v>
      </c>
      <c r="X638" s="438"/>
      <c r="Y638" s="454" t="str">
        <f aca="false">IF(AND(pos_z&lt;=0,K637&gt;0),"Impact balistique","") &amp; IF(AND(H639&lt;0,vit_z&gt;=0),"Apogée","") &amp; IF(AND(Poussee=0,Q637&gt;0),"Fin de propulsion","") &amp; IF(AND(L639&gt;L_rampe,pos_xz&lt;=L_rampe),"Sortie de rampe","")</f>
        <v/>
      </c>
      <c r="Z638" s="455" t="str">
        <f aca="false">IF(ABS(t-T_para)&lt;pas/2,"Para","")</f>
        <v/>
      </c>
      <c r="AA638" s="456" t="str">
        <f aca="false">IF(ABS(t-T_satellite)&lt;pas/2,"Satellite","")</f>
        <v/>
      </c>
      <c r="AB638" s="444"/>
      <c r="AC638" s="452" t="e">
        <f aca="false">IF(ABS(t-ROUND(t,0))&lt;0.001,t,NA())</f>
        <v>#N/A</v>
      </c>
      <c r="AD638" s="457" t="e">
        <f aca="false">IF(ABS(t-ROUND(t,0))&lt;0.001,pos_x,NA())</f>
        <v>#N/A</v>
      </c>
      <c r="AE638" s="458" t="e">
        <f aca="false">IF(t&lt;T_para, pos_z, NA())</f>
        <v>#N/A</v>
      </c>
      <c r="AF638" s="444"/>
      <c r="AG638" s="450" t="n">
        <f aca="false">IF(AND(L637&lt;L_rampe,Poussee&lt;Poids*SIN(M637)),0,(-W637+Poussee)/m-Poids*SIN(M637)/m)</f>
        <v>6.97343138753783</v>
      </c>
      <c r="AH638" s="449" t="n">
        <f aca="false">IF(AND(L637&lt;L_rampe,Poussee&lt;Poids*SIN(M637)), g*SIN(M637), (-W637+Poussee)/m)</f>
        <v>-2.46015180620437</v>
      </c>
    </row>
    <row r="639" customFormat="false" ht="12" hidden="false" customHeight="false" outlineLevel="0" collapsed="false">
      <c r="A639" s="448" t="n">
        <f aca="false">IF(B638+0.01&lt;=T_ini+ROUNDUP(Temps_fin_propu,0), 0.01, IF(K638&gt;0, 0.1, 0.0001))</f>
        <v>0.1</v>
      </c>
      <c r="B639" s="449" t="n">
        <f aca="false">B638+pas</f>
        <v>27.5000000000001</v>
      </c>
      <c r="C639" s="432"/>
      <c r="D639" s="450" t="n">
        <f aca="false">IF(AND(L638&lt;L_rampe,Poussee&lt;Poids*SIN(M638)),0,(-W638+Poussee)/m*COS(M638)-U638/m*SIN(M638))</f>
        <v>-0.678831098324933</v>
      </c>
      <c r="E639" s="451" t="n">
        <f aca="false">IF(AND(L638&lt;L_rampe,Poussee&lt;Poids*SIN(M638)),0,(-W638+Poussee)/m*SIN(M638)+U638/m*COS(M638)-Poids/m)</f>
        <v>-7.40439370168794</v>
      </c>
      <c r="F639" s="449" t="n">
        <f aca="false">SQRT(acc_x^2+acc_z^2)</f>
        <v>7.43544603568939</v>
      </c>
      <c r="G639" s="450" t="n">
        <f aca="false">G638+acc_x*pas</f>
        <v>25.3087340144831</v>
      </c>
      <c r="H639" s="451" t="n">
        <f aca="false">H638+acc_z*pas</f>
        <v>-90.6687737301343</v>
      </c>
      <c r="I639" s="449" t="n">
        <f aca="false">SQRT(vit_x^2+vit_z^2)</f>
        <v>94.1347892500012</v>
      </c>
      <c r="J639" s="450" t="n">
        <f aca="false">J638+0.5*(vit_x+G638)*pas*(K638&gt;=0)</f>
        <v>835.03631865874</v>
      </c>
      <c r="K639" s="451" t="n">
        <f aca="false">K638+0.5*(vit_z+H638)*pas</f>
        <v>940.342943896101</v>
      </c>
      <c r="L639" s="449" t="n">
        <f aca="false">SQRT(pos_x^2+pos_z^2)</f>
        <v>1257.58916408115</v>
      </c>
      <c r="M639" s="450" t="n">
        <f aca="false">IF(AND(L638&gt;L_rampe,G639&gt;0),ATAN2(G639,H639),$M$4)</f>
        <v>-1.29859088120856</v>
      </c>
      <c r="N639" s="449" t="n">
        <f aca="false">DEGREES(Beta)</f>
        <v>-74.4037768074248</v>
      </c>
      <c r="O639" s="438"/>
      <c r="P639" s="452" t="n">
        <f aca="false">MATCH(t-pas/2-T_ini,CdP_t)</f>
        <v>23</v>
      </c>
      <c r="Q639" s="449" t="n">
        <f aca="false">(INDEX(CdP,2,i_P+1)-INDEX(CdP,2,i_P+0))/(INDEX(CdP,1,i_P+1)-INDEX(CdP,1,i_P+0))*(t-pas/2-T_ini-INDEX(CdP,1,i_P+0))+INDEX(CdP,2,i_P+0)</f>
        <v>0</v>
      </c>
      <c r="R639" s="450" t="n">
        <f aca="false">Poussee/(g*ISP)</f>
        <v>0</v>
      </c>
      <c r="S639" s="451" t="n">
        <f aca="false">S638-Débit*pas</f>
        <v>8.652</v>
      </c>
      <c r="T639" s="449" t="n">
        <f aca="false">m*g</f>
        <v>84.87612</v>
      </c>
      <c r="U639" s="453" t="n">
        <f aca="false">IF(pos_xz&lt;L_rampe,Poids*COS(Beta),0)</f>
        <v>0</v>
      </c>
      <c r="V639" s="450" t="n">
        <f aca="false">Rho_moyen*(20000-Alt_rampe-pos_z)/(20000+Alt_rampe+pos_z)</f>
        <v>1.11498077926814</v>
      </c>
      <c r="W639" s="449" t="n">
        <f aca="false">1/2*Rho*Sref*Cx*vit_xz^2</f>
        <v>21.968678187751</v>
      </c>
      <c r="X639" s="438"/>
      <c r="Y639" s="454" t="str">
        <f aca="false">IF(AND(pos_z&lt;=0,K638&gt;0),"Impact balistique","") &amp; IF(AND(H640&lt;0,vit_z&gt;=0),"Apogée","") &amp; IF(AND(Poussee=0,Q638&gt;0),"Fin de propulsion","") &amp; IF(AND(L640&gt;L_rampe,pos_xz&lt;=L_rampe),"Sortie de rampe","")</f>
        <v/>
      </c>
      <c r="Z639" s="455" t="str">
        <f aca="false">IF(ABS(t-T_para)&lt;pas/2,"Para","")</f>
        <v/>
      </c>
      <c r="AA639" s="456" t="str">
        <f aca="false">IF(ABS(t-T_satellite)&lt;pas/2,"Satellite","")</f>
        <v/>
      </c>
      <c r="AB639" s="444"/>
      <c r="AC639" s="452" t="e">
        <f aca="false">IF(ABS(t-ROUND(t,0))&lt;0.001,t,NA())</f>
        <v>#N/A</v>
      </c>
      <c r="AD639" s="457" t="e">
        <f aca="false">IF(ABS(t-ROUND(t,0))&lt;0.001,pos_x,NA())</f>
        <v>#N/A</v>
      </c>
      <c r="AE639" s="458" t="e">
        <f aca="false">IF(t&lt;T_para, pos_z, NA())</f>
        <v>#N/A</v>
      </c>
      <c r="AF639" s="444"/>
      <c r="AG639" s="450" t="n">
        <f aca="false">IF(AND(L638&lt;L_rampe,Poussee&lt;Poids*SIN(M638)),0,(-W638+Poussee)/m-Poids*SIN(M638)/m)</f>
        <v>6.94174556677686</v>
      </c>
      <c r="AH639" s="449" t="n">
        <f aca="false">IF(AND(L638&lt;L_rampe,Poussee&lt;Poids*SIN(M638)), g*SIN(M638), (-W638+Poussee)/m)</f>
        <v>-2.4995506241186</v>
      </c>
    </row>
    <row r="640" customFormat="false" ht="12" hidden="false" customHeight="false" outlineLevel="0" collapsed="false">
      <c r="A640" s="448" t="n">
        <f aca="false">IF(B639+0.01&lt;=T_ini+ROUNDUP(Temps_fin_propu,0), 0.01, IF(K639&gt;0, 0.1, 0.0001))</f>
        <v>0.1</v>
      </c>
      <c r="B640" s="449" t="n">
        <f aca="false">B639+pas</f>
        <v>27.6000000000001</v>
      </c>
      <c r="C640" s="432"/>
      <c r="D640" s="450" t="n">
        <f aca="false">IF(AND(L639&lt;L_rampe,Poussee&lt;Poids*SIN(M639)),0,(-W639+Poussee)/m*COS(M639)-U639/m*SIN(M639))</f>
        <v>-0.682665072180564</v>
      </c>
      <c r="E640" s="451" t="n">
        <f aca="false">IF(AND(L639&lt;L_rampe,Poussee&lt;Poids*SIN(M639)),0,(-W639+Poussee)/m*SIN(M639)+U639/m*COS(M639)-Poids/m)</f>
        <v>-7.36434606379028</v>
      </c>
      <c r="F640" s="449" t="n">
        <f aca="false">SQRT(acc_x^2+acc_z^2)</f>
        <v>7.39591945251155</v>
      </c>
      <c r="G640" s="450" t="n">
        <f aca="false">G639+acc_x*pas</f>
        <v>25.240467507265</v>
      </c>
      <c r="H640" s="451" t="n">
        <f aca="false">H639+acc_z*pas</f>
        <v>-91.4052083365133</v>
      </c>
      <c r="I640" s="449" t="n">
        <f aca="false">SQRT(vit_x^2+vit_z^2)</f>
        <v>94.8261214593674</v>
      </c>
      <c r="J640" s="450" t="n">
        <f aca="false">J639+0.5*(vit_x+G639)*pas*(K639&gt;=0)</f>
        <v>837.563778734828</v>
      </c>
      <c r="K640" s="451" t="n">
        <f aca="false">K639+0.5*(vit_z+H639)*pas</f>
        <v>931.239244792768</v>
      </c>
      <c r="L640" s="449" t="n">
        <f aca="false">SQRT(pos_x^2+pos_z^2)</f>
        <v>1252.48537496083</v>
      </c>
      <c r="M640" s="450" t="n">
        <f aca="false">IF(AND(L639&gt;L_rampe,G640&gt;0),ATAN2(G640,H640),$M$4)</f>
        <v>-1.30137227093822</v>
      </c>
      <c r="N640" s="449" t="n">
        <f aca="false">DEGREES(Beta)</f>
        <v>-74.5631387001155</v>
      </c>
      <c r="O640" s="438"/>
      <c r="P640" s="452" t="n">
        <f aca="false">MATCH(t-pas/2-T_ini,CdP_t)</f>
        <v>23</v>
      </c>
      <c r="Q640" s="449" t="n">
        <f aca="false">(INDEX(CdP,2,i_P+1)-INDEX(CdP,2,i_P+0))/(INDEX(CdP,1,i_P+1)-INDEX(CdP,1,i_P+0))*(t-pas/2-T_ini-INDEX(CdP,1,i_P+0))+INDEX(CdP,2,i_P+0)</f>
        <v>0</v>
      </c>
      <c r="R640" s="450" t="n">
        <f aca="false">Poussee/(g*ISP)</f>
        <v>0</v>
      </c>
      <c r="S640" s="451" t="n">
        <f aca="false">S639-Débit*pas</f>
        <v>8.652</v>
      </c>
      <c r="T640" s="449" t="n">
        <f aca="false">m*g</f>
        <v>84.87612</v>
      </c>
      <c r="U640" s="453" t="n">
        <f aca="false">IF(pos_xz&lt;L_rampe,Poids*COS(Beta),0)</f>
        <v>0</v>
      </c>
      <c r="V640" s="450" t="n">
        <f aca="false">Rho_moyen*(20000-Alt_rampe-pos_z)/(20000+Alt_rampe+pos_z)</f>
        <v>1.11599851551743</v>
      </c>
      <c r="W640" s="449" t="n">
        <f aca="false">1/2*Rho*Sref*Cx*vit_xz^2</f>
        <v>22.3128902375113</v>
      </c>
      <c r="X640" s="438"/>
      <c r="Y640" s="454" t="str">
        <f aca="false">IF(AND(pos_z&lt;=0,K639&gt;0),"Impact balistique","") &amp; IF(AND(H641&lt;0,vit_z&gt;=0),"Apogée","") &amp; IF(AND(Poussee=0,Q639&gt;0),"Fin de propulsion","") &amp; IF(AND(L641&gt;L_rampe,pos_xz&lt;=L_rampe),"Sortie de rampe","")</f>
        <v/>
      </c>
      <c r="Z640" s="455" t="str">
        <f aca="false">IF(ABS(t-T_para)&lt;pas/2,"Para","")</f>
        <v/>
      </c>
      <c r="AA640" s="456" t="str">
        <f aca="false">IF(ABS(t-T_satellite)&lt;pas/2,"Satellite","")</f>
        <v/>
      </c>
      <c r="AB640" s="444"/>
      <c r="AC640" s="452" t="e">
        <f aca="false">IF(ABS(t-ROUND(t,0))&lt;0.001,t,NA())</f>
        <v>#N/A</v>
      </c>
      <c r="AD640" s="457" t="e">
        <f aca="false">IF(ABS(t-ROUND(t,0))&lt;0.001,pos_x,NA())</f>
        <v>#N/A</v>
      </c>
      <c r="AE640" s="458" t="e">
        <f aca="false">IF(t&lt;T_para, pos_z, NA())</f>
        <v>#N/A</v>
      </c>
      <c r="AF640" s="444"/>
      <c r="AG640" s="450" t="n">
        <f aca="false">IF(AND(L639&lt;L_rampe,Poussee&lt;Poids*SIN(M639)),0,(-W639+Poussee)/m-Poids*SIN(M639)/m)</f>
        <v>6.90965416056744</v>
      </c>
      <c r="AH640" s="449" t="n">
        <f aca="false">IF(AND(L639&lt;L_rampe,Poussee&lt;Poids*SIN(M639)), g*SIN(M639), (-W639+Poussee)/m)</f>
        <v>-2.53914449696613</v>
      </c>
    </row>
    <row r="641" customFormat="false" ht="12" hidden="false" customHeight="false" outlineLevel="0" collapsed="false">
      <c r="A641" s="448" t="n">
        <f aca="false">IF(B640+0.01&lt;=T_ini+ROUNDUP(Temps_fin_propu,0), 0.01, IF(K640&gt;0, 0.1, 0.0001))</f>
        <v>0.1</v>
      </c>
      <c r="B641" s="449" t="n">
        <f aca="false">B640+pas</f>
        <v>27.7000000000001</v>
      </c>
      <c r="C641" s="432"/>
      <c r="D641" s="450" t="n">
        <f aca="false">IF(AND(L640&lt;L_rampe,Poussee&lt;Poids*SIN(M640)),0,(-W640+Poussee)/m*COS(M640)-U640/m*SIN(M640))</f>
        <v>-0.686449709234219</v>
      </c>
      <c r="E641" s="451" t="n">
        <f aca="false">IF(AND(L640&lt;L_rampe,Poussee&lt;Poids*SIN(M640)),0,(-W640+Poussee)/m*SIN(M640)+U640/m*COS(M640)-Poids/m)</f>
        <v>-7.32410790362608</v>
      </c>
      <c r="F641" s="449" t="n">
        <f aca="false">SQRT(acc_x^2+acc_z^2)</f>
        <v>7.35620620885969</v>
      </c>
      <c r="G641" s="450" t="n">
        <f aca="false">G640+acc_x*pas</f>
        <v>25.1718225363416</v>
      </c>
      <c r="H641" s="451" t="n">
        <f aca="false">H640+acc_z*pas</f>
        <v>-92.1376191268759</v>
      </c>
      <c r="I641" s="449" t="n">
        <f aca="false">SQRT(vit_x^2+vit_z^2)</f>
        <v>95.5141953228436</v>
      </c>
      <c r="J641" s="450" t="n">
        <f aca="false">J640+0.5*(vit_x+G640)*pas*(K640&gt;=0)</f>
        <v>840.084393237008</v>
      </c>
      <c r="K641" s="451" t="n">
        <f aca="false">K640+0.5*(vit_z+H640)*pas</f>
        <v>922.062103419599</v>
      </c>
      <c r="L641" s="449" t="n">
        <f aca="false">SQRT(pos_x^2+pos_z^2)</f>
        <v>1247.37336444345</v>
      </c>
      <c r="M641" s="450" t="n">
        <f aca="false">IF(AND(L640&gt;L_rampe,G641&gt;0),ATAN2(G641,H641),$M$4)</f>
        <v>-1.30410609797495</v>
      </c>
      <c r="N641" s="449" t="n">
        <f aca="false">DEGREES(Beta)</f>
        <v>-74.719775451239</v>
      </c>
      <c r="O641" s="438"/>
      <c r="P641" s="452" t="n">
        <f aca="false">MATCH(t-pas/2-T_ini,CdP_t)</f>
        <v>23</v>
      </c>
      <c r="Q641" s="449" t="n">
        <f aca="false">(INDEX(CdP,2,i_P+1)-INDEX(CdP,2,i_P+0))/(INDEX(CdP,1,i_P+1)-INDEX(CdP,1,i_P+0))*(t-pas/2-T_ini-INDEX(CdP,1,i_P+0))+INDEX(CdP,2,i_P+0)</f>
        <v>0</v>
      </c>
      <c r="R641" s="450" t="n">
        <f aca="false">Poussee/(g*ISP)</f>
        <v>0</v>
      </c>
      <c r="S641" s="451" t="n">
        <f aca="false">S640-Débit*pas</f>
        <v>8.652</v>
      </c>
      <c r="T641" s="449" t="n">
        <f aca="false">m*g</f>
        <v>84.87612</v>
      </c>
      <c r="U641" s="453" t="n">
        <f aca="false">IF(pos_xz&lt;L_rampe,Poids*COS(Beta),0)</f>
        <v>0</v>
      </c>
      <c r="V641" s="450" t="n">
        <f aca="false">Rho_moyen*(20000-Alt_rampe-pos_z)/(20000+Alt_rampe+pos_z)</f>
        <v>1.11702535858027</v>
      </c>
      <c r="W641" s="449" t="n">
        <f aca="false">1/2*Rho*Sref*Cx*vit_xz^2</f>
        <v>22.6587063945659</v>
      </c>
      <c r="X641" s="438"/>
      <c r="Y641" s="454" t="str">
        <f aca="false">IF(AND(pos_z&lt;=0,K640&gt;0),"Impact balistique","") &amp; IF(AND(H642&lt;0,vit_z&gt;=0),"Apogée","") &amp; IF(AND(Poussee=0,Q640&gt;0),"Fin de propulsion","") &amp; IF(AND(L642&gt;L_rampe,pos_xz&lt;=L_rampe),"Sortie de rampe","")</f>
        <v/>
      </c>
      <c r="Z641" s="455" t="str">
        <f aca="false">IF(ABS(t-T_para)&lt;pas/2,"Para","")</f>
        <v/>
      </c>
      <c r="AA641" s="456" t="str">
        <f aca="false">IF(ABS(t-T_satellite)&lt;pas/2,"Satellite","")</f>
        <v/>
      </c>
      <c r="AB641" s="444"/>
      <c r="AC641" s="452" t="e">
        <f aca="false">IF(ABS(t-ROUND(t,0))&lt;0.001,t,NA())</f>
        <v>#N/A</v>
      </c>
      <c r="AD641" s="457" t="e">
        <f aca="false">IF(ABS(t-ROUND(t,0))&lt;0.001,pos_x,NA())</f>
        <v>#N/A</v>
      </c>
      <c r="AE641" s="458" t="e">
        <f aca="false">IF(t&lt;T_para, pos_z, NA())</f>
        <v>#N/A</v>
      </c>
      <c r="AF641" s="444"/>
      <c r="AG641" s="450" t="n">
        <f aca="false">IF(AND(L640&lt;L_rampe,Poussee&lt;Poids*SIN(M640)),0,(-W640+Poussee)/m-Poids*SIN(M640)/m)</f>
        <v>6.87716936211701</v>
      </c>
      <c r="AH641" s="449" t="n">
        <f aca="false">IF(AND(L640&lt;L_rampe,Poussee&lt;Poids*SIN(M640)), g*SIN(M640), (-W640+Poussee)/m)</f>
        <v>-2.57892859888017</v>
      </c>
    </row>
    <row r="642" customFormat="false" ht="12" hidden="false" customHeight="false" outlineLevel="0" collapsed="false">
      <c r="A642" s="448" t="n">
        <f aca="false">IF(B641+0.01&lt;=T_ini+ROUNDUP(Temps_fin_propu,0), 0.01, IF(K641&gt;0, 0.1, 0.0001))</f>
        <v>0.1</v>
      </c>
      <c r="B642" s="449" t="n">
        <f aca="false">B641+pas</f>
        <v>27.8000000000001</v>
      </c>
      <c r="C642" s="432"/>
      <c r="D642" s="450" t="n">
        <f aca="false">IF(AND(L641&lt;L_rampe,Poussee&lt;Poids*SIN(M641)),0,(-W641+Poussee)/m*COS(M641)-U641/m*SIN(M641))</f>
        <v>-0.690184721634455</v>
      </c>
      <c r="E642" s="451" t="n">
        <f aca="false">IF(AND(L641&lt;L_rampe,Poussee&lt;Poids*SIN(M641)),0,(-W641+Poussee)/m*SIN(M641)+U641/m*COS(M641)-Poids/m)</f>
        <v>-7.28368404026629</v>
      </c>
      <c r="F642" s="449" t="n">
        <f aca="false">SQRT(acc_x^2+acc_z^2)</f>
        <v>7.31631110248926</v>
      </c>
      <c r="G642" s="450" t="n">
        <f aca="false">G641+acc_x*pas</f>
        <v>25.1028040641781</v>
      </c>
      <c r="H642" s="451" t="n">
        <f aca="false">H641+acc_z*pas</f>
        <v>-92.8659875309025</v>
      </c>
      <c r="I642" s="449" t="n">
        <f aca="false">SQRT(vit_x^2+vit_z^2)</f>
        <v>96.1989730297276</v>
      </c>
      <c r="J642" s="450" t="n">
        <f aca="false">J641+0.5*(vit_x+G641)*pas*(K641&gt;=0)</f>
        <v>842.598124567034</v>
      </c>
      <c r="K642" s="451" t="n">
        <f aca="false">K641+0.5*(vit_z+H641)*pas</f>
        <v>912.81192308671</v>
      </c>
      <c r="L642" s="449" t="n">
        <f aca="false">SQRT(pos_x^2+pos_z^2)</f>
        <v>1242.25488787653</v>
      </c>
      <c r="M642" s="450" t="n">
        <f aca="false">IF(AND(L641&gt;L_rampe,G642&gt;0),ATAN2(G642,H642),$M$4)</f>
        <v>-1.30679358164752</v>
      </c>
      <c r="N642" s="449" t="n">
        <f aca="false">DEGREES(Beta)</f>
        <v>-74.8737569231875</v>
      </c>
      <c r="O642" s="438"/>
      <c r="P642" s="452" t="n">
        <f aca="false">MATCH(t-pas/2-T_ini,CdP_t)</f>
        <v>23</v>
      </c>
      <c r="Q642" s="449" t="n">
        <f aca="false">(INDEX(CdP,2,i_P+1)-INDEX(CdP,2,i_P+0))/(INDEX(CdP,1,i_P+1)-INDEX(CdP,1,i_P+0))*(t-pas/2-T_ini-INDEX(CdP,1,i_P+0))+INDEX(CdP,2,i_P+0)</f>
        <v>0</v>
      </c>
      <c r="R642" s="450" t="n">
        <f aca="false">Poussee/(g*ISP)</f>
        <v>0</v>
      </c>
      <c r="S642" s="451" t="n">
        <f aca="false">S641-Débit*pas</f>
        <v>8.652</v>
      </c>
      <c r="T642" s="449" t="n">
        <f aca="false">m*g</f>
        <v>84.87612</v>
      </c>
      <c r="U642" s="453" t="n">
        <f aca="false">IF(pos_xz&lt;L_rampe,Poids*COS(Beta),0)</f>
        <v>0</v>
      </c>
      <c r="V642" s="450" t="n">
        <f aca="false">Rho_moyen*(20000-Alt_rampe-pos_z)/(20000+Alt_rampe+pos_z)</f>
        <v>1.11806128607729</v>
      </c>
      <c r="W642" s="449" t="n">
        <f aca="false">1/2*Rho*Sref*Cx*vit_xz^2</f>
        <v>23.0060849117824</v>
      </c>
      <c r="X642" s="438"/>
      <c r="Y642" s="454" t="str">
        <f aca="false">IF(AND(pos_z&lt;=0,K641&gt;0),"Impact balistique","") &amp; IF(AND(H643&lt;0,vit_z&gt;=0),"Apogée","") &amp; IF(AND(Poussee=0,Q641&gt;0),"Fin de propulsion","") &amp; IF(AND(L643&gt;L_rampe,pos_xz&lt;=L_rampe),"Sortie de rampe","")</f>
        <v/>
      </c>
      <c r="Z642" s="455" t="str">
        <f aca="false">IF(ABS(t-T_para)&lt;pas/2,"Para","")</f>
        <v/>
      </c>
      <c r="AA642" s="456" t="str">
        <f aca="false">IF(ABS(t-T_satellite)&lt;pas/2,"Satellite","")</f>
        <v/>
      </c>
      <c r="AB642" s="444"/>
      <c r="AC642" s="452" t="e">
        <f aca="false">IF(ABS(t-ROUND(t,0))&lt;0.001,t,NA())</f>
        <v>#N/A</v>
      </c>
      <c r="AD642" s="457" t="e">
        <f aca="false">IF(ABS(t-ROUND(t,0))&lt;0.001,pos_x,NA())</f>
        <v>#N/A</v>
      </c>
      <c r="AE642" s="458" t="e">
        <f aca="false">IF(t&lt;T_para, pos_z, NA())</f>
        <v>#N/A</v>
      </c>
      <c r="AF642" s="444"/>
      <c r="AG642" s="450" t="n">
        <f aca="false">IF(AND(L641&lt;L_rampe,Poussee&lt;Poids*SIN(M641)),0,(-W641+Poussee)/m-Poids*SIN(M641)/m)</f>
        <v>6.84430305257396</v>
      </c>
      <c r="AH642" s="449" t="n">
        <f aca="false">IF(AND(L641&lt;L_rampe,Poussee&lt;Poids*SIN(M641)), g*SIN(M641), (-W641+Poussee)/m)</f>
        <v>-2.61889810385644</v>
      </c>
    </row>
    <row r="643" customFormat="false" ht="12" hidden="false" customHeight="false" outlineLevel="0" collapsed="false">
      <c r="A643" s="448" t="n">
        <f aca="false">IF(B642+0.01&lt;=T_ini+ROUNDUP(Temps_fin_propu,0), 0.01, IF(K642&gt;0, 0.1, 0.0001))</f>
        <v>0.1</v>
      </c>
      <c r="B643" s="449" t="n">
        <f aca="false">B642+pas</f>
        <v>27.9000000000001</v>
      </c>
      <c r="C643" s="432"/>
      <c r="D643" s="450" t="n">
        <f aca="false">IF(AND(L642&lt;L_rampe,Poussee&lt;Poids*SIN(M642)),0,(-W642+Poussee)/m*COS(M642)-U642/m*SIN(M642))</f>
        <v>-0.69386983589345</v>
      </c>
      <c r="E643" s="451" t="n">
        <f aca="false">IF(AND(L642&lt;L_rampe,Poussee&lt;Poids*SIN(M642)),0,(-W642+Poussee)/m*SIN(M642)+U642/m*COS(M642)-Poids/m)</f>
        <v>-7.24307929411351</v>
      </c>
      <c r="F643" s="449" t="n">
        <f aca="false">SQRT(acc_x^2+acc_z^2)</f>
        <v>7.27623893299132</v>
      </c>
      <c r="G643" s="450" t="n">
        <f aca="false">G642+acc_x*pas</f>
        <v>25.0334170805888</v>
      </c>
      <c r="H643" s="451" t="n">
        <f aca="false">H642+acc_z*pas</f>
        <v>-93.5902954603139</v>
      </c>
      <c r="I643" s="449" t="n">
        <f aca="false">SQRT(vit_x^2+vit_z^2)</f>
        <v>96.8804179134234</v>
      </c>
      <c r="J643" s="450" t="n">
        <f aca="false">J642+0.5*(vit_x+G642)*pas*(K642&gt;=0)</f>
        <v>845.104935624273</v>
      </c>
      <c r="K643" s="451" t="n">
        <f aca="false">K642+0.5*(vit_z+H642)*pas</f>
        <v>903.489108937149</v>
      </c>
      <c r="L643" s="449" t="n">
        <f aca="false">SQRT(pos_x^2+pos_z^2)</f>
        <v>1237.13173194472</v>
      </c>
      <c r="M643" s="450" t="n">
        <f aca="false">IF(AND(L642&gt;L_rampe,G643&gt;0),ATAN2(G643,H643),$M$4)</f>
        <v>-1.30943590102519</v>
      </c>
      <c r="N643" s="449" t="n">
        <f aca="false">DEGREES(Beta)</f>
        <v>-75.0251506716535</v>
      </c>
      <c r="O643" s="438"/>
      <c r="P643" s="452" t="n">
        <f aca="false">MATCH(t-pas/2-T_ini,CdP_t)</f>
        <v>23</v>
      </c>
      <c r="Q643" s="449" t="n">
        <f aca="false">(INDEX(CdP,2,i_P+1)-INDEX(CdP,2,i_P+0))/(INDEX(CdP,1,i_P+1)-INDEX(CdP,1,i_P+0))*(t-pas/2-T_ini-INDEX(CdP,1,i_P+0))+INDEX(CdP,2,i_P+0)</f>
        <v>0</v>
      </c>
      <c r="R643" s="450" t="n">
        <f aca="false">Poussee/(g*ISP)</f>
        <v>0</v>
      </c>
      <c r="S643" s="451" t="n">
        <f aca="false">S642-Débit*pas</f>
        <v>8.652</v>
      </c>
      <c r="T643" s="449" t="n">
        <f aca="false">m*g</f>
        <v>84.87612</v>
      </c>
      <c r="U643" s="453" t="n">
        <f aca="false">IF(pos_xz&lt;L_rampe,Poids*COS(Beta),0)</f>
        <v>0</v>
      </c>
      <c r="V643" s="450" t="n">
        <f aca="false">Rho_moyen*(20000-Alt_rampe-pos_z)/(20000+Alt_rampe+pos_z)</f>
        <v>1.11910627549495</v>
      </c>
      <c r="W643" s="449" t="n">
        <f aca="false">1/2*Rho*Sref*Cx*vit_xz^2</f>
        <v>23.3549840580769</v>
      </c>
      <c r="X643" s="438"/>
      <c r="Y643" s="454" t="str">
        <f aca="false">IF(AND(pos_z&lt;=0,K642&gt;0),"Impact balistique","") &amp; IF(AND(H644&lt;0,vit_z&gt;=0),"Apogée","") &amp; IF(AND(Poussee=0,Q642&gt;0),"Fin de propulsion","") &amp; IF(AND(L644&gt;L_rampe,pos_xz&lt;=L_rampe),"Sortie de rampe","")</f>
        <v/>
      </c>
      <c r="Z643" s="455" t="str">
        <f aca="false">IF(ABS(t-T_para)&lt;pas/2,"Para","")</f>
        <v/>
      </c>
      <c r="AA643" s="456" t="str">
        <f aca="false">IF(ABS(t-T_satellite)&lt;pas/2,"Satellite","")</f>
        <v/>
      </c>
      <c r="AB643" s="444"/>
      <c r="AC643" s="452" t="e">
        <f aca="false">IF(ABS(t-ROUND(t,0))&lt;0.001,t,NA())</f>
        <v>#N/A</v>
      </c>
      <c r="AD643" s="457" t="e">
        <f aca="false">IF(ABS(t-ROUND(t,0))&lt;0.001,pos_x,NA())</f>
        <v>#N/A</v>
      </c>
      <c r="AE643" s="458" t="e">
        <f aca="false">IF(t&lt;T_para, pos_z, NA())</f>
        <v>#N/A</v>
      </c>
      <c r="AF643" s="444"/>
      <c r="AG643" s="450" t="n">
        <f aca="false">IF(AND(L642&lt;L_rampe,Poussee&lt;Poids*SIN(M642)),0,(-W642+Poussee)/m-Poids*SIN(M642)/m)</f>
        <v>6.81106681537577</v>
      </c>
      <c r="AH643" s="449" t="n">
        <f aca="false">IF(AND(L642&lt;L_rampe,Poussee&lt;Poids*SIN(M642)), g*SIN(M642), (-W642+Poussee)/m)</f>
        <v>-2.65904818675248</v>
      </c>
    </row>
    <row r="644" customFormat="false" ht="12" hidden="false" customHeight="false" outlineLevel="0" collapsed="false">
      <c r="A644" s="448" t="n">
        <f aca="false">IF(B643+0.01&lt;=T_ini+ROUNDUP(Temps_fin_propu,0), 0.01, IF(K643&gt;0, 0.1, 0.0001))</f>
        <v>0.1</v>
      </c>
      <c r="B644" s="449" t="n">
        <f aca="false">B643+pas</f>
        <v>28.0000000000001</v>
      </c>
      <c r="C644" s="432"/>
      <c r="D644" s="450" t="n">
        <f aca="false">IF(AND(L643&lt;L_rampe,Poussee&lt;Poids*SIN(M643)),0,(-W643+Poussee)/m*COS(M643)-U643/m*SIN(M643))</f>
        <v>-0.697504792627078</v>
      </c>
      <c r="E644" s="451" t="n">
        <f aca="false">IF(AND(L643&lt;L_rampe,Poussee&lt;Poids*SIN(M643)),0,(-W643+Poussee)/m*SIN(M643)+U643/m*COS(M643)-Poids/m)</f>
        <v>-7.20229848578795</v>
      </c>
      <c r="F644" s="449" t="n">
        <f aca="false">SQRT(acc_x^2+acc_z^2)</f>
        <v>7.23599450069727</v>
      </c>
      <c r="G644" s="450" t="n">
        <f aca="false">G643+acc_x*pas</f>
        <v>24.9636666013261</v>
      </c>
      <c r="H644" s="451" t="n">
        <f aca="false">H643+acc_z*pas</f>
        <v>-94.3105253088927</v>
      </c>
      <c r="I644" s="449" t="n">
        <f aca="false">SQRT(vit_x^2+vit_z^2)</f>
        <v>97.558494423712</v>
      </c>
      <c r="J644" s="450" t="n">
        <f aca="false">J643+0.5*(vit_x+G643)*pas*(K643&gt;=0)</f>
        <v>847.604789808368</v>
      </c>
      <c r="K644" s="451" t="n">
        <f aca="false">K643+0.5*(vit_z+H643)*pas</f>
        <v>894.094067898689</v>
      </c>
      <c r="L644" s="449" t="n">
        <f aca="false">SQRT(pos_x^2+pos_z^2)</f>
        <v>1232.00571506699</v>
      </c>
      <c r="M644" s="450" t="n">
        <f aca="false">IF(AND(L643&gt;L_rampe,G644&gt;0),ATAN2(G644,H644),$M$4)</f>
        <v>-1.31203419650774</v>
      </c>
      <c r="N644" s="449" t="n">
        <f aca="false">DEGREES(Beta)</f>
        <v>-75.1740220367318</v>
      </c>
      <c r="O644" s="438"/>
      <c r="P644" s="452" t="n">
        <f aca="false">MATCH(t-pas/2-T_ini,CdP_t)</f>
        <v>23</v>
      </c>
      <c r="Q644" s="449" t="n">
        <f aca="false">(INDEX(CdP,2,i_P+1)-INDEX(CdP,2,i_P+0))/(INDEX(CdP,1,i_P+1)-INDEX(CdP,1,i_P+0))*(t-pas/2-T_ini-INDEX(CdP,1,i_P+0))+INDEX(CdP,2,i_P+0)</f>
        <v>0</v>
      </c>
      <c r="R644" s="450" t="n">
        <f aca="false">Poussee/(g*ISP)</f>
        <v>0</v>
      </c>
      <c r="S644" s="451" t="n">
        <f aca="false">S643-Débit*pas</f>
        <v>8.652</v>
      </c>
      <c r="T644" s="449" t="n">
        <f aca="false">m*g</f>
        <v>84.87612</v>
      </c>
      <c r="U644" s="453" t="n">
        <f aca="false">IF(pos_xz&lt;L_rampe,Poids*COS(Beta),0)</f>
        <v>0</v>
      </c>
      <c r="V644" s="450" t="n">
        <f aca="false">Rho_moyen*(20000-Alt_rampe-pos_z)/(20000+Alt_rampe+pos_z)</f>
        <v>1.12016030418771</v>
      </c>
      <c r="W644" s="449" t="n">
        <f aca="false">1/2*Rho*Sref*Cx*vit_xz^2</f>
        <v>23.7053621269499</v>
      </c>
      <c r="X644" s="438"/>
      <c r="Y644" s="454" t="str">
        <f aca="false">IF(AND(pos_z&lt;=0,K643&gt;0),"Impact balistique","") &amp; IF(AND(H645&lt;0,vit_z&gt;=0),"Apogée","") &amp; IF(AND(Poussee=0,Q643&gt;0),"Fin de propulsion","") &amp; IF(AND(L645&gt;L_rampe,pos_xz&lt;=L_rampe),"Sortie de rampe","")</f>
        <v/>
      </c>
      <c r="Z644" s="455" t="str">
        <f aca="false">IF(ABS(t-T_para)&lt;pas/2,"Para","")</f>
        <v/>
      </c>
      <c r="AA644" s="456" t="str">
        <f aca="false">IF(ABS(t-T_satellite)&lt;pas/2,"Satellite","")</f>
        <v/>
      </c>
      <c r="AB644" s="444"/>
      <c r="AC644" s="452" t="n">
        <f aca="false">IF(ABS(t-ROUND(t,0))&lt;0.001,t,NA())</f>
        <v>28.0000000000001</v>
      </c>
      <c r="AD644" s="457" t="n">
        <f aca="false">IF(ABS(t-ROUND(t,0))&lt;0.001,pos_x,NA())</f>
        <v>847.604789808368</v>
      </c>
      <c r="AE644" s="458" t="e">
        <f aca="false">IF(t&lt;T_para, pos_z, NA())</f>
        <v>#N/A</v>
      </c>
      <c r="AF644" s="444"/>
      <c r="AG644" s="450" t="n">
        <f aca="false">IF(AND(L643&lt;L_rampe,Poussee&lt;Poids*SIN(M643)),0,(-W643+Poussee)/m-Poids*SIN(M643)/m)</f>
        <v>6.77747194975452</v>
      </c>
      <c r="AH644" s="449" t="n">
        <f aca="false">IF(AND(L643&lt;L_rampe,Poussee&lt;Poids*SIN(M643)), g*SIN(M643), (-W643+Poussee)/m)</f>
        <v>-2.69937402428073</v>
      </c>
    </row>
    <row r="645" customFormat="false" ht="12" hidden="false" customHeight="false" outlineLevel="0" collapsed="false">
      <c r="A645" s="448" t="n">
        <f aca="false">IF(B644+0.01&lt;=T_ini+ROUNDUP(Temps_fin_propu,0), 0.01, IF(K644&gt;0, 0.1, 0.0001))</f>
        <v>0.1</v>
      </c>
      <c r="B645" s="449" t="n">
        <f aca="false">B644+pas</f>
        <v>28.1000000000001</v>
      </c>
      <c r="C645" s="432"/>
      <c r="D645" s="450" t="n">
        <f aca="false">IF(AND(L644&lt;L_rampe,Poussee&lt;Poids*SIN(M644)),0,(-W644+Poussee)/m*COS(M644)-U644/m*SIN(M644))</f>
        <v>-0.701089346304099</v>
      </c>
      <c r="E645" s="451" t="n">
        <f aca="false">IF(AND(L644&lt;L_rampe,Poussee&lt;Poids*SIN(M644)),0,(-W644+Poussee)/m*SIN(M644)+U644/m*COS(M644)-Poids/m)</f>
        <v>-7.16134643502668</v>
      </c>
      <c r="F645" s="449" t="n">
        <f aca="false">SQRT(acc_x^2+acc_z^2)</f>
        <v>7.19558260559703</v>
      </c>
      <c r="G645" s="450" t="n">
        <f aca="false">G644+acc_x*pas</f>
        <v>24.8935576666957</v>
      </c>
      <c r="H645" s="451" t="n">
        <f aca="false">H644+acc_z*pas</f>
        <v>-95.0266599523954</v>
      </c>
      <c r="I645" s="449" t="n">
        <f aca="false">SQRT(vit_x^2+vit_z^2)</f>
        <v>98.2331681002567</v>
      </c>
      <c r="J645" s="450" t="n">
        <f aca="false">J644+0.5*(vit_x+G644)*pas*(K644&gt;=0)</f>
        <v>850.097651021769</v>
      </c>
      <c r="K645" s="451" t="n">
        <f aca="false">K644+0.5*(vit_z+H644)*pas</f>
        <v>884.627208635624</v>
      </c>
      <c r="L645" s="449" t="n">
        <f aca="false">SQRT(pos_x^2+pos_z^2)</f>
        <v>1226.87868778098</v>
      </c>
      <c r="M645" s="450" t="n">
        <f aca="false">IF(AND(L644&gt;L_rampe,G645&gt;0),ATAN2(G645,H645),$M$4)</f>
        <v>-1.31458957134375</v>
      </c>
      <c r="N645" s="449" t="n">
        <f aca="false">DEGREES(Beta)</f>
        <v>-75.3204342299092</v>
      </c>
      <c r="O645" s="438"/>
      <c r="P645" s="452" t="n">
        <f aca="false">MATCH(t-pas/2-T_ini,CdP_t)</f>
        <v>23</v>
      </c>
      <c r="Q645" s="449" t="n">
        <f aca="false">(INDEX(CdP,2,i_P+1)-INDEX(CdP,2,i_P+0))/(INDEX(CdP,1,i_P+1)-INDEX(CdP,1,i_P+0))*(t-pas/2-T_ini-INDEX(CdP,1,i_P+0))+INDEX(CdP,2,i_P+0)</f>
        <v>0</v>
      </c>
      <c r="R645" s="450" t="n">
        <f aca="false">Poussee/(g*ISP)</f>
        <v>0</v>
      </c>
      <c r="S645" s="451" t="n">
        <f aca="false">S644-Débit*pas</f>
        <v>8.652</v>
      </c>
      <c r="T645" s="449" t="n">
        <f aca="false">m*g</f>
        <v>84.87612</v>
      </c>
      <c r="U645" s="453" t="n">
        <f aca="false">IF(pos_xz&lt;L_rampe,Poids*COS(Beta),0)</f>
        <v>0</v>
      </c>
      <c r="V645" s="450" t="n">
        <f aca="false">Rho_moyen*(20000-Alt_rampe-pos_z)/(20000+Alt_rampe+pos_z)</f>
        <v>1.12122334938011</v>
      </c>
      <c r="W645" s="449" t="n">
        <f aca="false">1/2*Rho*Sref*Cx*vit_xz^2</f>
        <v>24.0571774449619</v>
      </c>
      <c r="X645" s="438"/>
      <c r="Y645" s="454" t="str">
        <f aca="false">IF(AND(pos_z&lt;=0,K644&gt;0),"Impact balistique","") &amp; IF(AND(H646&lt;0,vit_z&gt;=0),"Apogée","") &amp; IF(AND(Poussee=0,Q644&gt;0),"Fin de propulsion","") &amp; IF(AND(L646&gt;L_rampe,pos_xz&lt;=L_rampe),"Sortie de rampe","")</f>
        <v/>
      </c>
      <c r="Z645" s="455" t="str">
        <f aca="false">IF(ABS(t-T_para)&lt;pas/2,"Para","")</f>
        <v/>
      </c>
      <c r="AA645" s="456" t="str">
        <f aca="false">IF(ABS(t-T_satellite)&lt;pas/2,"Satellite","")</f>
        <v/>
      </c>
      <c r="AB645" s="444"/>
      <c r="AC645" s="452" t="e">
        <f aca="false">IF(ABS(t-ROUND(t,0))&lt;0.001,t,NA())</f>
        <v>#N/A</v>
      </c>
      <c r="AD645" s="457" t="e">
        <f aca="false">IF(ABS(t-ROUND(t,0))&lt;0.001,pos_x,NA())</f>
        <v>#N/A</v>
      </c>
      <c r="AE645" s="458" t="e">
        <f aca="false">IF(t&lt;T_para, pos_z, NA())</f>
        <v>#N/A</v>
      </c>
      <c r="AF645" s="444"/>
      <c r="AG645" s="450" t="n">
        <f aca="false">IF(AND(L644&lt;L_rampe,Poussee&lt;Poids*SIN(M644)),0,(-W644+Poussee)/m-Poids*SIN(M644)/m)</f>
        <v>6.74352948345165</v>
      </c>
      <c r="AH645" s="449" t="n">
        <f aca="false">IF(AND(L644&lt;L_rampe,Poussee&lt;Poids*SIN(M644)), g*SIN(M644), (-W644+Poussee)/m)</f>
        <v>-2.73987079599513</v>
      </c>
    </row>
    <row r="646" customFormat="false" ht="12" hidden="false" customHeight="false" outlineLevel="0" collapsed="false">
      <c r="A646" s="448" t="n">
        <f aca="false">IF(B645+0.01&lt;=T_ini+ROUNDUP(Temps_fin_propu,0), 0.01, IF(K645&gt;0, 0.1, 0.0001))</f>
        <v>0.1</v>
      </c>
      <c r="B646" s="449" t="n">
        <f aca="false">B645+pas</f>
        <v>28.2000000000001</v>
      </c>
      <c r="C646" s="432"/>
      <c r="D646" s="450" t="n">
        <f aca="false">IF(AND(L645&lt;L_rampe,Poussee&lt;Poids*SIN(M645)),0,(-W645+Poussee)/m*COS(M645)-U645/m*SIN(M645))</f>
        <v>-0.704623265003854</v>
      </c>
      <c r="E646" s="451" t="n">
        <f aca="false">IF(AND(L645&lt;L_rampe,Poussee&lt;Poids*SIN(M645)),0,(-W645+Poussee)/m*SIN(M645)+U645/m*COS(M645)-Poids/m)</f>
        <v>-7.12022795959579</v>
      </c>
      <c r="F646" s="449" t="n">
        <f aca="false">SQRT(acc_x^2+acc_z^2)</f>
        <v>7.15500804627041</v>
      </c>
      <c r="G646" s="450" t="n">
        <f aca="false">G645+acc_x*pas</f>
        <v>24.8230953401953</v>
      </c>
      <c r="H646" s="451" t="n">
        <f aca="false">H645+acc_z*pas</f>
        <v>-95.738682748355</v>
      </c>
      <c r="I646" s="449" t="n">
        <f aca="false">SQRT(vit_x^2+vit_z^2)</f>
        <v>98.9044055472686</v>
      </c>
      <c r="J646" s="450" t="n">
        <f aca="false">J645+0.5*(vit_x+G645)*pas*(K645&gt;=0)</f>
        <v>852.583483672114</v>
      </c>
      <c r="K646" s="451" t="n">
        <f aca="false">K645+0.5*(vit_z+H645)*pas</f>
        <v>875.088941500587</v>
      </c>
      <c r="L646" s="449" t="n">
        <f aca="false">SQRT(pos_x^2+pos_z^2)</f>
        <v>1221.75253311262</v>
      </c>
      <c r="M646" s="450" t="n">
        <f aca="false">IF(AND(L645&gt;L_rampe,G646&gt;0),ATAN2(G646,H646),$M$4)</f>
        <v>-1.31710309308058</v>
      </c>
      <c r="N646" s="449" t="n">
        <f aca="false">DEGREES(Beta)</f>
        <v>-75.4644484171436</v>
      </c>
      <c r="O646" s="438"/>
      <c r="P646" s="452" t="n">
        <f aca="false">MATCH(t-pas/2-T_ini,CdP_t)</f>
        <v>23</v>
      </c>
      <c r="Q646" s="449" t="n">
        <f aca="false">(INDEX(CdP,2,i_P+1)-INDEX(CdP,2,i_P+0))/(INDEX(CdP,1,i_P+1)-INDEX(CdP,1,i_P+0))*(t-pas/2-T_ini-INDEX(CdP,1,i_P+0))+INDEX(CdP,2,i_P+0)</f>
        <v>0</v>
      </c>
      <c r="R646" s="450" t="n">
        <f aca="false">Poussee/(g*ISP)</f>
        <v>0</v>
      </c>
      <c r="S646" s="451" t="n">
        <f aca="false">S645-Débit*pas</f>
        <v>8.652</v>
      </c>
      <c r="T646" s="449" t="n">
        <f aca="false">m*g</f>
        <v>84.87612</v>
      </c>
      <c r="U646" s="453" t="n">
        <f aca="false">IF(pos_xz&lt;L_rampe,Poids*COS(Beta),0)</f>
        <v>0</v>
      </c>
      <c r="V646" s="450" t="n">
        <f aca="false">Rho_moyen*(20000-Alt_rampe-pos_z)/(20000+Alt_rampe+pos_z)</f>
        <v>1.1222953881689</v>
      </c>
      <c r="W646" s="449" t="n">
        <f aca="false">1/2*Rho*Sref*Cx*vit_xz^2</f>
        <v>24.4103883801476</v>
      </c>
      <c r="X646" s="438"/>
      <c r="Y646" s="454" t="str">
        <f aca="false">IF(AND(pos_z&lt;=0,K645&gt;0),"Impact balistique","") &amp; IF(AND(H647&lt;0,vit_z&gt;=0),"Apogée","") &amp; IF(AND(Poussee=0,Q645&gt;0),"Fin de propulsion","") &amp; IF(AND(L647&gt;L_rampe,pos_xz&lt;=L_rampe),"Sortie de rampe","")</f>
        <v/>
      </c>
      <c r="Z646" s="455" t="str">
        <f aca="false">IF(ABS(t-T_para)&lt;pas/2,"Para","")</f>
        <v/>
      </c>
      <c r="AA646" s="456" t="str">
        <f aca="false">IF(ABS(t-T_satellite)&lt;pas/2,"Satellite","")</f>
        <v/>
      </c>
      <c r="AB646" s="444"/>
      <c r="AC646" s="452" t="e">
        <f aca="false">IF(ABS(t-ROUND(t,0))&lt;0.001,t,NA())</f>
        <v>#N/A</v>
      </c>
      <c r="AD646" s="457" t="e">
        <f aca="false">IF(ABS(t-ROUND(t,0))&lt;0.001,pos_x,NA())</f>
        <v>#N/A</v>
      </c>
      <c r="AE646" s="458" t="e">
        <f aca="false">IF(t&lt;T_para, pos_z, NA())</f>
        <v>#N/A</v>
      </c>
      <c r="AF646" s="444"/>
      <c r="AG646" s="450" t="n">
        <f aca="false">IF(AND(L645&lt;L_rampe,Poussee&lt;Poids*SIN(M645)),0,(-W645+Poussee)/m-Poids*SIN(M645)/m)</f>
        <v>6.70925018469048</v>
      </c>
      <c r="AH646" s="449" t="n">
        <f aca="false">IF(AND(L645&lt;L_rampe,Poussee&lt;Poids*SIN(M645)), g*SIN(M645), (-W645+Poussee)/m)</f>
        <v>-2.78053368527067</v>
      </c>
    </row>
    <row r="647" customFormat="false" ht="12" hidden="false" customHeight="false" outlineLevel="0" collapsed="false">
      <c r="A647" s="448" t="n">
        <f aca="false">IF(B646+0.01&lt;=T_ini+ROUNDUP(Temps_fin_propu,0), 0.01, IF(K646&gt;0, 0.1, 0.0001))</f>
        <v>0.1</v>
      </c>
      <c r="B647" s="449" t="n">
        <f aca="false">B646+pas</f>
        <v>28.3000000000001</v>
      </c>
      <c r="C647" s="432"/>
      <c r="D647" s="450" t="n">
        <f aca="false">IF(AND(L646&lt;L_rampe,Poussee&lt;Poids*SIN(M646)),0,(-W646+Poussee)/m*COS(M646)-U646/m*SIN(M646))</f>
        <v>-0.708106330181927</v>
      </c>
      <c r="E647" s="451" t="n">
        <f aca="false">IF(AND(L646&lt;L_rampe,Poussee&lt;Poids*SIN(M646)),0,(-W646+Poussee)/m*SIN(M646)+U646/m*COS(M646)-Poids/m)</f>
        <v>-7.07894787421559</v>
      </c>
      <c r="F647" s="449" t="n">
        <f aca="false">SQRT(acc_x^2+acc_z^2)</f>
        <v>7.11427561883184</v>
      </c>
      <c r="G647" s="450" t="n">
        <f aca="false">G646+acc_x*pas</f>
        <v>24.7522847071771</v>
      </c>
      <c r="H647" s="451" t="n">
        <f aca="false">H646+acc_z*pas</f>
        <v>-96.4465775357765</v>
      </c>
      <c r="I647" s="449" t="n">
        <f aca="false">SQRT(vit_x^2+vit_z^2)</f>
        <v>99.5721744092681</v>
      </c>
      <c r="J647" s="450" t="n">
        <f aca="false">J646+0.5*(vit_x+G646)*pas*(K646&gt;=0)</f>
        <v>855.062252674482</v>
      </c>
      <c r="K647" s="451" t="n">
        <f aca="false">K646+0.5*(vit_z+H646)*pas</f>
        <v>865.47967848638</v>
      </c>
      <c r="L647" s="449" t="n">
        <f aca="false">SQRT(pos_x^2+pos_z^2)</f>
        <v>1216.62916692871</v>
      </c>
      <c r="M647" s="450" t="n">
        <f aca="false">IF(AND(L646&gt;L_rampe,G647&gt;0),ATAN2(G647,H647),$M$4)</f>
        <v>-1.31957579494955</v>
      </c>
      <c r="N647" s="449" t="n">
        <f aca="false">DEGREES(Beta)</f>
        <v>-75.6061237982297</v>
      </c>
      <c r="O647" s="438"/>
      <c r="P647" s="452" t="n">
        <f aca="false">MATCH(t-pas/2-T_ini,CdP_t)</f>
        <v>23</v>
      </c>
      <c r="Q647" s="449" t="n">
        <f aca="false">(INDEX(CdP,2,i_P+1)-INDEX(CdP,2,i_P+0))/(INDEX(CdP,1,i_P+1)-INDEX(CdP,1,i_P+0))*(t-pas/2-T_ini-INDEX(CdP,1,i_P+0))+INDEX(CdP,2,i_P+0)</f>
        <v>0</v>
      </c>
      <c r="R647" s="450" t="n">
        <f aca="false">Poussee/(g*ISP)</f>
        <v>0</v>
      </c>
      <c r="S647" s="451" t="n">
        <f aca="false">S646-Débit*pas</f>
        <v>8.652</v>
      </c>
      <c r="T647" s="449" t="n">
        <f aca="false">m*g</f>
        <v>84.87612</v>
      </c>
      <c r="U647" s="453" t="n">
        <f aca="false">IF(pos_xz&lt;L_rampe,Poids*COS(Beta),0)</f>
        <v>0</v>
      </c>
      <c r="V647" s="450" t="n">
        <f aca="false">Rho_moyen*(20000-Alt_rampe-pos_z)/(20000+Alt_rampe+pos_z)</f>
        <v>1.12337639752524</v>
      </c>
      <c r="W647" s="449" t="n">
        <f aca="false">1/2*Rho*Sref*Cx*vit_xz^2</f>
        <v>24.7649533503645</v>
      </c>
      <c r="X647" s="438"/>
      <c r="Y647" s="454" t="str">
        <f aca="false">IF(AND(pos_z&lt;=0,K646&gt;0),"Impact balistique","") &amp; IF(AND(H648&lt;0,vit_z&gt;=0),"Apogée","") &amp; IF(AND(Poussee=0,Q646&gt;0),"Fin de propulsion","") &amp; IF(AND(L648&gt;L_rampe,pos_xz&lt;=L_rampe),"Sortie de rampe","")</f>
        <v/>
      </c>
      <c r="Z647" s="455" t="str">
        <f aca="false">IF(ABS(t-T_para)&lt;pas/2,"Para","")</f>
        <v/>
      </c>
      <c r="AA647" s="456" t="str">
        <f aca="false">IF(ABS(t-T_satellite)&lt;pas/2,"Satellite","")</f>
        <v/>
      </c>
      <c r="AB647" s="444"/>
      <c r="AC647" s="452" t="e">
        <f aca="false">IF(ABS(t-ROUND(t,0))&lt;0.001,t,NA())</f>
        <v>#N/A</v>
      </c>
      <c r="AD647" s="457" t="e">
        <f aca="false">IF(ABS(t-ROUND(t,0))&lt;0.001,pos_x,NA())</f>
        <v>#N/A</v>
      </c>
      <c r="AE647" s="458" t="e">
        <f aca="false">IF(t&lt;T_para, pos_z, NA())</f>
        <v>#N/A</v>
      </c>
      <c r="AF647" s="444"/>
      <c r="AG647" s="450" t="n">
        <f aca="false">IF(AND(L646&lt;L_rampe,Poussee&lt;Poids*SIN(M646)),0,(-W646+Poussee)/m-Poids*SIN(M646)/m)</f>
        <v>6.67464457345194</v>
      </c>
      <c r="AH647" s="449" t="n">
        <f aca="false">IF(AND(L646&lt;L_rampe,Poussee&lt;Poids*SIN(M646)), g*SIN(M646), (-W646+Poussee)/m)</f>
        <v>-2.82135788027596</v>
      </c>
    </row>
    <row r="648" customFormat="false" ht="12" hidden="false" customHeight="false" outlineLevel="0" collapsed="false">
      <c r="A648" s="448" t="n">
        <f aca="false">IF(B647+0.01&lt;=T_ini+ROUNDUP(Temps_fin_propu,0), 0.01, IF(K647&gt;0, 0.1, 0.0001))</f>
        <v>0.1</v>
      </c>
      <c r="B648" s="449" t="n">
        <f aca="false">B647+pas</f>
        <v>28.4000000000001</v>
      </c>
      <c r="C648" s="432"/>
      <c r="D648" s="450" t="n">
        <f aca="false">IF(AND(L647&lt;L_rampe,Poussee&lt;Poids*SIN(M647)),0,(-W647+Poussee)/m*COS(M647)-U647/m*SIN(M647))</f>
        <v>-0.711538336443209</v>
      </c>
      <c r="E648" s="451" t="n">
        <f aca="false">IF(AND(L647&lt;L_rampe,Poussee&lt;Poids*SIN(M647)),0,(-W647+Poussee)/m*SIN(M647)+U647/m*COS(M647)-Poids/m)</f>
        <v>-7.03751098949872</v>
      </c>
      <c r="F648" s="449" t="n">
        <f aca="false">SQRT(acc_x^2+acc_z^2)</f>
        <v>7.07339011588811</v>
      </c>
      <c r="G648" s="450" t="n">
        <f aca="false">G647+acc_x*pas</f>
        <v>24.6811308735328</v>
      </c>
      <c r="H648" s="451" t="n">
        <f aca="false">H647+acc_z*pas</f>
        <v>-97.1503286347264</v>
      </c>
      <c r="I648" s="449" t="n">
        <f aca="false">SQRT(vit_x^2+vit_z^2)</f>
        <v>100.236443347875</v>
      </c>
      <c r="J648" s="450" t="n">
        <f aca="false">J647+0.5*(vit_x+G647)*pas*(K647&gt;=0)</f>
        <v>857.533923453518</v>
      </c>
      <c r="K648" s="451" t="n">
        <f aca="false">K647+0.5*(vit_z+H647)*pas</f>
        <v>855.799833177855</v>
      </c>
      <c r="L648" s="449" t="n">
        <f aca="false">SQRT(pos_x^2+pos_z^2)</f>
        <v>1211.51053827065</v>
      </c>
      <c r="M648" s="450" t="n">
        <f aca="false">IF(AND(L647&gt;L_rampe,G648&gt;0),ATAN2(G648,H648),$M$4)</f>
        <v>-1.3220086771895</v>
      </c>
      <c r="N648" s="449" t="n">
        <f aca="false">DEGREES(Beta)</f>
        <v>-75.745517682631</v>
      </c>
      <c r="O648" s="438"/>
      <c r="P648" s="452" t="n">
        <f aca="false">MATCH(t-pas/2-T_ini,CdP_t)</f>
        <v>23</v>
      </c>
      <c r="Q648" s="449" t="n">
        <f aca="false">(INDEX(CdP,2,i_P+1)-INDEX(CdP,2,i_P+0))/(INDEX(CdP,1,i_P+1)-INDEX(CdP,1,i_P+0))*(t-pas/2-T_ini-INDEX(CdP,1,i_P+0))+INDEX(CdP,2,i_P+0)</f>
        <v>0</v>
      </c>
      <c r="R648" s="450" t="n">
        <f aca="false">Poussee/(g*ISP)</f>
        <v>0</v>
      </c>
      <c r="S648" s="451" t="n">
        <f aca="false">S647-Débit*pas</f>
        <v>8.652</v>
      </c>
      <c r="T648" s="449" t="n">
        <f aca="false">m*g</f>
        <v>84.87612</v>
      </c>
      <c r="U648" s="453" t="n">
        <f aca="false">IF(pos_xz&lt;L_rampe,Poids*COS(Beta),0)</f>
        <v>0</v>
      </c>
      <c r="V648" s="450" t="n">
        <f aca="false">Rho_moyen*(20000-Alt_rampe-pos_z)/(20000+Alt_rampe+pos_z)</f>
        <v>1.12446635429679</v>
      </c>
      <c r="W648" s="449" t="n">
        <f aca="false">1/2*Rho*Sref*Cx*vit_xz^2</f>
        <v>25.1208308315743</v>
      </c>
      <c r="X648" s="438"/>
      <c r="Y648" s="454" t="str">
        <f aca="false">IF(AND(pos_z&lt;=0,K647&gt;0),"Impact balistique","") &amp; IF(AND(H649&lt;0,vit_z&gt;=0),"Apogée","") &amp; IF(AND(Poussee=0,Q647&gt;0),"Fin de propulsion","") &amp; IF(AND(L649&gt;L_rampe,pos_xz&lt;=L_rampe),"Sortie de rampe","")</f>
        <v/>
      </c>
      <c r="Z648" s="455" t="str">
        <f aca="false">IF(ABS(t-T_para)&lt;pas/2,"Para","")</f>
        <v/>
      </c>
      <c r="AA648" s="456" t="str">
        <f aca="false">IF(ABS(t-T_satellite)&lt;pas/2,"Satellite","")</f>
        <v/>
      </c>
      <c r="AB648" s="444"/>
      <c r="AC648" s="452" t="e">
        <f aca="false">IF(ABS(t-ROUND(t,0))&lt;0.001,t,NA())</f>
        <v>#N/A</v>
      </c>
      <c r="AD648" s="457" t="e">
        <f aca="false">IF(ABS(t-ROUND(t,0))&lt;0.001,pos_x,NA())</f>
        <v>#N/A</v>
      </c>
      <c r="AE648" s="458" t="e">
        <f aca="false">IF(t&lt;T_para, pos_z, NA())</f>
        <v>#N/A</v>
      </c>
      <c r="AF648" s="444"/>
      <c r="AG648" s="450" t="n">
        <f aca="false">IF(AND(L647&lt;L_rampe,Poussee&lt;Poids*SIN(M647)),0,(-W647+Poussee)/m-Poids*SIN(M647)/m)</f>
        <v>6.63972293209574</v>
      </c>
      <c r="AH648" s="449" t="n">
        <f aca="false">IF(AND(L647&lt;L_rampe,Poussee&lt;Poids*SIN(M647)), g*SIN(M647), (-W647+Poussee)/m)</f>
        <v>-2.86233857493811</v>
      </c>
    </row>
    <row r="649" customFormat="false" ht="12" hidden="false" customHeight="false" outlineLevel="0" collapsed="false">
      <c r="A649" s="448" t="n">
        <f aca="false">IF(B648+0.01&lt;=T_ini+ROUNDUP(Temps_fin_propu,0), 0.01, IF(K648&gt;0, 0.1, 0.0001))</f>
        <v>0.1</v>
      </c>
      <c r="B649" s="449" t="n">
        <f aca="false">B648+pas</f>
        <v>28.5000000000001</v>
      </c>
      <c r="C649" s="432"/>
      <c r="D649" s="450" t="n">
        <f aca="false">IF(AND(L648&lt;L_rampe,Poussee&lt;Poids*SIN(M648)),0,(-W648+Poussee)/m*COS(M648)-U648/m*SIN(M648))</f>
        <v>-0.714919091321915</v>
      </c>
      <c r="E649" s="451" t="n">
        <f aca="false">IF(AND(L648&lt;L_rampe,Poussee&lt;Poids*SIN(M648)),0,(-W648+Poussee)/m*SIN(M648)+U648/m*COS(M648)-Poids/m)</f>
        <v>-6.99592211090113</v>
      </c>
      <c r="F649" s="449" t="n">
        <f aca="false">SQRT(acc_x^2+acc_z^2)</f>
        <v>7.03235632550939</v>
      </c>
      <c r="G649" s="450" t="n">
        <f aca="false">G648+acc_x*pas</f>
        <v>24.6096389644006</v>
      </c>
      <c r="H649" s="451" t="n">
        <f aca="false">H648+acc_z*pas</f>
        <v>-97.8499208458165</v>
      </c>
      <c r="I649" s="449" t="n">
        <f aca="false">SQRT(vit_x^2+vit_z^2)</f>
        <v>100.897182019572</v>
      </c>
      <c r="J649" s="450" t="n">
        <f aca="false">J648+0.5*(vit_x+G648)*pas*(K648&gt;=0)</f>
        <v>859.998461945415</v>
      </c>
      <c r="K649" s="451" t="n">
        <f aca="false">K648+0.5*(vit_z+H648)*pas</f>
        <v>846.049820703828</v>
      </c>
      <c r="L649" s="449" t="n">
        <f aca="false">SQRT(pos_x^2+pos_z^2)</f>
        <v>1206.3986296666</v>
      </c>
      <c r="M649" s="450" t="n">
        <f aca="false">IF(AND(L648&gt;L_rampe,G649&gt;0),ATAN2(G649,H649),$M$4)</f>
        <v>-1.32440270831167</v>
      </c>
      <c r="N649" s="449" t="n">
        <f aca="false">DEGREES(Beta)</f>
        <v>-75.8826855619548</v>
      </c>
      <c r="O649" s="438"/>
      <c r="P649" s="452" t="n">
        <f aca="false">MATCH(t-pas/2-T_ini,CdP_t)</f>
        <v>23</v>
      </c>
      <c r="Q649" s="449" t="n">
        <f aca="false">(INDEX(CdP,2,i_P+1)-INDEX(CdP,2,i_P+0))/(INDEX(CdP,1,i_P+1)-INDEX(CdP,1,i_P+0))*(t-pas/2-T_ini-INDEX(CdP,1,i_P+0))+INDEX(CdP,2,i_P+0)</f>
        <v>0</v>
      </c>
      <c r="R649" s="450" t="n">
        <f aca="false">Poussee/(g*ISP)</f>
        <v>0</v>
      </c>
      <c r="S649" s="451" t="n">
        <f aca="false">S648-Débit*pas</f>
        <v>8.652</v>
      </c>
      <c r="T649" s="449" t="n">
        <f aca="false">m*g</f>
        <v>84.87612</v>
      </c>
      <c r="U649" s="453" t="n">
        <f aca="false">IF(pos_xz&lt;L_rampe,Poids*COS(Beta),0)</f>
        <v>0</v>
      </c>
      <c r="V649" s="450" t="n">
        <f aca="false">Rho_moyen*(20000-Alt_rampe-pos_z)/(20000+Alt_rampe+pos_z)</f>
        <v>1.1255652352099</v>
      </c>
      <c r="W649" s="449" t="n">
        <f aca="false">1/2*Rho*Sref*Cx*vit_xz^2</f>
        <v>25.477979366054</v>
      </c>
      <c r="X649" s="438"/>
      <c r="Y649" s="454" t="str">
        <f aca="false">IF(AND(pos_z&lt;=0,K648&gt;0),"Impact balistique","") &amp; IF(AND(H650&lt;0,vit_z&gt;=0),"Apogée","") &amp; IF(AND(Poussee=0,Q648&gt;0),"Fin de propulsion","") &amp; IF(AND(L650&gt;L_rampe,pos_xz&lt;=L_rampe),"Sortie de rampe","")</f>
        <v/>
      </c>
      <c r="Z649" s="455" t="str">
        <f aca="false">IF(ABS(t-T_para)&lt;pas/2,"Para","")</f>
        <v/>
      </c>
      <c r="AA649" s="456" t="str">
        <f aca="false">IF(ABS(t-T_satellite)&lt;pas/2,"Satellite","")</f>
        <v/>
      </c>
      <c r="AB649" s="444"/>
      <c r="AC649" s="452" t="e">
        <f aca="false">IF(ABS(t-ROUND(t,0))&lt;0.001,t,NA())</f>
        <v>#N/A</v>
      </c>
      <c r="AD649" s="457" t="e">
        <f aca="false">IF(ABS(t-ROUND(t,0))&lt;0.001,pos_x,NA())</f>
        <v>#N/A</v>
      </c>
      <c r="AE649" s="458" t="e">
        <f aca="false">IF(t&lt;T_para, pos_z, NA())</f>
        <v>#N/A</v>
      </c>
      <c r="AF649" s="444"/>
      <c r="AG649" s="450" t="n">
        <f aca="false">IF(AND(L648&lt;L_rampe,Poussee&lt;Poids*SIN(M648)),0,(-W648+Poussee)/m-Poids*SIN(M648)/m)</f>
        <v>6.60449531536699</v>
      </c>
      <c r="AH649" s="449" t="n">
        <f aca="false">IF(AND(L648&lt;L_rampe,Poussee&lt;Poids*SIN(M648)), g*SIN(M648), (-W648+Poussee)/m)</f>
        <v>-2.90347096989994</v>
      </c>
    </row>
    <row r="650" customFormat="false" ht="12" hidden="false" customHeight="false" outlineLevel="0" collapsed="false">
      <c r="A650" s="448" t="n">
        <f aca="false">IF(B649+0.01&lt;=T_ini+ROUNDUP(Temps_fin_propu,0), 0.01, IF(K649&gt;0, 0.1, 0.0001))</f>
        <v>0.1</v>
      </c>
      <c r="B650" s="449" t="n">
        <f aca="false">B649+pas</f>
        <v>28.6000000000001</v>
      </c>
      <c r="C650" s="432"/>
      <c r="D650" s="450" t="n">
        <f aca="false">IF(AND(L649&lt;L_rampe,Poussee&lt;Poids*SIN(M649)),0,(-W649+Poussee)/m*COS(M649)-U649/m*SIN(M649))</f>
        <v>-0.718248415068073</v>
      </c>
      <c r="E650" s="451" t="n">
        <f aca="false">IF(AND(L649&lt;L_rampe,Poussee&lt;Poids*SIN(M649)),0,(-W649+Poussee)/m*SIN(M649)+U649/m*COS(M649)-Poids/m)</f>
        <v>-6.95418603768591</v>
      </c>
      <c r="F650" s="449" t="n">
        <f aca="false">SQRT(acc_x^2+acc_z^2)</f>
        <v>6.99117903021325</v>
      </c>
      <c r="G650" s="450" t="n">
        <f aca="false">G649+acc_x*pas</f>
        <v>24.5378141228938</v>
      </c>
      <c r="H650" s="451" t="n">
        <f aca="false">H649+acc_z*pas</f>
        <v>-98.5453394495851</v>
      </c>
      <c r="I650" s="449" t="n">
        <f aca="false">SQRT(vit_x^2+vit_z^2)</f>
        <v>101.554361054381</v>
      </c>
      <c r="J650" s="450" t="n">
        <f aca="false">J649+0.5*(vit_x+G649)*pas*(K649&gt;=0)</f>
        <v>862.455834599779</v>
      </c>
      <c r="K650" s="451" t="n">
        <f aca="false">K649+0.5*(vit_z+H649)*pas</f>
        <v>836.230057689058</v>
      </c>
      <c r="L650" s="449" t="n">
        <f aca="false">SQRT(pos_x^2+pos_z^2)</f>
        <v>1201.29545741997</v>
      </c>
      <c r="M650" s="450" t="n">
        <f aca="false">IF(AND(L649&gt;L_rampe,G650&gt;0),ATAN2(G650,H650),$M$4)</f>
        <v>-1.32675882630896</v>
      </c>
      <c r="N650" s="449" t="n">
        <f aca="false">DEGREES(Beta)</f>
        <v>-76.017681179234</v>
      </c>
      <c r="O650" s="438"/>
      <c r="P650" s="452" t="n">
        <f aca="false">MATCH(t-pas/2-T_ini,CdP_t)</f>
        <v>23</v>
      </c>
      <c r="Q650" s="449" t="n">
        <f aca="false">(INDEX(CdP,2,i_P+1)-INDEX(CdP,2,i_P+0))/(INDEX(CdP,1,i_P+1)-INDEX(CdP,1,i_P+0))*(t-pas/2-T_ini-INDEX(CdP,1,i_P+0))+INDEX(CdP,2,i_P+0)</f>
        <v>0</v>
      </c>
      <c r="R650" s="450" t="n">
        <f aca="false">Poussee/(g*ISP)</f>
        <v>0</v>
      </c>
      <c r="S650" s="451" t="n">
        <f aca="false">S649-Débit*pas</f>
        <v>8.652</v>
      </c>
      <c r="T650" s="449" t="n">
        <f aca="false">m*g</f>
        <v>84.87612</v>
      </c>
      <c r="U650" s="453" t="n">
        <f aca="false">IF(pos_xz&lt;L_rampe,Poids*COS(Beta),0)</f>
        <v>0</v>
      </c>
      <c r="V650" s="450" t="n">
        <f aca="false">Rho_moyen*(20000-Alt_rampe-pos_z)/(20000+Alt_rampe+pos_z)</f>
        <v>1.12667301687178</v>
      </c>
      <c r="W650" s="449" t="n">
        <f aca="false">1/2*Rho*Sref*Cx*vit_xz^2</f>
        <v>25.8363575705349</v>
      </c>
      <c r="X650" s="438"/>
      <c r="Y650" s="454" t="str">
        <f aca="false">IF(AND(pos_z&lt;=0,K649&gt;0),"Impact balistique","") &amp; IF(AND(H651&lt;0,vit_z&gt;=0),"Apogée","") &amp; IF(AND(Poussee=0,Q649&gt;0),"Fin de propulsion","") &amp; IF(AND(L651&gt;L_rampe,pos_xz&lt;=L_rampe),"Sortie de rampe","")</f>
        <v/>
      </c>
      <c r="Z650" s="455" t="str">
        <f aca="false">IF(ABS(t-T_para)&lt;pas/2,"Para","")</f>
        <v/>
      </c>
      <c r="AA650" s="456" t="str">
        <f aca="false">IF(ABS(t-T_satellite)&lt;pas/2,"Satellite","")</f>
        <v/>
      </c>
      <c r="AB650" s="444"/>
      <c r="AC650" s="452" t="e">
        <f aca="false">IF(ABS(t-ROUND(t,0))&lt;0.001,t,NA())</f>
        <v>#N/A</v>
      </c>
      <c r="AD650" s="457" t="e">
        <f aca="false">IF(ABS(t-ROUND(t,0))&lt;0.001,pos_x,NA())</f>
        <v>#N/A</v>
      </c>
      <c r="AE650" s="458" t="e">
        <f aca="false">IF(t&lt;T_para, pos_z, NA())</f>
        <v>#N/A</v>
      </c>
      <c r="AF650" s="444"/>
      <c r="AG650" s="450" t="n">
        <f aca="false">IF(AND(L649&lt;L_rampe,Poussee&lt;Poids*SIN(M649)),0,(-W649+Poussee)/m-Poids*SIN(M649)/m)</f>
        <v>6.56897155982514</v>
      </c>
      <c r="AH650" s="449" t="n">
        <f aca="false">IF(AND(L649&lt;L_rampe,Poussee&lt;Poids*SIN(M649)), g*SIN(M649), (-W649+Poussee)/m)</f>
        <v>-2.94475027346903</v>
      </c>
    </row>
    <row r="651" customFormat="false" ht="12" hidden="false" customHeight="false" outlineLevel="0" collapsed="false">
      <c r="A651" s="448" t="n">
        <f aca="false">IF(B650+0.01&lt;=T_ini+ROUNDUP(Temps_fin_propu,0), 0.01, IF(K650&gt;0, 0.1, 0.0001))</f>
        <v>0.1</v>
      </c>
      <c r="B651" s="449" t="n">
        <f aca="false">B650+pas</f>
        <v>28.7000000000001</v>
      </c>
      <c r="C651" s="432"/>
      <c r="D651" s="450" t="n">
        <f aca="false">IF(AND(L650&lt;L_rampe,Poussee&lt;Poids*SIN(M650)),0,(-W650+Poussee)/m*COS(M650)-U650/m*SIN(M650))</f>
        <v>-0.721526140440041</v>
      </c>
      <c r="E651" s="451" t="n">
        <f aca="false">IF(AND(L650&lt;L_rampe,Poussee&lt;Poids*SIN(M650)),0,(-W650+Poussee)/m*SIN(M650)+U650/m*COS(M650)-Poids/m)</f>
        <v>-6.91230756189999</v>
      </c>
      <c r="F651" s="449" t="n">
        <f aca="false">SQRT(acc_x^2+acc_z^2)</f>
        <v>6.94986300596193</v>
      </c>
      <c r="G651" s="450" t="n">
        <f aca="false">G650+acc_x*pas</f>
        <v>24.4656615088498</v>
      </c>
      <c r="H651" s="451" t="n">
        <f aca="false">H650+acc_z*pas</f>
        <v>-99.2365702057751</v>
      </c>
      <c r="I651" s="449" t="n">
        <f aca="false">SQRT(vit_x^2+vit_z^2)</f>
        <v>102.207952035403</v>
      </c>
      <c r="J651" s="450" t="n">
        <f aca="false">J650+0.5*(vit_x+G650)*pas*(K650&gt;=0)</f>
        <v>864.906008381366</v>
      </c>
      <c r="K651" s="451" t="n">
        <f aca="false">K650+0.5*(vit_z+H650)*pas</f>
        <v>826.34096220629</v>
      </c>
      <c r="L651" s="449" t="n">
        <f aca="false">SQRT(pos_x^2+pos_z^2)</f>
        <v>1196.20307187125</v>
      </c>
      <c r="M651" s="450" t="n">
        <f aca="false">IF(AND(L650&gt;L_rampe,G651&gt;0),ATAN2(G651,H651),$M$4)</f>
        <v>-1.32907793981202</v>
      </c>
      <c r="N651" s="449" t="n">
        <f aca="false">DEGREES(Beta)</f>
        <v>-76.1505565951711</v>
      </c>
      <c r="O651" s="438"/>
      <c r="P651" s="452" t="n">
        <f aca="false">MATCH(t-pas/2-T_ini,CdP_t)</f>
        <v>23</v>
      </c>
      <c r="Q651" s="449" t="n">
        <f aca="false">(INDEX(CdP,2,i_P+1)-INDEX(CdP,2,i_P+0))/(INDEX(CdP,1,i_P+1)-INDEX(CdP,1,i_P+0))*(t-pas/2-T_ini-INDEX(CdP,1,i_P+0))+INDEX(CdP,2,i_P+0)</f>
        <v>0</v>
      </c>
      <c r="R651" s="450" t="n">
        <f aca="false">Poussee/(g*ISP)</f>
        <v>0</v>
      </c>
      <c r="S651" s="451" t="n">
        <f aca="false">S650-Débit*pas</f>
        <v>8.652</v>
      </c>
      <c r="T651" s="449" t="n">
        <f aca="false">m*g</f>
        <v>84.87612</v>
      </c>
      <c r="U651" s="453" t="n">
        <f aca="false">IF(pos_xz&lt;L_rampe,Poids*COS(Beta),0)</f>
        <v>0</v>
      </c>
      <c r="V651" s="450" t="n">
        <f aca="false">Rho_moyen*(20000-Alt_rampe-pos_z)/(20000+Alt_rampe+pos_z)</f>
        <v>1.12778967577265</v>
      </c>
      <c r="W651" s="449" t="n">
        <f aca="false">1/2*Rho*Sref*Cx*vit_xz^2</f>
        <v>26.1959241442659</v>
      </c>
      <c r="X651" s="438"/>
      <c r="Y651" s="454" t="str">
        <f aca="false">IF(AND(pos_z&lt;=0,K650&gt;0),"Impact balistique","") &amp; IF(AND(H652&lt;0,vit_z&gt;=0),"Apogée","") &amp; IF(AND(Poussee=0,Q650&gt;0),"Fin de propulsion","") &amp; IF(AND(L652&gt;L_rampe,pos_xz&lt;=L_rampe),"Sortie de rampe","")</f>
        <v/>
      </c>
      <c r="Z651" s="455" t="str">
        <f aca="false">IF(ABS(t-T_para)&lt;pas/2,"Para","")</f>
        <v/>
      </c>
      <c r="AA651" s="456" t="str">
        <f aca="false">IF(ABS(t-T_satellite)&lt;pas/2,"Satellite","")</f>
        <v/>
      </c>
      <c r="AB651" s="444"/>
      <c r="AC651" s="452" t="e">
        <f aca="false">IF(ABS(t-ROUND(t,0))&lt;0.001,t,NA())</f>
        <v>#N/A</v>
      </c>
      <c r="AD651" s="457" t="e">
        <f aca="false">IF(ABS(t-ROUND(t,0))&lt;0.001,pos_x,NA())</f>
        <v>#N/A</v>
      </c>
      <c r="AE651" s="458" t="e">
        <f aca="false">IF(t&lt;T_para, pos_z, NA())</f>
        <v>#N/A</v>
      </c>
      <c r="AF651" s="444"/>
      <c r="AG651" s="450" t="n">
        <f aca="false">IF(AND(L650&lt;L_rampe,Poussee&lt;Poids*SIN(M650)),0,(-W650+Poussee)/m-Poids*SIN(M650)/m)</f>
        <v>6.53316129273031</v>
      </c>
      <c r="AH651" s="449" t="n">
        <f aca="false">IF(AND(L650&lt;L_rampe,Poussee&lt;Poids*SIN(M650)), g*SIN(M650), (-W650+Poussee)/m)</f>
        <v>-2.98617170255836</v>
      </c>
    </row>
    <row r="652" customFormat="false" ht="12" hidden="false" customHeight="false" outlineLevel="0" collapsed="false">
      <c r="A652" s="448" t="n">
        <f aca="false">IF(B651+0.01&lt;=T_ini+ROUNDUP(Temps_fin_propu,0), 0.01, IF(K651&gt;0, 0.1, 0.0001))</f>
        <v>0.1</v>
      </c>
      <c r="B652" s="449" t="n">
        <f aca="false">B651+pas</f>
        <v>28.8000000000001</v>
      </c>
      <c r="C652" s="432"/>
      <c r="D652" s="450" t="n">
        <f aca="false">IF(AND(L651&lt;L_rampe,Poussee&lt;Poids*SIN(M651)),0,(-W651+Poussee)/m*COS(M651)-U651/m*SIN(M651))</f>
        <v>-0.72475211250269</v>
      </c>
      <c r="E652" s="451" t="n">
        <f aca="false">IF(AND(L651&lt;L_rampe,Poussee&lt;Poids*SIN(M651)),0,(-W651+Poussee)/m*SIN(M651)+U651/m*COS(M651)-Poids/m)</f>
        <v>-6.87029146736371</v>
      </c>
      <c r="F652" s="449" t="n">
        <f aca="false">SQRT(acc_x^2+acc_z^2)</f>
        <v>6.90841302117264</v>
      </c>
      <c r="G652" s="450" t="n">
        <f aca="false">G651+acc_x*pas</f>
        <v>24.3931862975995</v>
      </c>
      <c r="H652" s="451" t="n">
        <f aca="false">H651+acc_z*pas</f>
        <v>-99.9235993525114</v>
      </c>
      <c r="I652" s="449" t="n">
        <f aca="false">SQRT(vit_x^2+vit_z^2)</f>
        <v>102.857927479172</v>
      </c>
      <c r="J652" s="450" t="n">
        <f aca="false">J651+0.5*(vit_x+G651)*pas*(K651&gt;=0)</f>
        <v>867.348950771689</v>
      </c>
      <c r="K652" s="451" t="n">
        <f aca="false">K651+0.5*(vit_z+H651)*pas</f>
        <v>816.382953728376</v>
      </c>
      <c r="L652" s="449" t="n">
        <f aca="false">SQRT(pos_x^2+pos_z^2)</f>
        <v>1191.12355763078</v>
      </c>
      <c r="M652" s="450" t="n">
        <f aca="false">IF(AND(L651&gt;L_rampe,G652&gt;0),ATAN2(G652,H652),$M$4)</f>
        <v>-1.33136092919507</v>
      </c>
      <c r="N652" s="449" t="n">
        <f aca="false">DEGREES(Beta)</f>
        <v>-76.2813622514931</v>
      </c>
      <c r="O652" s="438"/>
      <c r="P652" s="452" t="n">
        <f aca="false">MATCH(t-pas/2-T_ini,CdP_t)</f>
        <v>23</v>
      </c>
      <c r="Q652" s="449" t="n">
        <f aca="false">(INDEX(CdP,2,i_P+1)-INDEX(CdP,2,i_P+0))/(INDEX(CdP,1,i_P+1)-INDEX(CdP,1,i_P+0))*(t-pas/2-T_ini-INDEX(CdP,1,i_P+0))+INDEX(CdP,2,i_P+0)</f>
        <v>0</v>
      </c>
      <c r="R652" s="450" t="n">
        <f aca="false">Poussee/(g*ISP)</f>
        <v>0</v>
      </c>
      <c r="S652" s="451" t="n">
        <f aca="false">S651-Débit*pas</f>
        <v>8.652</v>
      </c>
      <c r="T652" s="449" t="n">
        <f aca="false">m*g</f>
        <v>84.87612</v>
      </c>
      <c r="U652" s="453" t="n">
        <f aca="false">IF(pos_xz&lt;L_rampe,Poids*COS(Beta),0)</f>
        <v>0</v>
      </c>
      <c r="V652" s="450" t="n">
        <f aca="false">Rho_moyen*(20000-Alt_rampe-pos_z)/(20000+Alt_rampe+pos_z)</f>
        <v>1.12891518828797</v>
      </c>
      <c r="W652" s="449" t="n">
        <f aca="false">1/2*Rho*Sref*Cx*vit_xz^2</f>
        <v>26.5566378769998</v>
      </c>
      <c r="X652" s="438"/>
      <c r="Y652" s="454" t="str">
        <f aca="false">IF(AND(pos_z&lt;=0,K651&gt;0),"Impact balistique","") &amp; IF(AND(H653&lt;0,vit_z&gt;=0),"Apogée","") &amp; IF(AND(Poussee=0,Q651&gt;0),"Fin de propulsion","") &amp; IF(AND(L653&gt;L_rampe,pos_xz&lt;=L_rampe),"Sortie de rampe","")</f>
        <v/>
      </c>
      <c r="Z652" s="455" t="str">
        <f aca="false">IF(ABS(t-T_para)&lt;pas/2,"Para","")</f>
        <v/>
      </c>
      <c r="AA652" s="456" t="str">
        <f aca="false">IF(ABS(t-T_satellite)&lt;pas/2,"Satellite","")</f>
        <v/>
      </c>
      <c r="AB652" s="444"/>
      <c r="AC652" s="452" t="e">
        <f aca="false">IF(ABS(t-ROUND(t,0))&lt;0.001,t,NA())</f>
        <v>#N/A</v>
      </c>
      <c r="AD652" s="457" t="e">
        <f aca="false">IF(ABS(t-ROUND(t,0))&lt;0.001,pos_x,NA())</f>
        <v>#N/A</v>
      </c>
      <c r="AE652" s="458" t="e">
        <f aca="false">IF(t&lt;T_para, pos_z, NA())</f>
        <v>#N/A</v>
      </c>
      <c r="AF652" s="444"/>
      <c r="AG652" s="450" t="n">
        <f aca="false">IF(AND(L651&lt;L_rampe,Poussee&lt;Poids*SIN(M651)),0,(-W651+Poussee)/m-Poids*SIN(M651)/m)</f>
        <v>6.49707394041945</v>
      </c>
      <c r="AH652" s="449" t="n">
        <f aca="false">IF(AND(L651&lt;L_rampe,Poussee&lt;Poids*SIN(M651)), g*SIN(M651), (-W651+Poussee)/m)</f>
        <v>-3.02773048361834</v>
      </c>
    </row>
    <row r="653" customFormat="false" ht="12" hidden="false" customHeight="false" outlineLevel="0" collapsed="false">
      <c r="A653" s="448" t="n">
        <f aca="false">IF(B652+0.01&lt;=T_ini+ROUNDUP(Temps_fin_propu,0), 0.01, IF(K652&gt;0, 0.1, 0.0001))</f>
        <v>0.1</v>
      </c>
      <c r="B653" s="449" t="n">
        <f aca="false">B652+pas</f>
        <v>28.9000000000001</v>
      </c>
      <c r="C653" s="432"/>
      <c r="D653" s="450" t="n">
        <f aca="false">IF(AND(L652&lt;L_rampe,Poussee&lt;Poids*SIN(M652)),0,(-W652+Poussee)/m*COS(M652)-U652/m*SIN(M652))</f>
        <v>-0.727926188430831</v>
      </c>
      <c r="E653" s="451" t="n">
        <f aca="false">IF(AND(L652&lt;L_rampe,Poussee&lt;Poids*SIN(M652)),0,(-W652+Poussee)/m*SIN(M652)+U652/m*COS(M652)-Poids/m)</f>
        <v>-6.82814252867322</v>
      </c>
      <c r="F653" s="449" t="n">
        <f aca="false">SQRT(acc_x^2+acc_z^2)</f>
        <v>6.86683383574114</v>
      </c>
      <c r="G653" s="450" t="n">
        <f aca="false">G652+acc_x*pas</f>
        <v>24.3203936787564</v>
      </c>
      <c r="H653" s="451" t="n">
        <f aca="false">H652+acc_z*pas</f>
        <v>-100.606413605379</v>
      </c>
      <c r="I653" s="449" t="n">
        <f aca="false">SQRT(vit_x^2+vit_z^2)</f>
        <v>103.504260816771</v>
      </c>
      <c r="J653" s="450" t="n">
        <f aca="false">J652+0.5*(vit_x+G652)*pas*(K652&gt;=0)</f>
        <v>869.784629770507</v>
      </c>
      <c r="K653" s="451" t="n">
        <f aca="false">K652+0.5*(vit_z+H652)*pas</f>
        <v>806.356453080481</v>
      </c>
      <c r="L653" s="449" t="n">
        <f aca="false">SQRT(pos_x^2+pos_z^2)</f>
        <v>1186.05903377933</v>
      </c>
      <c r="M653" s="450" t="n">
        <f aca="false">IF(AND(L652&gt;L_rampe,G653&gt;0),ATAN2(G653,H653),$M$4)</f>
        <v>-1.33360864763365</v>
      </c>
      <c r="N653" s="449" t="n">
        <f aca="false">DEGREES(Beta)</f>
        <v>-76.4101470315572</v>
      </c>
      <c r="O653" s="438"/>
      <c r="P653" s="452" t="n">
        <f aca="false">MATCH(t-pas/2-T_ini,CdP_t)</f>
        <v>23</v>
      </c>
      <c r="Q653" s="449" t="n">
        <f aca="false">(INDEX(CdP,2,i_P+1)-INDEX(CdP,2,i_P+0))/(INDEX(CdP,1,i_P+1)-INDEX(CdP,1,i_P+0))*(t-pas/2-T_ini-INDEX(CdP,1,i_P+0))+INDEX(CdP,2,i_P+0)</f>
        <v>0</v>
      </c>
      <c r="R653" s="450" t="n">
        <f aca="false">Poussee/(g*ISP)</f>
        <v>0</v>
      </c>
      <c r="S653" s="451" t="n">
        <f aca="false">S652-Débit*pas</f>
        <v>8.652</v>
      </c>
      <c r="T653" s="449" t="n">
        <f aca="false">m*g</f>
        <v>84.87612</v>
      </c>
      <c r="U653" s="453" t="n">
        <f aca="false">IF(pos_xz&lt;L_rampe,Poids*COS(Beta),0)</f>
        <v>0</v>
      </c>
      <c r="V653" s="450" t="n">
        <f aca="false">Rho_moyen*(20000-Alt_rampe-pos_z)/(20000+Alt_rampe+pos_z)</f>
        <v>1.13004953068058</v>
      </c>
      <c r="W653" s="449" t="n">
        <f aca="false">1/2*Rho*Sref*Cx*vit_xz^2</f>
        <v>26.9184576568998</v>
      </c>
      <c r="X653" s="438"/>
      <c r="Y653" s="454" t="str">
        <f aca="false">IF(AND(pos_z&lt;=0,K652&gt;0),"Impact balistique","") &amp; IF(AND(H654&lt;0,vit_z&gt;=0),"Apogée","") &amp; IF(AND(Poussee=0,Q652&gt;0),"Fin de propulsion","") &amp; IF(AND(L654&gt;L_rampe,pos_xz&lt;=L_rampe),"Sortie de rampe","")</f>
        <v/>
      </c>
      <c r="Z653" s="455" t="str">
        <f aca="false">IF(ABS(t-T_para)&lt;pas/2,"Para","")</f>
        <v/>
      </c>
      <c r="AA653" s="456" t="str">
        <f aca="false">IF(ABS(t-T_satellite)&lt;pas/2,"Satellite","")</f>
        <v/>
      </c>
      <c r="AB653" s="444"/>
      <c r="AC653" s="452" t="e">
        <f aca="false">IF(ABS(t-ROUND(t,0))&lt;0.001,t,NA())</f>
        <v>#N/A</v>
      </c>
      <c r="AD653" s="457" t="e">
        <f aca="false">IF(ABS(t-ROUND(t,0))&lt;0.001,pos_x,NA())</f>
        <v>#N/A</v>
      </c>
      <c r="AE653" s="458" t="e">
        <f aca="false">IF(t&lt;T_para, pos_z, NA())</f>
        <v>#N/A</v>
      </c>
      <c r="AF653" s="444"/>
      <c r="AG653" s="450" t="n">
        <f aca="false">IF(AND(L652&lt;L_rampe,Poussee&lt;Poids*SIN(M652)),0,(-W652+Poussee)/m-Poids*SIN(M652)/m)</f>
        <v>6.46071873620296</v>
      </c>
      <c r="AH653" s="449" t="n">
        <f aca="false">IF(AND(L652&lt;L_rampe,Poussee&lt;Poids*SIN(M652)), g*SIN(M652), (-W652+Poussee)/m)</f>
        <v>-3.06942185355985</v>
      </c>
    </row>
    <row r="654" customFormat="false" ht="12" hidden="false" customHeight="false" outlineLevel="0" collapsed="false">
      <c r="A654" s="448" t="n">
        <f aca="false">IF(B653+0.01&lt;=T_ini+ROUNDUP(Temps_fin_propu,0), 0.01, IF(K653&gt;0, 0.1, 0.0001))</f>
        <v>0.1</v>
      </c>
      <c r="B654" s="449" t="n">
        <f aca="false">B653+pas</f>
        <v>29.0000000000001</v>
      </c>
      <c r="C654" s="432"/>
      <c r="D654" s="450" t="n">
        <f aca="false">IF(AND(L653&lt;L_rampe,Poussee&lt;Poids*SIN(M653)),0,(-W653+Poussee)/m*COS(M653)-U653/m*SIN(M653))</f>
        <v>-0.731048237317566</v>
      </c>
      <c r="E654" s="451" t="n">
        <f aca="false">IF(AND(L653&lt;L_rampe,Poussee&lt;Poids*SIN(M653)),0,(-W653+Poussee)/m*SIN(M653)+U653/m*COS(M653)-Poids/m)</f>
        <v>-6.78586551021592</v>
      </c>
      <c r="F654" s="449" t="n">
        <f aca="false">SQRT(acc_x^2+acc_z^2)</f>
        <v>6.82513020007846</v>
      </c>
      <c r="G654" s="450" t="n">
        <f aca="false">G653+acc_x*pas</f>
        <v>24.2472888550247</v>
      </c>
      <c r="H654" s="451" t="n">
        <f aca="false">H653+acc_z*pas</f>
        <v>-101.2850001564</v>
      </c>
      <c r="I654" s="449" t="n">
        <f aca="false">SQRT(vit_x^2+vit_z^2)</f>
        <v>104.146926375679</v>
      </c>
      <c r="J654" s="450" t="n">
        <f aca="false">J653+0.5*(vit_x+G653)*pas*(K653&gt;=0)</f>
        <v>872.213013897196</v>
      </c>
      <c r="K654" s="451" t="n">
        <f aca="false">K653+0.5*(vit_z+H653)*pas</f>
        <v>796.261882392392</v>
      </c>
      <c r="L654" s="449" t="n">
        <f aca="false">SQRT(pos_x^2+pos_z^2)</f>
        <v>1181.0116540334</v>
      </c>
      <c r="M654" s="450" t="n">
        <f aca="false">IF(AND(L653&gt;L_rampe,G654&gt;0),ATAN2(G654,H654),$M$4)</f>
        <v>-1.3358219221167</v>
      </c>
      <c r="N654" s="449" t="n">
        <f aca="false">DEGREES(Beta)</f>
        <v>-76.5369583183403</v>
      </c>
      <c r="O654" s="438"/>
      <c r="P654" s="452" t="n">
        <f aca="false">MATCH(t-pas/2-T_ini,CdP_t)</f>
        <v>23</v>
      </c>
      <c r="Q654" s="449" t="n">
        <f aca="false">(INDEX(CdP,2,i_P+1)-INDEX(CdP,2,i_P+0))/(INDEX(CdP,1,i_P+1)-INDEX(CdP,1,i_P+0))*(t-pas/2-T_ini-INDEX(CdP,1,i_P+0))+INDEX(CdP,2,i_P+0)</f>
        <v>0</v>
      </c>
      <c r="R654" s="450" t="n">
        <f aca="false">Poussee/(g*ISP)</f>
        <v>0</v>
      </c>
      <c r="S654" s="451" t="n">
        <f aca="false">S653-Débit*pas</f>
        <v>8.652</v>
      </c>
      <c r="T654" s="449" t="n">
        <f aca="false">m*g</f>
        <v>84.87612</v>
      </c>
      <c r="U654" s="453" t="n">
        <f aca="false">IF(pos_xz&lt;L_rampe,Poids*COS(Beta),0)</f>
        <v>0</v>
      </c>
      <c r="V654" s="450" t="n">
        <f aca="false">Rho_moyen*(20000-Alt_rampe-pos_z)/(20000+Alt_rampe+pos_z)</f>
        <v>1.13119267910292</v>
      </c>
      <c r="W654" s="449" t="n">
        <f aca="false">1/2*Rho*Sref*Cx*vit_xz^2</f>
        <v>27.2813424783638</v>
      </c>
      <c r="X654" s="438"/>
      <c r="Y654" s="454" t="str">
        <f aca="false">IF(AND(pos_z&lt;=0,K653&gt;0),"Impact balistique","") &amp; IF(AND(H655&lt;0,vit_z&gt;=0),"Apogée","") &amp; IF(AND(Poussee=0,Q653&gt;0),"Fin de propulsion","") &amp; IF(AND(L655&gt;L_rampe,pos_xz&lt;=L_rampe),"Sortie de rampe","")</f>
        <v/>
      </c>
      <c r="Z654" s="455" t="str">
        <f aca="false">IF(ABS(t-T_para)&lt;pas/2,"Para","")</f>
        <v/>
      </c>
      <c r="AA654" s="456" t="str">
        <f aca="false">IF(ABS(t-T_satellite)&lt;pas/2,"Satellite","")</f>
        <v/>
      </c>
      <c r="AB654" s="444"/>
      <c r="AC654" s="452" t="n">
        <f aca="false">IF(ABS(t-ROUND(t,0))&lt;0.001,t,NA())</f>
        <v>29.0000000000001</v>
      </c>
      <c r="AD654" s="457" t="n">
        <f aca="false">IF(ABS(t-ROUND(t,0))&lt;0.001,pos_x,NA())</f>
        <v>872.213013897196</v>
      </c>
      <c r="AE654" s="458" t="e">
        <f aca="false">IF(t&lt;T_para, pos_z, NA())</f>
        <v>#N/A</v>
      </c>
      <c r="AF654" s="444"/>
      <c r="AG654" s="450" t="n">
        <f aca="false">IF(AND(L653&lt;L_rampe,Poussee&lt;Poids*SIN(M653)),0,(-W653+Poussee)/m-Poids*SIN(M653)/m)</f>
        <v>6.42410472781032</v>
      </c>
      <c r="AH654" s="449" t="n">
        <f aca="false">IF(AND(L653&lt;L_rampe,Poussee&lt;Poids*SIN(M653)), g*SIN(M653), (-W653+Poussee)/m)</f>
        <v>-3.11124106066803</v>
      </c>
    </row>
    <row r="655" customFormat="false" ht="12" hidden="false" customHeight="false" outlineLevel="0" collapsed="false">
      <c r="A655" s="448" t="n">
        <f aca="false">IF(B654+0.01&lt;=T_ini+ROUNDUP(Temps_fin_propu,0), 0.01, IF(K654&gt;0, 0.1, 0.0001))</f>
        <v>0.1</v>
      </c>
      <c r="B655" s="449" t="n">
        <f aca="false">B654+pas</f>
        <v>29.1000000000001</v>
      </c>
      <c r="C655" s="432"/>
      <c r="D655" s="450" t="n">
        <f aca="false">IF(AND(L654&lt;L_rampe,Poussee&lt;Poids*SIN(M654)),0,(-W654+Poussee)/m*COS(M654)-U654/m*SIN(M654))</f>
        <v>-0.734118139987221</v>
      </c>
      <c r="E655" s="451" t="n">
        <f aca="false">IF(AND(L654&lt;L_rampe,Poussee&lt;Poids*SIN(M654)),0,(-W654+Poussee)/m*SIN(M654)+U654/m*COS(M654)-Poids/m)</f>
        <v>-6.74346516519872</v>
      </c>
      <c r="F655" s="449" t="n">
        <f aca="false">SQRT(acc_x^2+acc_z^2)</f>
        <v>6.78330685416094</v>
      </c>
      <c r="G655" s="450" t="n">
        <f aca="false">G654+acc_x*pas</f>
        <v>24.1738770410259</v>
      </c>
      <c r="H655" s="451" t="n">
        <f aca="false">H654+acc_z*pas</f>
        <v>-101.95934667292</v>
      </c>
      <c r="I655" s="449" t="n">
        <f aca="false">SQRT(vit_x^2+vit_z^2)</f>
        <v>104.785899362287</v>
      </c>
      <c r="J655" s="450" t="n">
        <f aca="false">J654+0.5*(vit_x+G654)*pas*(K654&gt;=0)</f>
        <v>874.634072191998</v>
      </c>
      <c r="K655" s="451" t="n">
        <f aca="false">K654+0.5*(vit_z+H654)*pas</f>
        <v>786.099665050926</v>
      </c>
      <c r="L655" s="449" t="n">
        <f aca="false">SQRT(pos_x^2+pos_z^2)</f>
        <v>1175.98360687228</v>
      </c>
      <c r="M655" s="450" t="n">
        <f aca="false">IF(AND(L654&gt;L_rampe,G655&gt;0),ATAN2(G655,H655),$M$4)</f>
        <v>-1.33800155441525</v>
      </c>
      <c r="N655" s="449" t="n">
        <f aca="false">DEGREES(Beta)</f>
        <v>-76.6618420499377</v>
      </c>
      <c r="O655" s="438"/>
      <c r="P655" s="452" t="n">
        <f aca="false">MATCH(t-pas/2-T_ini,CdP_t)</f>
        <v>23</v>
      </c>
      <c r="Q655" s="449" t="n">
        <f aca="false">(INDEX(CdP,2,i_P+1)-INDEX(CdP,2,i_P+0))/(INDEX(CdP,1,i_P+1)-INDEX(CdP,1,i_P+0))*(t-pas/2-T_ini-INDEX(CdP,1,i_P+0))+INDEX(CdP,2,i_P+0)</f>
        <v>0</v>
      </c>
      <c r="R655" s="450" t="n">
        <f aca="false">Poussee/(g*ISP)</f>
        <v>0</v>
      </c>
      <c r="S655" s="451" t="n">
        <f aca="false">S654-Débit*pas</f>
        <v>8.652</v>
      </c>
      <c r="T655" s="449" t="n">
        <f aca="false">m*g</f>
        <v>84.87612</v>
      </c>
      <c r="U655" s="453" t="n">
        <f aca="false">IF(pos_xz&lt;L_rampe,Poids*COS(Beta),0)</f>
        <v>0</v>
      </c>
      <c r="V655" s="450" t="n">
        <f aca="false">Rho_moyen*(20000-Alt_rampe-pos_z)/(20000+Alt_rampe+pos_z)</f>
        <v>1.13234460959922</v>
      </c>
      <c r="W655" s="449" t="n">
        <f aca="false">1/2*Rho*Sref*Cx*vit_xz^2</f>
        <v>27.6452514497642</v>
      </c>
      <c r="X655" s="438"/>
      <c r="Y655" s="454" t="str">
        <f aca="false">IF(AND(pos_z&lt;=0,K654&gt;0),"Impact balistique","") &amp; IF(AND(H656&lt;0,vit_z&gt;=0),"Apogée","") &amp; IF(AND(Poussee=0,Q654&gt;0),"Fin de propulsion","") &amp; IF(AND(L656&gt;L_rampe,pos_xz&lt;=L_rampe),"Sortie de rampe","")</f>
        <v/>
      </c>
      <c r="Z655" s="455" t="str">
        <f aca="false">IF(ABS(t-T_para)&lt;pas/2,"Para","")</f>
        <v/>
      </c>
      <c r="AA655" s="456" t="str">
        <f aca="false">IF(ABS(t-T_satellite)&lt;pas/2,"Satellite","")</f>
        <v/>
      </c>
      <c r="AB655" s="444"/>
      <c r="AC655" s="452" t="e">
        <f aca="false">IF(ABS(t-ROUND(t,0))&lt;0.001,t,NA())</f>
        <v>#N/A</v>
      </c>
      <c r="AD655" s="457" t="e">
        <f aca="false">IF(ABS(t-ROUND(t,0))&lt;0.001,pos_x,NA())</f>
        <v>#N/A</v>
      </c>
      <c r="AE655" s="458" t="e">
        <f aca="false">IF(t&lt;T_para, pos_z, NA())</f>
        <v>#N/A</v>
      </c>
      <c r="AF655" s="444"/>
      <c r="AG655" s="450" t="n">
        <f aca="false">IF(AND(L654&lt;L_rampe,Poussee&lt;Poids*SIN(M654)),0,(-W654+Poussee)/m-Poids*SIN(M654)/m)</f>
        <v>6.38724078441162</v>
      </c>
      <c r="AH655" s="449" t="n">
        <f aca="false">IF(AND(L654&lt;L_rampe,Poussee&lt;Poids*SIN(M654)), g*SIN(M654), (-W654+Poussee)/m)</f>
        <v>-3.15318336550668</v>
      </c>
    </row>
    <row r="656" customFormat="false" ht="12" hidden="false" customHeight="false" outlineLevel="0" collapsed="false">
      <c r="A656" s="448" t="n">
        <f aca="false">IF(B655+0.01&lt;=T_ini+ROUNDUP(Temps_fin_propu,0), 0.01, IF(K655&gt;0, 0.1, 0.0001))</f>
        <v>0.1</v>
      </c>
      <c r="B656" s="449" t="n">
        <f aca="false">B655+pas</f>
        <v>29.2000000000001</v>
      </c>
      <c r="C656" s="432"/>
      <c r="D656" s="450" t="n">
        <f aca="false">IF(AND(L655&lt;L_rampe,Poussee&lt;Poids*SIN(M655)),0,(-W655+Poussee)/m*COS(M655)-U655/m*SIN(M655))</f>
        <v>-0.737135788812559</v>
      </c>
      <c r="E656" s="451" t="n">
        <f aca="false">IF(AND(L655&lt;L_rampe,Poussee&lt;Poids*SIN(M655)),0,(-W655+Poussee)/m*SIN(M655)+U655/m*COS(M655)-Poids/m)</f>
        <v>-6.70094623468944</v>
      </c>
      <c r="F656" s="449" t="n">
        <f aca="false">SQRT(acc_x^2+acc_z^2)</f>
        <v>6.74136852659361</v>
      </c>
      <c r="G656" s="450" t="n">
        <f aca="false">G655+acc_x*pas</f>
        <v>24.1001634621447</v>
      </c>
      <c r="H656" s="451" t="n">
        <f aca="false">H655+acc_z*pas</f>
        <v>-102.629441296389</v>
      </c>
      <c r="I656" s="449" t="n">
        <f aca="false">SQRT(vit_x^2+vit_z^2)</f>
        <v>105.421155845073</v>
      </c>
      <c r="J656" s="450" t="n">
        <f aca="false">J655+0.5*(vit_x+G655)*pas*(K655&gt;=0)</f>
        <v>877.047774217157</v>
      </c>
      <c r="K656" s="451" t="n">
        <f aca="false">K655+0.5*(vit_z+H655)*pas</f>
        <v>775.870225652461</v>
      </c>
      <c r="L656" s="449" t="n">
        <f aca="false">SQRT(pos_x^2+pos_z^2)</f>
        <v>1170.97711562322</v>
      </c>
      <c r="M656" s="450" t="n">
        <f aca="false">IF(AND(L655&gt;L_rampe,G656&gt;0),ATAN2(G656,H656),$M$4)</f>
        <v>-1.34014832200962</v>
      </c>
      <c r="N656" s="449" t="n">
        <f aca="false">DEGREES(Beta)</f>
        <v>-76.7848427726906</v>
      </c>
      <c r="O656" s="438"/>
      <c r="P656" s="452" t="n">
        <f aca="false">MATCH(t-pas/2-T_ini,CdP_t)</f>
        <v>23</v>
      </c>
      <c r="Q656" s="449" t="n">
        <f aca="false">(INDEX(CdP,2,i_P+1)-INDEX(CdP,2,i_P+0))/(INDEX(CdP,1,i_P+1)-INDEX(CdP,1,i_P+0))*(t-pas/2-T_ini-INDEX(CdP,1,i_P+0))+INDEX(CdP,2,i_P+0)</f>
        <v>0</v>
      </c>
      <c r="R656" s="450" t="n">
        <f aca="false">Poussee/(g*ISP)</f>
        <v>0</v>
      </c>
      <c r="S656" s="451" t="n">
        <f aca="false">S655-Débit*pas</f>
        <v>8.652</v>
      </c>
      <c r="T656" s="449" t="n">
        <f aca="false">m*g</f>
        <v>84.87612</v>
      </c>
      <c r="U656" s="453" t="n">
        <f aca="false">IF(pos_xz&lt;L_rampe,Poids*COS(Beta),0)</f>
        <v>0</v>
      </c>
      <c r="V656" s="450" t="n">
        <f aca="false">Rho_moyen*(20000-Alt_rampe-pos_z)/(20000+Alt_rampe+pos_z)</f>
        <v>1.13350529810773</v>
      </c>
      <c r="W656" s="449" t="n">
        <f aca="false">1/2*Rho*Sref*Cx*vit_xz^2</f>
        <v>28.0101438011019</v>
      </c>
      <c r="X656" s="438"/>
      <c r="Y656" s="454" t="str">
        <f aca="false">IF(AND(pos_z&lt;=0,K655&gt;0),"Impact balistique","") &amp; IF(AND(H657&lt;0,vit_z&gt;=0),"Apogée","") &amp; IF(AND(Poussee=0,Q655&gt;0),"Fin de propulsion","") &amp; IF(AND(L657&gt;L_rampe,pos_xz&lt;=L_rampe),"Sortie de rampe","")</f>
        <v/>
      </c>
      <c r="Z656" s="455" t="str">
        <f aca="false">IF(ABS(t-T_para)&lt;pas/2,"Para","")</f>
        <v/>
      </c>
      <c r="AA656" s="456" t="str">
        <f aca="false">IF(ABS(t-T_satellite)&lt;pas/2,"Satellite","")</f>
        <v/>
      </c>
      <c r="AB656" s="444"/>
      <c r="AC656" s="452" t="e">
        <f aca="false">IF(ABS(t-ROUND(t,0))&lt;0.001,t,NA())</f>
        <v>#N/A</v>
      </c>
      <c r="AD656" s="457" t="e">
        <f aca="false">IF(ABS(t-ROUND(t,0))&lt;0.001,pos_x,NA())</f>
        <v>#N/A</v>
      </c>
      <c r="AE656" s="458" t="e">
        <f aca="false">IF(t&lt;T_para, pos_z, NA())</f>
        <v>#N/A</v>
      </c>
      <c r="AF656" s="444"/>
      <c r="AG656" s="450" t="n">
        <f aca="false">IF(AND(L655&lt;L_rampe,Poussee&lt;Poids*SIN(M655)),0,(-W655+Poussee)/m-Poids*SIN(M655)/m)</f>
        <v>6.35013560324021</v>
      </c>
      <c r="AH656" s="449" t="n">
        <f aca="false">IF(AND(L655&lt;L_rampe,Poussee&lt;Poids*SIN(M655)), g*SIN(M655), (-W655+Poussee)/m)</f>
        <v>-3.19524404181279</v>
      </c>
    </row>
    <row r="657" customFormat="false" ht="12" hidden="false" customHeight="false" outlineLevel="0" collapsed="false">
      <c r="A657" s="448" t="n">
        <f aca="false">IF(B656+0.01&lt;=T_ini+ROUNDUP(Temps_fin_propu,0), 0.01, IF(K656&gt;0, 0.1, 0.0001))</f>
        <v>0.1</v>
      </c>
      <c r="B657" s="449" t="n">
        <f aca="false">B656+pas</f>
        <v>29.3000000000001</v>
      </c>
      <c r="C657" s="432"/>
      <c r="D657" s="450" t="n">
        <f aca="false">IF(AND(L656&lt;L_rampe,Poussee&lt;Poids*SIN(M656)),0,(-W656+Poussee)/m*COS(M656)-U656/m*SIN(M656))</f>
        <v>-0.740101087535972</v>
      </c>
      <c r="E657" s="451" t="n">
        <f aca="false">IF(AND(L656&lt;L_rampe,Poussee&lt;Poids*SIN(M656)),0,(-W656+Poussee)/m*SIN(M656)+U656/m*COS(M656)-Poids/m)</f>
        <v>-6.65831344667123</v>
      </c>
      <c r="F657" s="449" t="n">
        <f aca="false">SQRT(acc_x^2+acc_z^2)</f>
        <v>6.69931993368691</v>
      </c>
      <c r="G657" s="450" t="n">
        <f aca="false">G656+acc_x*pas</f>
        <v>24.0261533533911</v>
      </c>
      <c r="H657" s="451" t="n">
        <f aca="false">H656+acc_z*pas</f>
        <v>-103.295272641056</v>
      </c>
      <c r="I657" s="449" t="n">
        <f aca="false">SQRT(vit_x^2+vit_z^2)</f>
        <v>106.052672738365</v>
      </c>
      <c r="J657" s="450" t="n">
        <f aca="false">J656+0.5*(vit_x+G656)*pas*(K656&gt;=0)</f>
        <v>879.454090057934</v>
      </c>
      <c r="K657" s="451" t="n">
        <f aca="false">K656+0.5*(vit_z+H656)*pas</f>
        <v>765.573989955588</v>
      </c>
      <c r="L657" s="449" t="n">
        <f aca="false">SQRT(pos_x^2+pos_z^2)</f>
        <v>1165.99443850138</v>
      </c>
      <c r="M657" s="450" t="n">
        <f aca="false">IF(AND(L656&gt;L_rampe,G657&gt;0),ATAN2(G657,H657),$M$4)</f>
        <v>-1.3422629789773</v>
      </c>
      <c r="N657" s="449" t="n">
        <f aca="false">DEGREES(Beta)</f>
        <v>-76.9060036920563</v>
      </c>
      <c r="O657" s="438"/>
      <c r="P657" s="452" t="n">
        <f aca="false">MATCH(t-pas/2-T_ini,CdP_t)</f>
        <v>23</v>
      </c>
      <c r="Q657" s="449" t="n">
        <f aca="false">(INDEX(CdP,2,i_P+1)-INDEX(CdP,2,i_P+0))/(INDEX(CdP,1,i_P+1)-INDEX(CdP,1,i_P+0))*(t-pas/2-T_ini-INDEX(CdP,1,i_P+0))+INDEX(CdP,2,i_P+0)</f>
        <v>0</v>
      </c>
      <c r="R657" s="450" t="n">
        <f aca="false">Poussee/(g*ISP)</f>
        <v>0</v>
      </c>
      <c r="S657" s="451" t="n">
        <f aca="false">S656-Débit*pas</f>
        <v>8.652</v>
      </c>
      <c r="T657" s="449" t="n">
        <f aca="false">m*g</f>
        <v>84.87612</v>
      </c>
      <c r="U657" s="453" t="n">
        <f aca="false">IF(pos_xz&lt;L_rampe,Poids*COS(Beta),0)</f>
        <v>0</v>
      </c>
      <c r="V657" s="450" t="n">
        <f aca="false">Rho_moyen*(20000-Alt_rampe-pos_z)/(20000+Alt_rampe+pos_z)</f>
        <v>1.13467472046289</v>
      </c>
      <c r="W657" s="449" t="n">
        <f aca="false">1/2*Rho*Sref*Cx*vit_xz^2</f>
        <v>28.3759788915709</v>
      </c>
      <c r="X657" s="438"/>
      <c r="Y657" s="454" t="str">
        <f aca="false">IF(AND(pos_z&lt;=0,K656&gt;0),"Impact balistique","") &amp; IF(AND(H658&lt;0,vit_z&gt;=0),"Apogée","") &amp; IF(AND(Poussee=0,Q656&gt;0),"Fin de propulsion","") &amp; IF(AND(L658&gt;L_rampe,pos_xz&lt;=L_rampe),"Sortie de rampe","")</f>
        <v/>
      </c>
      <c r="Z657" s="455" t="str">
        <f aca="false">IF(ABS(t-T_para)&lt;pas/2,"Para","")</f>
        <v/>
      </c>
      <c r="AA657" s="456" t="str">
        <f aca="false">IF(ABS(t-T_satellite)&lt;pas/2,"Satellite","")</f>
        <v/>
      </c>
      <c r="AB657" s="444"/>
      <c r="AC657" s="452" t="e">
        <f aca="false">IF(ABS(t-ROUND(t,0))&lt;0.001,t,NA())</f>
        <v>#N/A</v>
      </c>
      <c r="AD657" s="457" t="e">
        <f aca="false">IF(ABS(t-ROUND(t,0))&lt;0.001,pos_x,NA())</f>
        <v>#N/A</v>
      </c>
      <c r="AE657" s="458" t="e">
        <f aca="false">IF(t&lt;T_para, pos_z, NA())</f>
        <v>#N/A</v>
      </c>
      <c r="AF657" s="444"/>
      <c r="AG657" s="450" t="n">
        <f aca="false">IF(AND(L656&lt;L_rampe,Poussee&lt;Poids*SIN(M656)),0,(-W656+Poussee)/m-Poids*SIN(M656)/m)</f>
        <v>6.31279771583989</v>
      </c>
      <c r="AH657" s="449" t="n">
        <f aca="false">IF(AND(L656&lt;L_rampe,Poussee&lt;Poids*SIN(M656)), g*SIN(M656), (-W656+Poussee)/m)</f>
        <v>-3.23741837738117</v>
      </c>
    </row>
    <row r="658" customFormat="false" ht="12" hidden="false" customHeight="false" outlineLevel="0" collapsed="false">
      <c r="A658" s="448" t="n">
        <f aca="false">IF(B657+0.01&lt;=T_ini+ROUNDUP(Temps_fin_propu,0), 0.01, IF(K657&gt;0, 0.1, 0.0001))</f>
        <v>0.1</v>
      </c>
      <c r="B658" s="449" t="n">
        <f aca="false">B657+pas</f>
        <v>29.4000000000001</v>
      </c>
      <c r="C658" s="432"/>
      <c r="D658" s="450" t="n">
        <f aca="false">IF(AND(L657&lt;L_rampe,Poussee&lt;Poids*SIN(M657)),0,(-W657+Poussee)/m*COS(M657)-U657/m*SIN(M657))</f>
        <v>-0.743013951094401</v>
      </c>
      <c r="E658" s="451" t="n">
        <f aca="false">IF(AND(L657&lt;L_rampe,Poussee&lt;Poids*SIN(M657)),0,(-W657+Poussee)/m*SIN(M657)+U657/m*COS(M657)-Poids/m)</f>
        <v>-6.61557151511014</v>
      </c>
      <c r="F658" s="449" t="n">
        <f aca="false">SQRT(acc_x^2+acc_z^2)</f>
        <v>6.65716577854702</v>
      </c>
      <c r="G658" s="450" t="n">
        <f aca="false">G657+acc_x*pas</f>
        <v>23.9518519582816</v>
      </c>
      <c r="H658" s="451" t="n">
        <f aca="false">H657+acc_z*pas</f>
        <v>-103.956829792567</v>
      </c>
      <c r="I658" s="449" t="n">
        <f aca="false">SQRT(vit_x^2+vit_z^2)</f>
        <v>106.680427786695</v>
      </c>
      <c r="J658" s="450" t="n">
        <f aca="false">J657+0.5*(vit_x+G657)*pas*(K657&gt;=0)</f>
        <v>881.852990323517</v>
      </c>
      <c r="K658" s="451" t="n">
        <f aca="false">K657+0.5*(vit_z+H657)*pas</f>
        <v>755.211384833907</v>
      </c>
      <c r="L658" s="449" t="n">
        <f aca="false">SQRT(pos_x^2+pos_z^2)</f>
        <v>1161.03786860088</v>
      </c>
      <c r="M658" s="450" t="n">
        <f aca="false">IF(AND(L657&gt;L_rampe,G658&gt;0),ATAN2(G658,H658),$M$4)</f>
        <v>-1.34434625684323</v>
      </c>
      <c r="N658" s="449" t="n">
        <f aca="false">DEGREES(Beta)</f>
        <v>-77.0253667213272</v>
      </c>
      <c r="O658" s="438"/>
      <c r="P658" s="452" t="n">
        <f aca="false">MATCH(t-pas/2-T_ini,CdP_t)</f>
        <v>23</v>
      </c>
      <c r="Q658" s="449" t="n">
        <f aca="false">(INDEX(CdP,2,i_P+1)-INDEX(CdP,2,i_P+0))/(INDEX(CdP,1,i_P+1)-INDEX(CdP,1,i_P+0))*(t-pas/2-T_ini-INDEX(CdP,1,i_P+0))+INDEX(CdP,2,i_P+0)</f>
        <v>0</v>
      </c>
      <c r="R658" s="450" t="n">
        <f aca="false">Poussee/(g*ISP)</f>
        <v>0</v>
      </c>
      <c r="S658" s="451" t="n">
        <f aca="false">S657-Débit*pas</f>
        <v>8.652</v>
      </c>
      <c r="T658" s="449" t="n">
        <f aca="false">m*g</f>
        <v>84.87612</v>
      </c>
      <c r="U658" s="453" t="n">
        <f aca="false">IF(pos_xz&lt;L_rampe,Poids*COS(Beta),0)</f>
        <v>0</v>
      </c>
      <c r="V658" s="450" t="n">
        <f aca="false">Rho_moyen*(20000-Alt_rampe-pos_z)/(20000+Alt_rampe+pos_z)</f>
        <v>1.13585285239759</v>
      </c>
      <c r="W658" s="449" t="n">
        <f aca="false">1/2*Rho*Sref*Cx*vit_xz^2</f>
        <v>28.742716217033</v>
      </c>
      <c r="X658" s="438"/>
      <c r="Y658" s="454" t="str">
        <f aca="false">IF(AND(pos_z&lt;=0,K657&gt;0),"Impact balistique","") &amp; IF(AND(H659&lt;0,vit_z&gt;=0),"Apogée","") &amp; IF(AND(Poussee=0,Q657&gt;0),"Fin de propulsion","") &amp; IF(AND(L659&gt;L_rampe,pos_xz&lt;=L_rampe),"Sortie de rampe","")</f>
        <v/>
      </c>
      <c r="Z658" s="455" t="str">
        <f aca="false">IF(ABS(t-T_para)&lt;pas/2,"Para","")</f>
        <v/>
      </c>
      <c r="AA658" s="456" t="str">
        <f aca="false">IF(ABS(t-T_satellite)&lt;pas/2,"Satellite","")</f>
        <v/>
      </c>
      <c r="AB658" s="444"/>
      <c r="AC658" s="452" t="e">
        <f aca="false">IF(ABS(t-ROUND(t,0))&lt;0.001,t,NA())</f>
        <v>#N/A</v>
      </c>
      <c r="AD658" s="457" t="e">
        <f aca="false">IF(ABS(t-ROUND(t,0))&lt;0.001,pos_x,NA())</f>
        <v>#N/A</v>
      </c>
      <c r="AE658" s="458" t="e">
        <f aca="false">IF(t&lt;T_para, pos_z, NA())</f>
        <v>#N/A</v>
      </c>
      <c r="AF658" s="444"/>
      <c r="AG658" s="450" t="n">
        <f aca="false">IF(AND(L657&lt;L_rampe,Poussee&lt;Poids*SIN(M657)),0,(-W657+Poussee)/m-Poids*SIN(M657)/m)</f>
        <v>6.27523549395897</v>
      </c>
      <c r="AH658" s="449" t="n">
        <f aca="false">IF(AND(L657&lt;L_rampe,Poussee&lt;Poids*SIN(M657)), g*SIN(M657), (-W657+Poussee)/m)</f>
        <v>-3.27970167493884</v>
      </c>
    </row>
    <row r="659" customFormat="false" ht="12" hidden="false" customHeight="false" outlineLevel="0" collapsed="false">
      <c r="A659" s="448" t="n">
        <f aca="false">IF(B658+0.01&lt;=T_ini+ROUNDUP(Temps_fin_propu,0), 0.01, IF(K658&gt;0, 0.1, 0.0001))</f>
        <v>0.1</v>
      </c>
      <c r="B659" s="449" t="n">
        <f aca="false">B658+pas</f>
        <v>29.5000000000001</v>
      </c>
      <c r="C659" s="432"/>
      <c r="D659" s="450" t="n">
        <f aca="false">IF(AND(L658&lt;L_rampe,Poussee&lt;Poids*SIN(M658)),0,(-W658+Poussee)/m*COS(M658)-U658/m*SIN(M658))</f>
        <v>-0.745874305447728</v>
      </c>
      <c r="E659" s="451" t="n">
        <f aca="false">IF(AND(L658&lt;L_rampe,Poussee&lt;Poids*SIN(M658)),0,(-W658+Poussee)/m*SIN(M658)+U658/m*COS(M658)-Poids/m)</f>
        <v>-6.57272513903591</v>
      </c>
      <c r="F659" s="449" t="n">
        <f aca="false">SQRT(acc_x^2+acc_z^2)</f>
        <v>6.61491075017961</v>
      </c>
      <c r="G659" s="450" t="n">
        <f aca="false">G658+acc_x*pas</f>
        <v>23.8772645277369</v>
      </c>
      <c r="H659" s="451" t="n">
        <f aca="false">H658+acc_z*pas</f>
        <v>-104.614102306471</v>
      </c>
      <c r="I659" s="449" t="n">
        <f aca="false">SQRT(vit_x^2+vit_z^2)</f>
        <v>107.304399549675</v>
      </c>
      <c r="J659" s="450" t="n">
        <f aca="false">J658+0.5*(vit_x+G658)*pas*(K658&gt;=0)</f>
        <v>884.244446147818</v>
      </c>
      <c r="K659" s="451" t="n">
        <f aca="false">K658+0.5*(vit_z+H658)*pas</f>
        <v>744.782838228955</v>
      </c>
      <c r="L659" s="449" t="n">
        <f aca="false">SQRT(pos_x^2+pos_z^2)</f>
        <v>1156.1097338331</v>
      </c>
      <c r="M659" s="450" t="n">
        <f aca="false">IF(AND(L658&gt;L_rampe,G659&gt;0),ATAN2(G659,H659),$M$4)</f>
        <v>-1.34639886539438</v>
      </c>
      <c r="N659" s="449" t="n">
        <f aca="false">DEGREES(Beta)</f>
        <v>-77.1429725283005</v>
      </c>
      <c r="O659" s="438"/>
      <c r="P659" s="452" t="n">
        <f aca="false">MATCH(t-pas/2-T_ini,CdP_t)</f>
        <v>23</v>
      </c>
      <c r="Q659" s="449" t="n">
        <f aca="false">(INDEX(CdP,2,i_P+1)-INDEX(CdP,2,i_P+0))/(INDEX(CdP,1,i_P+1)-INDEX(CdP,1,i_P+0))*(t-pas/2-T_ini-INDEX(CdP,1,i_P+0))+INDEX(CdP,2,i_P+0)</f>
        <v>0</v>
      </c>
      <c r="R659" s="450" t="n">
        <f aca="false">Poussee/(g*ISP)</f>
        <v>0</v>
      </c>
      <c r="S659" s="451" t="n">
        <f aca="false">S658-Débit*pas</f>
        <v>8.652</v>
      </c>
      <c r="T659" s="449" t="n">
        <f aca="false">m*g</f>
        <v>84.87612</v>
      </c>
      <c r="U659" s="453" t="n">
        <f aca="false">IF(pos_xz&lt;L_rampe,Poids*COS(Beta),0)</f>
        <v>0</v>
      </c>
      <c r="V659" s="450" t="n">
        <f aca="false">Rho_moyen*(20000-Alt_rampe-pos_z)/(20000+Alt_rampe+pos_z)</f>
        <v>1.13703966954533</v>
      </c>
      <c r="W659" s="449" t="n">
        <f aca="false">1/2*Rho*Sref*Cx*vit_xz^2</f>
        <v>29.1103154173994</v>
      </c>
      <c r="X659" s="438"/>
      <c r="Y659" s="454" t="str">
        <f aca="false">IF(AND(pos_z&lt;=0,K658&gt;0),"Impact balistique","") &amp; IF(AND(H660&lt;0,vit_z&gt;=0),"Apogée","") &amp; IF(AND(Poussee=0,Q658&gt;0),"Fin de propulsion","") &amp; IF(AND(L660&gt;L_rampe,pos_xz&lt;=L_rampe),"Sortie de rampe","")</f>
        <v/>
      </c>
      <c r="Z659" s="455" t="str">
        <f aca="false">IF(ABS(t-T_para)&lt;pas/2,"Para","")</f>
        <v/>
      </c>
      <c r="AA659" s="456" t="str">
        <f aca="false">IF(ABS(t-T_satellite)&lt;pas/2,"Satellite","")</f>
        <v/>
      </c>
      <c r="AB659" s="444"/>
      <c r="AC659" s="452" t="e">
        <f aca="false">IF(ABS(t-ROUND(t,0))&lt;0.001,t,NA())</f>
        <v>#N/A</v>
      </c>
      <c r="AD659" s="457" t="e">
        <f aca="false">IF(ABS(t-ROUND(t,0))&lt;0.001,pos_x,NA())</f>
        <v>#N/A</v>
      </c>
      <c r="AE659" s="458" t="e">
        <f aca="false">IF(t&lt;T_para, pos_z, NA())</f>
        <v>#N/A</v>
      </c>
      <c r="AF659" s="444"/>
      <c r="AG659" s="450" t="n">
        <f aca="false">IF(AND(L658&lt;L_rampe,Poussee&lt;Poids*SIN(M658)),0,(-W658+Poussee)/m-Poids*SIN(M658)/m)</f>
        <v>6.23745715511185</v>
      </c>
      <c r="AH659" s="449" t="n">
        <f aca="false">IF(AND(L658&lt;L_rampe,Poussee&lt;Poids*SIN(M658)), g*SIN(M658), (-W658+Poussee)/m)</f>
        <v>-3.3220892530089</v>
      </c>
    </row>
    <row r="660" customFormat="false" ht="12" hidden="false" customHeight="false" outlineLevel="0" collapsed="false">
      <c r="A660" s="448" t="n">
        <f aca="false">IF(B659+0.01&lt;=T_ini+ROUNDUP(Temps_fin_propu,0), 0.01, IF(K659&gt;0, 0.1, 0.0001))</f>
        <v>0.1</v>
      </c>
      <c r="B660" s="449" t="n">
        <f aca="false">B659+pas</f>
        <v>29.6000000000001</v>
      </c>
      <c r="C660" s="432"/>
      <c r="D660" s="450" t="n">
        <f aca="false">IF(AND(L659&lt;L_rampe,Poussee&lt;Poids*SIN(M659)),0,(-W659+Poussee)/m*COS(M659)-U659/m*SIN(M659))</f>
        <v>-0.748682087410394</v>
      </c>
      <c r="E660" s="451" t="n">
        <f aca="false">IF(AND(L659&lt;L_rampe,Poussee&lt;Poids*SIN(M659)),0,(-W659+Poussee)/m*SIN(M659)+U659/m*COS(M659)-Poids/m)</f>
        <v>-6.52977900163605</v>
      </c>
      <c r="F660" s="449" t="n">
        <f aca="false">SQRT(acc_x^2+acc_z^2)</f>
        <v>6.57255952260733</v>
      </c>
      <c r="G660" s="450" t="n">
        <f aca="false">G659+acc_x*pas</f>
        <v>23.8023963189958</v>
      </c>
      <c r="H660" s="451" t="n">
        <f aca="false">H659+acc_z*pas</f>
        <v>-105.267080206635</v>
      </c>
      <c r="I660" s="449" t="n">
        <f aca="false">SQRT(vit_x^2+vit_z^2)</f>
        <v>107.924567387396</v>
      </c>
      <c r="J660" s="450" t="n">
        <f aca="false">J659+0.5*(vit_x+G659)*pas*(K659&gt;=0)</f>
        <v>886.628429190155</v>
      </c>
      <c r="K660" s="451" t="n">
        <f aca="false">K659+0.5*(vit_z+H659)*pas</f>
        <v>734.2887791033</v>
      </c>
      <c r="L660" s="449" t="n">
        <f aca="false">SQRT(pos_x^2+pos_z^2)</f>
        <v>1151.21239680835</v>
      </c>
      <c r="M660" s="450" t="n">
        <f aca="false">IF(AND(L659&gt;L_rampe,G660&gt;0),ATAN2(G660,H660),$M$4)</f>
        <v>-1.3484214934602</v>
      </c>
      <c r="N660" s="449" t="n">
        <f aca="false">DEGREES(Beta)</f>
        <v>-77.2588605799968</v>
      </c>
      <c r="O660" s="438"/>
      <c r="P660" s="452" t="n">
        <f aca="false">MATCH(t-pas/2-T_ini,CdP_t)</f>
        <v>23</v>
      </c>
      <c r="Q660" s="449" t="n">
        <f aca="false">(INDEX(CdP,2,i_P+1)-INDEX(CdP,2,i_P+0))/(INDEX(CdP,1,i_P+1)-INDEX(CdP,1,i_P+0))*(t-pas/2-T_ini-INDEX(CdP,1,i_P+0))+INDEX(CdP,2,i_P+0)</f>
        <v>0</v>
      </c>
      <c r="R660" s="450" t="n">
        <f aca="false">Poussee/(g*ISP)</f>
        <v>0</v>
      </c>
      <c r="S660" s="451" t="n">
        <f aca="false">S659-Débit*pas</f>
        <v>8.652</v>
      </c>
      <c r="T660" s="449" t="n">
        <f aca="false">m*g</f>
        <v>84.87612</v>
      </c>
      <c r="U660" s="453" t="n">
        <f aca="false">IF(pos_xz&lt;L_rampe,Poids*COS(Beta),0)</f>
        <v>0</v>
      </c>
      <c r="V660" s="450" t="n">
        <f aca="false">Rho_moyen*(20000-Alt_rampe-pos_z)/(20000+Alt_rampe+pos_z)</f>
        <v>1.13823514744252</v>
      </c>
      <c r="W660" s="449" t="n">
        <f aca="false">1/2*Rho*Sref*Cx*vit_xz^2</f>
        <v>29.4787362839181</v>
      </c>
      <c r="X660" s="438"/>
      <c r="Y660" s="454" t="str">
        <f aca="false">IF(AND(pos_z&lt;=0,K659&gt;0),"Impact balistique","") &amp; IF(AND(H661&lt;0,vit_z&gt;=0),"Apogée","") &amp; IF(AND(Poussee=0,Q659&gt;0),"Fin de propulsion","") &amp; IF(AND(L661&gt;L_rampe,pos_xz&lt;=L_rampe),"Sortie de rampe","")</f>
        <v/>
      </c>
      <c r="Z660" s="455" t="str">
        <f aca="false">IF(ABS(t-T_para)&lt;pas/2,"Para","")</f>
        <v/>
      </c>
      <c r="AA660" s="456" t="str">
        <f aca="false">IF(ABS(t-T_satellite)&lt;pas/2,"Satellite","")</f>
        <v/>
      </c>
      <c r="AB660" s="444"/>
      <c r="AC660" s="452" t="e">
        <f aca="false">IF(ABS(t-ROUND(t,0))&lt;0.001,t,NA())</f>
        <v>#N/A</v>
      </c>
      <c r="AD660" s="457" t="e">
        <f aca="false">IF(ABS(t-ROUND(t,0))&lt;0.001,pos_x,NA())</f>
        <v>#N/A</v>
      </c>
      <c r="AE660" s="458" t="e">
        <f aca="false">IF(t&lt;T_para, pos_z, NA())</f>
        <v>#N/A</v>
      </c>
      <c r="AF660" s="444"/>
      <c r="AG660" s="450" t="n">
        <f aca="false">IF(AND(L659&lt;L_rampe,Poussee&lt;Poids*SIN(M659)),0,(-W659+Poussee)/m-Poids*SIN(M659)/m)</f>
        <v>6.19947076782779</v>
      </c>
      <c r="AH660" s="449" t="n">
        <f aca="false">IF(AND(L659&lt;L_rampe,Poussee&lt;Poids*SIN(M659)), g*SIN(M659), (-W659+Poussee)/m)</f>
        <v>-3.36457644676369</v>
      </c>
    </row>
    <row r="661" customFormat="false" ht="12" hidden="false" customHeight="false" outlineLevel="0" collapsed="false">
      <c r="A661" s="448" t="n">
        <f aca="false">IF(B660+0.01&lt;=T_ini+ROUNDUP(Temps_fin_propu,0), 0.01, IF(K660&gt;0, 0.1, 0.0001))</f>
        <v>0.1</v>
      </c>
      <c r="B661" s="449" t="n">
        <f aca="false">B660+pas</f>
        <v>29.7000000000001</v>
      </c>
      <c r="C661" s="432"/>
      <c r="D661" s="450" t="n">
        <f aca="false">IF(AND(L660&lt;L_rampe,Poussee&lt;Poids*SIN(M660)),0,(-W660+Poussee)/m*COS(M660)-U660/m*SIN(M660))</f>
        <v>-0.751437244486044</v>
      </c>
      <c r="E661" s="451" t="n">
        <f aca="false">IF(AND(L660&lt;L_rampe,Poussee&lt;Poids*SIN(M660)),0,(-W660+Poussee)/m*SIN(M660)+U660/m*COS(M660)-Poids/m)</f>
        <v>-6.48673776936331</v>
      </c>
      <c r="F661" s="449" t="n">
        <f aca="false">SQRT(acc_x^2+acc_z^2)</f>
        <v>6.53011675400105</v>
      </c>
      <c r="G661" s="450" t="n">
        <f aca="false">G660+acc_x*pas</f>
        <v>23.7272525945472</v>
      </c>
      <c r="H661" s="451" t="n">
        <f aca="false">H660+acc_z*pas</f>
        <v>-105.915753983571</v>
      </c>
      <c r="I661" s="449" t="n">
        <f aca="false">SQRT(vit_x^2+vit_z^2)</f>
        <v>108.540911446301</v>
      </c>
      <c r="J661" s="450" t="n">
        <f aca="false">J660+0.5*(vit_x+G660)*pas*(K660&gt;=0)</f>
        <v>889.004911635832</v>
      </c>
      <c r="K661" s="451" t="n">
        <f aca="false">K660+0.5*(vit_z+H660)*pas</f>
        <v>723.72963739379</v>
      </c>
      <c r="L661" s="449" t="n">
        <f aca="false">SQRT(pos_x^2+pos_z^2)</f>
        <v>1146.34825465684</v>
      </c>
      <c r="M661" s="450" t="n">
        <f aca="false">IF(AND(L660&gt;L_rampe,G661&gt;0),ATAN2(G661,H661),$M$4)</f>
        <v>-1.35041480966063</v>
      </c>
      <c r="N661" s="449" t="n">
        <f aca="false">DEGREES(Beta)</f>
        <v>-77.3730691855166</v>
      </c>
      <c r="O661" s="438"/>
      <c r="P661" s="452" t="n">
        <f aca="false">MATCH(t-pas/2-T_ini,CdP_t)</f>
        <v>23</v>
      </c>
      <c r="Q661" s="449" t="n">
        <f aca="false">(INDEX(CdP,2,i_P+1)-INDEX(CdP,2,i_P+0))/(INDEX(CdP,1,i_P+1)-INDEX(CdP,1,i_P+0))*(t-pas/2-T_ini-INDEX(CdP,1,i_P+0))+INDEX(CdP,2,i_P+0)</f>
        <v>0</v>
      </c>
      <c r="R661" s="450" t="n">
        <f aca="false">Poussee/(g*ISP)</f>
        <v>0</v>
      </c>
      <c r="S661" s="451" t="n">
        <f aca="false">S660-Débit*pas</f>
        <v>8.652</v>
      </c>
      <c r="T661" s="449" t="n">
        <f aca="false">m*g</f>
        <v>84.87612</v>
      </c>
      <c r="U661" s="453" t="n">
        <f aca="false">IF(pos_xz&lt;L_rampe,Poids*COS(Beta),0)</f>
        <v>0</v>
      </c>
      <c r="V661" s="450" t="n">
        <f aca="false">Rho_moyen*(20000-Alt_rampe-pos_z)/(20000+Alt_rampe+pos_z)</f>
        <v>1.13943926153064</v>
      </c>
      <c r="W661" s="449" t="n">
        <f aca="false">1/2*Rho*Sref*Cx*vit_xz^2</f>
        <v>29.8479387663644</v>
      </c>
      <c r="X661" s="438"/>
      <c r="Y661" s="454" t="str">
        <f aca="false">IF(AND(pos_z&lt;=0,K660&gt;0),"Impact balistique","") &amp; IF(AND(H662&lt;0,vit_z&gt;=0),"Apogée","") &amp; IF(AND(Poussee=0,Q660&gt;0),"Fin de propulsion","") &amp; IF(AND(L662&gt;L_rampe,pos_xz&lt;=L_rampe),"Sortie de rampe","")</f>
        <v/>
      </c>
      <c r="Z661" s="455" t="str">
        <f aca="false">IF(ABS(t-T_para)&lt;pas/2,"Para","")</f>
        <v/>
      </c>
      <c r="AA661" s="456" t="str">
        <f aca="false">IF(ABS(t-T_satellite)&lt;pas/2,"Satellite","")</f>
        <v/>
      </c>
      <c r="AB661" s="444"/>
      <c r="AC661" s="452" t="e">
        <f aca="false">IF(ABS(t-ROUND(t,0))&lt;0.001,t,NA())</f>
        <v>#N/A</v>
      </c>
      <c r="AD661" s="457" t="e">
        <f aca="false">IF(ABS(t-ROUND(t,0))&lt;0.001,pos_x,NA())</f>
        <v>#N/A</v>
      </c>
      <c r="AE661" s="458" t="e">
        <f aca="false">IF(t&lt;T_para, pos_z, NA())</f>
        <v>#N/A</v>
      </c>
      <c r="AF661" s="444"/>
      <c r="AG661" s="450" t="n">
        <f aca="false">IF(AND(L660&lt;L_rampe,Poussee&lt;Poids*SIN(M660)),0,(-W660+Poussee)/m-Poids*SIN(M660)/m)</f>
        <v>6.16128425660494</v>
      </c>
      <c r="AH661" s="449" t="n">
        <f aca="false">IF(AND(L660&lt;L_rampe,Poussee&lt;Poids*SIN(M660)), g*SIN(M660), (-W660+Poussee)/m)</f>
        <v>-3.4071586088671</v>
      </c>
    </row>
    <row r="662" customFormat="false" ht="12" hidden="false" customHeight="false" outlineLevel="0" collapsed="false">
      <c r="A662" s="448" t="n">
        <f aca="false">IF(B661+0.01&lt;=T_ini+ROUNDUP(Temps_fin_propu,0), 0.01, IF(K661&gt;0, 0.1, 0.0001))</f>
        <v>0.1</v>
      </c>
      <c r="B662" s="449" t="n">
        <f aca="false">B661+pas</f>
        <v>29.8000000000001</v>
      </c>
      <c r="C662" s="432"/>
      <c r="D662" s="450" t="n">
        <f aca="false">IF(AND(L661&lt;L_rampe,Poussee&lt;Poids*SIN(M661)),0,(-W661+Poussee)/m*COS(M661)-U661/m*SIN(M661))</f>
        <v>-0.754139734704971</v>
      </c>
      <c r="E662" s="451" t="n">
        <f aca="false">IF(AND(L661&lt;L_rampe,Poussee&lt;Poids*SIN(M661)),0,(-W661+Poussee)/m*SIN(M661)+U661/m*COS(M661)-Poids/m)</f>
        <v>-6.44360609105652</v>
      </c>
      <c r="F662" s="449" t="n">
        <f aca="false">SQRT(acc_x^2+acc_z^2)</f>
        <v>6.48758708582487</v>
      </c>
      <c r="G662" s="450" t="n">
        <f aca="false">G661+acc_x*pas</f>
        <v>23.6518386210767</v>
      </c>
      <c r="H662" s="451" t="n">
        <f aca="false">H661+acc_z*pas</f>
        <v>-106.560114592676</v>
      </c>
      <c r="I662" s="449" t="n">
        <f aca="false">SQRT(vit_x^2+vit_z^2)</f>
        <v>109.153412645514</v>
      </c>
      <c r="J662" s="450" t="n">
        <f aca="false">J661+0.5*(vit_x+G661)*pas*(K661&gt;=0)</f>
        <v>891.373866196613</v>
      </c>
      <c r="K662" s="451" t="n">
        <f aca="false">K661+0.5*(vit_z+H661)*pas</f>
        <v>713.105843964977</v>
      </c>
      <c r="L662" s="449" t="n">
        <f aca="false">SQRT(pos_x^2+pos_z^2)</f>
        <v>1141.51973878479</v>
      </c>
      <c r="M662" s="450" t="n">
        <f aca="false">IF(AND(L661&gt;L_rampe,G662&gt;0),ATAN2(G662,H662),$M$4)</f>
        <v>-1.35237946312313</v>
      </c>
      <c r="N662" s="449" t="n">
        <f aca="false">DEGREES(Beta)</f>
        <v>-77.4856355371237</v>
      </c>
      <c r="O662" s="438"/>
      <c r="P662" s="452" t="n">
        <f aca="false">MATCH(t-pas/2-T_ini,CdP_t)</f>
        <v>23</v>
      </c>
      <c r="Q662" s="449" t="n">
        <f aca="false">(INDEX(CdP,2,i_P+1)-INDEX(CdP,2,i_P+0))/(INDEX(CdP,1,i_P+1)-INDEX(CdP,1,i_P+0))*(t-pas/2-T_ini-INDEX(CdP,1,i_P+0))+INDEX(CdP,2,i_P+0)</f>
        <v>0</v>
      </c>
      <c r="R662" s="450" t="n">
        <f aca="false">Poussee/(g*ISP)</f>
        <v>0</v>
      </c>
      <c r="S662" s="451" t="n">
        <f aca="false">S661-Débit*pas</f>
        <v>8.652</v>
      </c>
      <c r="T662" s="449" t="n">
        <f aca="false">m*g</f>
        <v>84.87612</v>
      </c>
      <c r="U662" s="453" t="n">
        <f aca="false">IF(pos_xz&lt;L_rampe,Poids*COS(Beta),0)</f>
        <v>0</v>
      </c>
      <c r="V662" s="450" t="n">
        <f aca="false">Rho_moyen*(20000-Alt_rampe-pos_z)/(20000+Alt_rampe+pos_z)</f>
        <v>1.1406519871585</v>
      </c>
      <c r="W662" s="449" t="n">
        <f aca="false">1/2*Rho*Sref*Cx*vit_xz^2</f>
        <v>30.2178829801335</v>
      </c>
      <c r="X662" s="438"/>
      <c r="Y662" s="454" t="str">
        <f aca="false">IF(AND(pos_z&lt;=0,K661&gt;0),"Impact balistique","") &amp; IF(AND(H663&lt;0,vit_z&gt;=0),"Apogée","") &amp; IF(AND(Poussee=0,Q661&gt;0),"Fin de propulsion","") &amp; IF(AND(L663&gt;L_rampe,pos_xz&lt;=L_rampe),"Sortie de rampe","")</f>
        <v/>
      </c>
      <c r="Z662" s="455" t="str">
        <f aca="false">IF(ABS(t-T_para)&lt;pas/2,"Para","")</f>
        <v/>
      </c>
      <c r="AA662" s="456" t="str">
        <f aca="false">IF(ABS(t-T_satellite)&lt;pas/2,"Satellite","")</f>
        <v/>
      </c>
      <c r="AB662" s="444"/>
      <c r="AC662" s="452" t="e">
        <f aca="false">IF(ABS(t-ROUND(t,0))&lt;0.001,t,NA())</f>
        <v>#N/A</v>
      </c>
      <c r="AD662" s="457" t="e">
        <f aca="false">IF(ABS(t-ROUND(t,0))&lt;0.001,pos_x,NA())</f>
        <v>#N/A</v>
      </c>
      <c r="AE662" s="458" t="e">
        <f aca="false">IF(t&lt;T_para, pos_z, NA())</f>
        <v>#N/A</v>
      </c>
      <c r="AF662" s="444"/>
      <c r="AG662" s="450" t="n">
        <f aca="false">IF(AND(L661&lt;L_rampe,Poussee&lt;Poids*SIN(M661)),0,(-W661+Poussee)/m-Poids*SIN(M661)/m)</f>
        <v>6.12290540658713</v>
      </c>
      <c r="AH662" s="449" t="n">
        <f aca="false">IF(AND(L661&lt;L_rampe,Poussee&lt;Poids*SIN(M661)), g*SIN(M661), (-W661+Poussee)/m)</f>
        <v>-3.44983111030564</v>
      </c>
    </row>
    <row r="663" customFormat="false" ht="12" hidden="false" customHeight="false" outlineLevel="0" collapsed="false">
      <c r="A663" s="448" t="n">
        <f aca="false">IF(B662+0.01&lt;=T_ini+ROUNDUP(Temps_fin_propu,0), 0.01, IF(K662&gt;0, 0.1, 0.0001))</f>
        <v>0.1</v>
      </c>
      <c r="B663" s="449" t="n">
        <f aca="false">B662+pas</f>
        <v>29.9000000000001</v>
      </c>
      <c r="C663" s="432"/>
      <c r="D663" s="450" t="n">
        <f aca="false">IF(AND(L662&lt;L_rampe,Poussee&lt;Poids*SIN(M662)),0,(-W662+Poussee)/m*COS(M662)-U662/m*SIN(M662))</f>
        <v>-0.756789526464197</v>
      </c>
      <c r="E663" s="451" t="n">
        <f aca="false">IF(AND(L662&lt;L_rampe,Poussee&lt;Poids*SIN(M662)),0,(-W662+Poussee)/m*SIN(M662)+U662/m*COS(M662)-Poids/m)</f>
        <v>-6.40038859707512</v>
      </c>
      <c r="F663" s="449" t="n">
        <f aca="false">SQRT(acc_x^2+acc_z^2)</f>
        <v>6.44497514199513</v>
      </c>
      <c r="G663" s="450" t="n">
        <f aca="false">G662+acc_x*pas</f>
        <v>23.5761596684303</v>
      </c>
      <c r="H663" s="451" t="n">
        <f aca="false">H662+acc_z*pas</f>
        <v>-107.200153452384</v>
      </c>
      <c r="I663" s="449" t="n">
        <f aca="false">SQRT(vit_x^2+vit_z^2)</f>
        <v>109.762052663596</v>
      </c>
      <c r="J663" s="450" t="n">
        <f aca="false">J662+0.5*(vit_x+G662)*pas*(K662&gt;=0)</f>
        <v>893.735266111088</v>
      </c>
      <c r="K663" s="451" t="n">
        <f aca="false">K662+0.5*(vit_z+H662)*pas</f>
        <v>702.417830562724</v>
      </c>
      <c r="L663" s="449" t="n">
        <f aca="false">SQRT(pos_x^2+pos_z^2)</f>
        <v>1136.72931456134</v>
      </c>
      <c r="M663" s="450" t="n">
        <f aca="false">IF(AND(L662&gt;L_rampe,G663&gt;0),ATAN2(G663,H663),$M$4)</f>
        <v>-1.3543160841702</v>
      </c>
      <c r="N663" s="449" t="n">
        <f aca="false">DEGREES(Beta)</f>
        <v>-77.5965957496371</v>
      </c>
      <c r="O663" s="438"/>
      <c r="P663" s="452" t="n">
        <f aca="false">MATCH(t-pas/2-T_ini,CdP_t)</f>
        <v>23</v>
      </c>
      <c r="Q663" s="449" t="n">
        <f aca="false">(INDEX(CdP,2,i_P+1)-INDEX(CdP,2,i_P+0))/(INDEX(CdP,1,i_P+1)-INDEX(CdP,1,i_P+0))*(t-pas/2-T_ini-INDEX(CdP,1,i_P+0))+INDEX(CdP,2,i_P+0)</f>
        <v>0</v>
      </c>
      <c r="R663" s="450" t="n">
        <f aca="false">Poussee/(g*ISP)</f>
        <v>0</v>
      </c>
      <c r="S663" s="451" t="n">
        <f aca="false">S662-Débit*pas</f>
        <v>8.652</v>
      </c>
      <c r="T663" s="449" t="n">
        <f aca="false">m*g</f>
        <v>84.87612</v>
      </c>
      <c r="U663" s="453" t="n">
        <f aca="false">IF(pos_xz&lt;L_rampe,Poids*COS(Beta),0)</f>
        <v>0</v>
      </c>
      <c r="V663" s="450" t="n">
        <f aca="false">Rho_moyen*(20000-Alt_rampe-pos_z)/(20000+Alt_rampe+pos_z)</f>
        <v>1.14187329958445</v>
      </c>
      <c r="W663" s="449" t="n">
        <f aca="false">1/2*Rho*Sref*Cx*vit_xz^2</f>
        <v>30.5885292132334</v>
      </c>
      <c r="X663" s="438"/>
      <c r="Y663" s="454" t="str">
        <f aca="false">IF(AND(pos_z&lt;=0,K662&gt;0),"Impact balistique","") &amp; IF(AND(H664&lt;0,vit_z&gt;=0),"Apogée","") &amp; IF(AND(Poussee=0,Q662&gt;0),"Fin de propulsion","") &amp; IF(AND(L664&gt;L_rampe,pos_xz&lt;=L_rampe),"Sortie de rampe","")</f>
        <v/>
      </c>
      <c r="Z663" s="455" t="str">
        <f aca="false">IF(ABS(t-T_para)&lt;pas/2,"Para","")</f>
        <v/>
      </c>
      <c r="AA663" s="456" t="str">
        <f aca="false">IF(ABS(t-T_satellite)&lt;pas/2,"Satellite","")</f>
        <v/>
      </c>
      <c r="AB663" s="444"/>
      <c r="AC663" s="452" t="e">
        <f aca="false">IF(ABS(t-ROUND(t,0))&lt;0.001,t,NA())</f>
        <v>#N/A</v>
      </c>
      <c r="AD663" s="457" t="e">
        <f aca="false">IF(ABS(t-ROUND(t,0))&lt;0.001,pos_x,NA())</f>
        <v>#N/A</v>
      </c>
      <c r="AE663" s="458" t="e">
        <f aca="false">IF(t&lt;T_para, pos_z, NA())</f>
        <v>#N/A</v>
      </c>
      <c r="AF663" s="444"/>
      <c r="AG663" s="450" t="n">
        <f aca="false">IF(AND(L662&lt;L_rampe,Poussee&lt;Poids*SIN(M662)),0,(-W662+Poussee)/m-Poids*SIN(M662)/m)</f>
        <v>6.08434186797942</v>
      </c>
      <c r="AH663" s="449" t="n">
        <f aca="false">IF(AND(L662&lt;L_rampe,Poussee&lt;Poids*SIN(M662)), g*SIN(M662), (-W662+Poussee)/m)</f>
        <v>-3.49258934120822</v>
      </c>
    </row>
    <row r="664" customFormat="false" ht="12" hidden="false" customHeight="false" outlineLevel="0" collapsed="false">
      <c r="A664" s="448" t="n">
        <f aca="false">IF(B663+0.01&lt;=T_ini+ROUNDUP(Temps_fin_propu,0), 0.01, IF(K663&gt;0, 0.1, 0.0001))</f>
        <v>0.1</v>
      </c>
      <c r="B664" s="449" t="n">
        <f aca="false">B663+pas</f>
        <v>30.0000000000001</v>
      </c>
      <c r="C664" s="432"/>
      <c r="D664" s="450" t="n">
        <f aca="false">IF(AND(L663&lt;L_rampe,Poussee&lt;Poids*SIN(M663)),0,(-W663+Poussee)/m*COS(M663)-U663/m*SIN(M663))</f>
        <v>-0.759386598369989</v>
      </c>
      <c r="E664" s="451" t="n">
        <f aca="false">IF(AND(L663&lt;L_rampe,Poussee&lt;Poids*SIN(M663)),0,(-W663+Poussee)/m*SIN(M663)+U663/m*COS(M663)-Poids/m)</f>
        <v>-6.35708989844711</v>
      </c>
      <c r="F664" s="449" t="n">
        <f aca="false">SQRT(acc_x^2+acc_z^2)</f>
        <v>6.40228552805342</v>
      </c>
      <c r="G664" s="450" t="n">
        <f aca="false">G663+acc_x*pas</f>
        <v>23.5002210085933</v>
      </c>
      <c r="H664" s="451" t="n">
        <f aca="false">H663+acc_z*pas</f>
        <v>-107.835862442229</v>
      </c>
      <c r="I664" s="449" t="n">
        <f aca="false">SQRT(vit_x^2+vit_z^2)</f>
        <v>110.366813925709</v>
      </c>
      <c r="J664" s="450" t="n">
        <f aca="false">J663+0.5*(vit_x+G663)*pas*(K663&gt;=0)</f>
        <v>896.08908514494</v>
      </c>
      <c r="K664" s="451" t="n">
        <f aca="false">K663+0.5*(vit_z+H663)*pas</f>
        <v>691.666029767994</v>
      </c>
      <c r="L664" s="449" t="n">
        <f aca="false">SQRT(pos_x^2+pos_z^2)</f>
        <v>1131.97948093193</v>
      </c>
      <c r="M664" s="450" t="n">
        <f aca="false">IF(AND(L663&gt;L_rampe,G664&gt;0),ATAN2(G664,H664),$M$4)</f>
        <v>-1.35622528497874</v>
      </c>
      <c r="N664" s="449" t="n">
        <f aca="false">DEGREES(Beta)</f>
        <v>-77.7059848982093</v>
      </c>
      <c r="O664" s="438"/>
      <c r="P664" s="452" t="n">
        <f aca="false">MATCH(t-pas/2-T_ini,CdP_t)</f>
        <v>23</v>
      </c>
      <c r="Q664" s="449" t="n">
        <f aca="false">(INDEX(CdP,2,i_P+1)-INDEX(CdP,2,i_P+0))/(INDEX(CdP,1,i_P+1)-INDEX(CdP,1,i_P+0))*(t-pas/2-T_ini-INDEX(CdP,1,i_P+0))+INDEX(CdP,2,i_P+0)</f>
        <v>0</v>
      </c>
      <c r="R664" s="450" t="n">
        <f aca="false">Poussee/(g*ISP)</f>
        <v>0</v>
      </c>
      <c r="S664" s="451" t="n">
        <f aca="false">S663-Débit*pas</f>
        <v>8.652</v>
      </c>
      <c r="T664" s="449" t="n">
        <f aca="false">m*g</f>
        <v>84.87612</v>
      </c>
      <c r="U664" s="453" t="n">
        <f aca="false">IF(pos_xz&lt;L_rampe,Poids*COS(Beta),0)</f>
        <v>0</v>
      </c>
      <c r="V664" s="450" t="n">
        <f aca="false">Rho_moyen*(20000-Alt_rampe-pos_z)/(20000+Alt_rampe+pos_z)</f>
        <v>1.14310317397866</v>
      </c>
      <c r="W664" s="449" t="n">
        <f aca="false">1/2*Rho*Sref*Cx*vit_xz^2</f>
        <v>30.9598379331753</v>
      </c>
      <c r="X664" s="438"/>
      <c r="Y664" s="454" t="str">
        <f aca="false">IF(AND(pos_z&lt;=0,K663&gt;0),"Impact balistique","") &amp; IF(AND(H665&lt;0,vit_z&gt;=0),"Apogée","") &amp; IF(AND(Poussee=0,Q663&gt;0),"Fin de propulsion","") &amp; IF(AND(L665&gt;L_rampe,pos_xz&lt;=L_rampe),"Sortie de rampe","")</f>
        <v/>
      </c>
      <c r="Z664" s="455" t="str">
        <f aca="false">IF(ABS(t-T_para)&lt;pas/2,"Para","")</f>
        <v/>
      </c>
      <c r="AA664" s="456" t="str">
        <f aca="false">IF(ABS(t-T_satellite)&lt;pas/2,"Satellite","")</f>
        <v/>
      </c>
      <c r="AB664" s="444"/>
      <c r="AC664" s="452" t="n">
        <f aca="false">IF(ABS(t-ROUND(t,0))&lt;0.001,t,NA())</f>
        <v>30.0000000000001</v>
      </c>
      <c r="AD664" s="457" t="n">
        <f aca="false">IF(ABS(t-ROUND(t,0))&lt;0.001,pos_x,NA())</f>
        <v>896.08908514494</v>
      </c>
      <c r="AE664" s="458" t="e">
        <f aca="false">IF(t&lt;T_para, pos_z, NA())</f>
        <v>#N/A</v>
      </c>
      <c r="AF664" s="444"/>
      <c r="AG664" s="450" t="n">
        <f aca="false">IF(AND(L663&lt;L_rampe,Poussee&lt;Poids*SIN(M663)),0,(-W663+Poussee)/m-Poids*SIN(M663)/m)</f>
        <v>6.04560116021754</v>
      </c>
      <c r="AH664" s="449" t="n">
        <f aca="false">IF(AND(L663&lt;L_rampe,Poussee&lt;Poids*SIN(M663)), g*SIN(M663), (-W663+Poussee)/m)</f>
        <v>-3.53542871165435</v>
      </c>
    </row>
    <row r="665" customFormat="false" ht="12" hidden="false" customHeight="false" outlineLevel="0" collapsed="false">
      <c r="A665" s="448" t="n">
        <f aca="false">IF(B664+0.01&lt;=T_ini+ROUNDUP(Temps_fin_propu,0), 0.01, IF(K664&gt;0, 0.1, 0.0001))</f>
        <v>0.1</v>
      </c>
      <c r="B665" s="449" t="n">
        <f aca="false">B664+pas</f>
        <v>30.1000000000001</v>
      </c>
      <c r="C665" s="432"/>
      <c r="D665" s="450" t="n">
        <f aca="false">IF(AND(L664&lt;L_rampe,Poussee&lt;Poids*SIN(M664)),0,(-W664+Poussee)/m*COS(M664)-U664/m*SIN(M664))</f>
        <v>-0.761930939082658</v>
      </c>
      <c r="E665" s="451" t="n">
        <f aca="false">IF(AND(L664&lt;L_rampe,Poussee&lt;Poids*SIN(M664)),0,(-W664+Poussee)/m*SIN(M664)+U664/m*COS(M664)-Poids/m)</f>
        <v>-6.31371458603087</v>
      </c>
      <c r="F665" s="449" t="n">
        <f aca="false">SQRT(acc_x^2+acc_z^2)</f>
        <v>6.35952283035373</v>
      </c>
      <c r="G665" s="450" t="n">
        <f aca="false">G664+acc_x*pas</f>
        <v>23.424027914685</v>
      </c>
      <c r="H665" s="451" t="n">
        <f aca="false">H664+acc_z*pas</f>
        <v>-108.467233900832</v>
      </c>
      <c r="I665" s="449" t="n">
        <f aca="false">SQRT(vit_x^2+vit_z^2)</f>
        <v>110.967679591157</v>
      </c>
      <c r="J665" s="450" t="n">
        <f aca="false">J664+0.5*(vit_x+G664)*pas*(K664&gt;=0)</f>
        <v>898.435297591103</v>
      </c>
      <c r="K665" s="451" t="n">
        <f aca="false">K664+0.5*(vit_z+H664)*pas</f>
        <v>680.850874950841</v>
      </c>
      <c r="L665" s="449" t="n">
        <f aca="false">SQRT(pos_x^2+pos_z^2)</f>
        <v>1127.27276995363</v>
      </c>
      <c r="M665" s="450" t="n">
        <f aca="false">IF(AND(L664&gt;L_rampe,G665&gt;0),ATAN2(G665,H665),$M$4)</f>
        <v>-1.35810766021255</v>
      </c>
      <c r="N665" s="449" t="n">
        <f aca="false">DEGREES(Beta)</f>
        <v>-77.8138370545666</v>
      </c>
      <c r="O665" s="438"/>
      <c r="P665" s="452" t="n">
        <f aca="false">MATCH(t-pas/2-T_ini,CdP_t)</f>
        <v>23</v>
      </c>
      <c r="Q665" s="449" t="n">
        <f aca="false">(INDEX(CdP,2,i_P+1)-INDEX(CdP,2,i_P+0))/(INDEX(CdP,1,i_P+1)-INDEX(CdP,1,i_P+0))*(t-pas/2-T_ini-INDEX(CdP,1,i_P+0))+INDEX(CdP,2,i_P+0)</f>
        <v>0</v>
      </c>
      <c r="R665" s="450" t="n">
        <f aca="false">Poussee/(g*ISP)</f>
        <v>0</v>
      </c>
      <c r="S665" s="451" t="n">
        <f aca="false">S664-Débit*pas</f>
        <v>8.652</v>
      </c>
      <c r="T665" s="449" t="n">
        <f aca="false">m*g</f>
        <v>84.87612</v>
      </c>
      <c r="U665" s="453" t="n">
        <f aca="false">IF(pos_xz&lt;L_rampe,Poids*COS(Beta),0)</f>
        <v>0</v>
      </c>
      <c r="V665" s="450" t="n">
        <f aca="false">Rho_moyen*(20000-Alt_rampe-pos_z)/(20000+Alt_rampe+pos_z)</f>
        <v>1.14434158542529</v>
      </c>
      <c r="W665" s="449" t="n">
        <f aca="false">1/2*Rho*Sref*Cx*vit_xz^2</f>
        <v>31.3317697937612</v>
      </c>
      <c r="X665" s="438"/>
      <c r="Y665" s="454" t="str">
        <f aca="false">IF(AND(pos_z&lt;=0,K664&gt;0),"Impact balistique","") &amp; IF(AND(H666&lt;0,vit_z&gt;=0),"Apogée","") &amp; IF(AND(Poussee=0,Q664&gt;0),"Fin de propulsion","") &amp; IF(AND(L666&gt;L_rampe,pos_xz&lt;=L_rampe),"Sortie de rampe","")</f>
        <v/>
      </c>
      <c r="Z665" s="455" t="str">
        <f aca="false">IF(ABS(t-T_para)&lt;pas/2,"Para","")</f>
        <v/>
      </c>
      <c r="AA665" s="456" t="str">
        <f aca="false">IF(ABS(t-T_satellite)&lt;pas/2,"Satellite","")</f>
        <v/>
      </c>
      <c r="AB665" s="444"/>
      <c r="AC665" s="452" t="e">
        <f aca="false">IF(ABS(t-ROUND(t,0))&lt;0.001,t,NA())</f>
        <v>#N/A</v>
      </c>
      <c r="AD665" s="457" t="e">
        <f aca="false">IF(ABS(t-ROUND(t,0))&lt;0.001,pos_x,NA())</f>
        <v>#N/A</v>
      </c>
      <c r="AE665" s="458" t="e">
        <f aca="false">IF(t&lt;T_para, pos_z, NA())</f>
        <v>#N/A</v>
      </c>
      <c r="AF665" s="444"/>
      <c r="AG665" s="450" t="n">
        <f aca="false">IF(AND(L664&lt;L_rampe,Poussee&lt;Poids*SIN(M664)),0,(-W664+Poussee)/m-Poids*SIN(M664)/m)</f>
        <v>6.00669067590585</v>
      </c>
      <c r="AH665" s="449" t="n">
        <f aca="false">IF(AND(L664&lt;L_rampe,Poussee&lt;Poids*SIN(M664)), g*SIN(M664), (-W664+Poussee)/m)</f>
        <v>-3.57834465247056</v>
      </c>
    </row>
    <row r="666" customFormat="false" ht="12" hidden="false" customHeight="false" outlineLevel="0" collapsed="false">
      <c r="A666" s="448" t="n">
        <f aca="false">IF(B665+0.01&lt;=T_ini+ROUNDUP(Temps_fin_propu,0), 0.01, IF(K665&gt;0, 0.1, 0.0001))</f>
        <v>0.1</v>
      </c>
      <c r="B666" s="449" t="n">
        <f aca="false">B665+pas</f>
        <v>30.2000000000001</v>
      </c>
      <c r="C666" s="432"/>
      <c r="D666" s="450" t="n">
        <f aca="false">IF(AND(L665&lt;L_rampe,Poussee&lt;Poids*SIN(M665)),0,(-W665+Poussee)/m*COS(M665)-U665/m*SIN(M665))</f>
        <v>-0.76442254716348</v>
      </c>
      <c r="E666" s="451" t="n">
        <f aca="false">IF(AND(L665&lt;L_rampe,Poussee&lt;Poids*SIN(M665)),0,(-W665+Poussee)/m*SIN(M665)+U665/m*COS(M665)-Poids/m)</f>
        <v>-6.27026722969069</v>
      </c>
      <c r="F666" s="449" t="n">
        <f aca="false">SQRT(acc_x^2+acc_z^2)</f>
        <v>6.31669161526386</v>
      </c>
      <c r="G666" s="450" t="n">
        <f aca="false">G665+acc_x*pas</f>
        <v>23.3475856599687</v>
      </c>
      <c r="H666" s="451" t="n">
        <f aca="false">H665+acc_z*pas</f>
        <v>-109.094260623801</v>
      </c>
      <c r="I666" s="449" t="n">
        <f aca="false">SQRT(vit_x^2+vit_z^2)</f>
        <v>111.564633541295</v>
      </c>
      <c r="J666" s="450" t="n">
        <f aca="false">J665+0.5*(vit_x+G665)*pas*(K665&gt;=0)</f>
        <v>900.773878269836</v>
      </c>
      <c r="K666" s="451" t="n">
        <f aca="false">K665+0.5*(vit_z+H665)*pas</f>
        <v>669.972800224609</v>
      </c>
      <c r="L666" s="449" t="n">
        <f aca="false">SQRT(pos_x^2+pos_z^2)</f>
        <v>1122.61174624805</v>
      </c>
      <c r="M666" s="450" t="n">
        <f aca="false">IF(AND(L665&gt;L_rampe,G666&gt;0),ATAN2(G666,H666),$M$4)</f>
        <v>-1.35996378762922</v>
      </c>
      <c r="N666" s="449" t="n">
        <f aca="false">DEGREES(Beta)</f>
        <v>-77.9201853217801</v>
      </c>
      <c r="O666" s="438"/>
      <c r="P666" s="452" t="n">
        <f aca="false">MATCH(t-pas/2-T_ini,CdP_t)</f>
        <v>23</v>
      </c>
      <c r="Q666" s="449" t="n">
        <f aca="false">(INDEX(CdP,2,i_P+1)-INDEX(CdP,2,i_P+0))/(INDEX(CdP,1,i_P+1)-INDEX(CdP,1,i_P+0))*(t-pas/2-T_ini-INDEX(CdP,1,i_P+0))+INDEX(CdP,2,i_P+0)</f>
        <v>0</v>
      </c>
      <c r="R666" s="450" t="n">
        <f aca="false">Poussee/(g*ISP)</f>
        <v>0</v>
      </c>
      <c r="S666" s="451" t="n">
        <f aca="false">S665-Débit*pas</f>
        <v>8.652</v>
      </c>
      <c r="T666" s="449" t="n">
        <f aca="false">m*g</f>
        <v>84.87612</v>
      </c>
      <c r="U666" s="453" t="n">
        <f aca="false">IF(pos_xz&lt;L_rampe,Poids*COS(Beta),0)</f>
        <v>0</v>
      </c>
      <c r="V666" s="450" t="n">
        <f aca="false">Rho_moyen*(20000-Alt_rampe-pos_z)/(20000+Alt_rampe+pos_z)</f>
        <v>1.14558850892477</v>
      </c>
      <c r="W666" s="449" t="n">
        <f aca="false">1/2*Rho*Sref*Cx*vit_xz^2</f>
        <v>31.7042856417667</v>
      </c>
      <c r="X666" s="438"/>
      <c r="Y666" s="454" t="str">
        <f aca="false">IF(AND(pos_z&lt;=0,K665&gt;0),"Impact balistique","") &amp; IF(AND(H667&lt;0,vit_z&gt;=0),"Apogée","") &amp; IF(AND(Poussee=0,Q665&gt;0),"Fin de propulsion","") &amp; IF(AND(L667&gt;L_rampe,pos_xz&lt;=L_rampe),"Sortie de rampe","")</f>
        <v/>
      </c>
      <c r="Z666" s="455" t="str">
        <f aca="false">IF(ABS(t-T_para)&lt;pas/2,"Para","")</f>
        <v/>
      </c>
      <c r="AA666" s="456" t="str">
        <f aca="false">IF(ABS(t-T_satellite)&lt;pas/2,"Satellite","")</f>
        <v/>
      </c>
      <c r="AB666" s="444"/>
      <c r="AC666" s="452" t="e">
        <f aca="false">IF(ABS(t-ROUND(t,0))&lt;0.001,t,NA())</f>
        <v>#N/A</v>
      </c>
      <c r="AD666" s="457" t="e">
        <f aca="false">IF(ABS(t-ROUND(t,0))&lt;0.001,pos_x,NA())</f>
        <v>#N/A</v>
      </c>
      <c r="AE666" s="458" t="e">
        <f aca="false">IF(t&lt;T_para, pos_z, NA())</f>
        <v>#N/A</v>
      </c>
      <c r="AF666" s="444"/>
      <c r="AG666" s="450" t="n">
        <f aca="false">IF(AND(L665&lt;L_rampe,Poussee&lt;Poids*SIN(M665)),0,(-W665+Poussee)/m-Poids*SIN(M665)/m)</f>
        <v>5.96761768453685</v>
      </c>
      <c r="AH666" s="449" t="n">
        <f aca="false">IF(AND(L665&lt;L_rampe,Poussee&lt;Poids*SIN(M665)), g*SIN(M665), (-W665+Poussee)/m)</f>
        <v>-3.62133261601493</v>
      </c>
    </row>
    <row r="667" customFormat="false" ht="12" hidden="false" customHeight="false" outlineLevel="0" collapsed="false">
      <c r="A667" s="448" t="n">
        <f aca="false">IF(B666+0.01&lt;=T_ini+ROUNDUP(Temps_fin_propu,0), 0.01, IF(K666&gt;0, 0.1, 0.0001))</f>
        <v>0.1</v>
      </c>
      <c r="B667" s="449" t="n">
        <f aca="false">B666+pas</f>
        <v>30.3000000000001</v>
      </c>
      <c r="C667" s="432"/>
      <c r="D667" s="450" t="n">
        <f aca="false">IF(AND(L666&lt;L_rampe,Poussee&lt;Poids*SIN(M666)),0,(-W666+Poussee)/m*COS(M666)-U666/m*SIN(M666))</f>
        <v>-0.76686143092361</v>
      </c>
      <c r="E667" s="451" t="n">
        <f aca="false">IF(AND(L666&lt;L_rampe,Poussee&lt;Poids*SIN(M666)),0,(-W666+Poussee)/m*SIN(M666)+U666/m*COS(M666)-Poids/m)</f>
        <v>-6.22675237748616</v>
      </c>
      <c r="F667" s="449" t="n">
        <f aca="false">SQRT(acc_x^2+acc_z^2)</f>
        <v>6.27379642838112</v>
      </c>
      <c r="G667" s="450" t="n">
        <f aca="false">G666+acc_x*pas</f>
        <v>23.2708995168763</v>
      </c>
      <c r="H667" s="451" t="n">
        <f aca="false">H666+acc_z*pas</f>
        <v>-109.716935861549</v>
      </c>
      <c r="I667" s="449" t="n">
        <f aca="false">SQRT(vit_x^2+vit_z^2)</f>
        <v>112.157660367769</v>
      </c>
      <c r="J667" s="450" t="n">
        <f aca="false">J666+0.5*(vit_x+G666)*pas*(K666&gt;=0)</f>
        <v>903.104802528678</v>
      </c>
      <c r="K667" s="451" t="n">
        <f aca="false">K666+0.5*(vit_z+H666)*pas</f>
        <v>659.032240400341</v>
      </c>
      <c r="L667" s="449" t="n">
        <f aca="false">SQRT(pos_x^2+pos_z^2)</f>
        <v>1117.99900636694</v>
      </c>
      <c r="M667" s="450" t="n">
        <f aca="false">IF(AND(L666&gt;L_rampe,G667&gt;0),ATAN2(G667,H667),$M$4)</f>
        <v>-1.36179422866253</v>
      </c>
      <c r="N667" s="449" t="n">
        <f aca="false">DEGREES(Beta)</f>
        <v>-78.0250618676365</v>
      </c>
      <c r="O667" s="438"/>
      <c r="P667" s="452" t="n">
        <f aca="false">MATCH(t-pas/2-T_ini,CdP_t)</f>
        <v>23</v>
      </c>
      <c r="Q667" s="449" t="n">
        <f aca="false">(INDEX(CdP,2,i_P+1)-INDEX(CdP,2,i_P+0))/(INDEX(CdP,1,i_P+1)-INDEX(CdP,1,i_P+0))*(t-pas/2-T_ini-INDEX(CdP,1,i_P+0))+INDEX(CdP,2,i_P+0)</f>
        <v>0</v>
      </c>
      <c r="R667" s="450" t="n">
        <f aca="false">Poussee/(g*ISP)</f>
        <v>0</v>
      </c>
      <c r="S667" s="451" t="n">
        <f aca="false">S666-Débit*pas</f>
        <v>8.652</v>
      </c>
      <c r="T667" s="449" t="n">
        <f aca="false">m*g</f>
        <v>84.87612</v>
      </c>
      <c r="U667" s="453" t="n">
        <f aca="false">IF(pos_xz&lt;L_rampe,Poids*COS(Beta),0)</f>
        <v>0</v>
      </c>
      <c r="V667" s="450" t="n">
        <f aca="false">Rho_moyen*(20000-Alt_rampe-pos_z)/(20000+Alt_rampe+pos_z)</f>
        <v>1.14684391939603</v>
      </c>
      <c r="W667" s="449" t="n">
        <f aca="false">1/2*Rho*Sref*Cx*vit_xz^2</f>
        <v>32.0773465235168</v>
      </c>
      <c r="X667" s="438"/>
      <c r="Y667" s="454" t="str">
        <f aca="false">IF(AND(pos_z&lt;=0,K666&gt;0),"Impact balistique","") &amp; IF(AND(H668&lt;0,vit_z&gt;=0),"Apogée","") &amp; IF(AND(Poussee=0,Q666&gt;0),"Fin de propulsion","") &amp; IF(AND(L668&gt;L_rampe,pos_xz&lt;=L_rampe),"Sortie de rampe","")</f>
        <v/>
      </c>
      <c r="Z667" s="455" t="str">
        <f aca="false">IF(ABS(t-T_para)&lt;pas/2,"Para","")</f>
        <v/>
      </c>
      <c r="AA667" s="456" t="str">
        <f aca="false">IF(ABS(t-T_satellite)&lt;pas/2,"Satellite","")</f>
        <v/>
      </c>
      <c r="AB667" s="444"/>
      <c r="AC667" s="452" t="e">
        <f aca="false">IF(ABS(t-ROUND(t,0))&lt;0.001,t,NA())</f>
        <v>#N/A</v>
      </c>
      <c r="AD667" s="457" t="e">
        <f aca="false">IF(ABS(t-ROUND(t,0))&lt;0.001,pos_x,NA())</f>
        <v>#N/A</v>
      </c>
      <c r="AE667" s="458" t="e">
        <f aca="false">IF(t&lt;T_para, pos_z, NA())</f>
        <v>#N/A</v>
      </c>
      <c r="AF667" s="444"/>
      <c r="AG667" s="450" t="n">
        <f aca="false">IF(AND(L666&lt;L_rampe,Poussee&lt;Poids*SIN(M666)),0,(-W666+Poussee)/m-Poids*SIN(M666)/m)</f>
        <v>5.92838933600513</v>
      </c>
      <c r="AH667" s="449" t="n">
        <f aca="false">IF(AND(L666&lt;L_rampe,Poussee&lt;Poids*SIN(M666)), g*SIN(M666), (-W666+Poussee)/m)</f>
        <v>-3.66438807694945</v>
      </c>
    </row>
    <row r="668" customFormat="false" ht="12" hidden="false" customHeight="false" outlineLevel="0" collapsed="false">
      <c r="A668" s="448" t="n">
        <f aca="false">IF(B667+0.01&lt;=T_ini+ROUNDUP(Temps_fin_propu,0), 0.01, IF(K667&gt;0, 0.1, 0.0001))</f>
        <v>0.1</v>
      </c>
      <c r="B668" s="449" t="n">
        <f aca="false">B667+pas</f>
        <v>30.4000000000001</v>
      </c>
      <c r="C668" s="432"/>
      <c r="D668" s="450" t="n">
        <f aca="false">IF(AND(L667&lt;L_rampe,Poussee&lt;Poids*SIN(M667)),0,(-W667+Poussee)/m*COS(M667)-U667/m*SIN(M667))</f>
        <v>-0.769247608274834</v>
      </c>
      <c r="E668" s="451" t="n">
        <f aca="false">IF(AND(L667&lt;L_rampe,Poussee&lt;Poids*SIN(M667)),0,(-W667+Poussee)/m*SIN(M667)+U667/m*COS(M667)-Poids/m)</f>
        <v>-6.18317455487559</v>
      </c>
      <c r="F668" s="449" t="n">
        <f aca="false">SQRT(acc_x^2+acc_z^2)</f>
        <v>6.23084179376251</v>
      </c>
      <c r="G668" s="450" t="n">
        <f aca="false">G667+acc_x*pas</f>
        <v>23.1939747560488</v>
      </c>
      <c r="H668" s="451" t="n">
        <f aca="false">H667+acc_z*pas</f>
        <v>-110.335253317037</v>
      </c>
      <c r="I668" s="449" t="n">
        <f aca="false">SQRT(vit_x^2+vit_z^2)</f>
        <v>112.746745361092</v>
      </c>
      <c r="J668" s="450" t="n">
        <f aca="false">J667+0.5*(vit_x+G667)*pas*(K667&gt;=0)</f>
        <v>905.428046242325</v>
      </c>
      <c r="K668" s="451" t="n">
        <f aca="false">K667+0.5*(vit_z+H667)*pas</f>
        <v>648.029630941412</v>
      </c>
      <c r="L668" s="449" t="n">
        <f aca="false">SQRT(pos_x^2+pos_z^2)</f>
        <v>1113.4371780663</v>
      </c>
      <c r="M668" s="450" t="n">
        <f aca="false">IF(AND(L667&gt;L_rampe,G668&gt;0),ATAN2(G668,H668),$M$4)</f>
        <v>-1.36359952898156</v>
      </c>
      <c r="N668" s="449" t="n">
        <f aca="false">DEGREES(Beta)</f>
        <v>-78.1284979566706</v>
      </c>
      <c r="O668" s="438"/>
      <c r="P668" s="452" t="n">
        <f aca="false">MATCH(t-pas/2-T_ini,CdP_t)</f>
        <v>23</v>
      </c>
      <c r="Q668" s="449" t="n">
        <f aca="false">(INDEX(CdP,2,i_P+1)-INDEX(CdP,2,i_P+0))/(INDEX(CdP,1,i_P+1)-INDEX(CdP,1,i_P+0))*(t-pas/2-T_ini-INDEX(CdP,1,i_P+0))+INDEX(CdP,2,i_P+0)</f>
        <v>0</v>
      </c>
      <c r="R668" s="450" t="n">
        <f aca="false">Poussee/(g*ISP)</f>
        <v>0</v>
      </c>
      <c r="S668" s="451" t="n">
        <f aca="false">S667-Débit*pas</f>
        <v>8.652</v>
      </c>
      <c r="T668" s="449" t="n">
        <f aca="false">m*g</f>
        <v>84.87612</v>
      </c>
      <c r="U668" s="453" t="n">
        <f aca="false">IF(pos_xz&lt;L_rampe,Poids*COS(Beta),0)</f>
        <v>0</v>
      </c>
      <c r="V668" s="450" t="n">
        <f aca="false">Rho_moyen*(20000-Alt_rampe-pos_z)/(20000+Alt_rampe+pos_z)</f>
        <v>1.14810779167871</v>
      </c>
      <c r="W668" s="449" t="n">
        <f aca="false">1/2*Rho*Sref*Cx*vit_xz^2</f>
        <v>32.4509136913548</v>
      </c>
      <c r="X668" s="438"/>
      <c r="Y668" s="454" t="str">
        <f aca="false">IF(AND(pos_z&lt;=0,K667&gt;0),"Impact balistique","") &amp; IF(AND(H669&lt;0,vit_z&gt;=0),"Apogée","") &amp; IF(AND(Poussee=0,Q667&gt;0),"Fin de propulsion","") &amp; IF(AND(L669&gt;L_rampe,pos_xz&lt;=L_rampe),"Sortie de rampe","")</f>
        <v/>
      </c>
      <c r="Z668" s="455" t="str">
        <f aca="false">IF(ABS(t-T_para)&lt;pas/2,"Para","")</f>
        <v/>
      </c>
      <c r="AA668" s="456" t="str">
        <f aca="false">IF(ABS(t-T_satellite)&lt;pas/2,"Satellite","")</f>
        <v/>
      </c>
      <c r="AB668" s="444"/>
      <c r="AC668" s="452" t="e">
        <f aca="false">IF(ABS(t-ROUND(t,0))&lt;0.001,t,NA())</f>
        <v>#N/A</v>
      </c>
      <c r="AD668" s="457" t="e">
        <f aca="false">IF(ABS(t-ROUND(t,0))&lt;0.001,pos_x,NA())</f>
        <v>#N/A</v>
      </c>
      <c r="AE668" s="458" t="e">
        <f aca="false">IF(t&lt;T_para, pos_z, NA())</f>
        <v>#N/A</v>
      </c>
      <c r="AF668" s="444"/>
      <c r="AG668" s="450" t="n">
        <f aca="false">IF(AND(L667&lt;L_rampe,Poussee&lt;Poids*SIN(M667)),0,(-W667+Poussee)/m-Poids*SIN(M667)/m)</f>
        <v>5.88901266392764</v>
      </c>
      <c r="AH668" s="449" t="n">
        <f aca="false">IF(AND(L667&lt;L_rampe,Poussee&lt;Poids*SIN(M667)), g*SIN(M667), (-W667+Poussee)/m)</f>
        <v>-3.7075065330001</v>
      </c>
    </row>
    <row r="669" customFormat="false" ht="12" hidden="false" customHeight="false" outlineLevel="0" collapsed="false">
      <c r="A669" s="448" t="n">
        <f aca="false">IF(B668+0.01&lt;=T_ini+ROUNDUP(Temps_fin_propu,0), 0.01, IF(K668&gt;0, 0.1, 0.0001))</f>
        <v>0.1</v>
      </c>
      <c r="B669" s="449" t="n">
        <f aca="false">B668+pas</f>
        <v>30.5000000000001</v>
      </c>
      <c r="C669" s="432"/>
      <c r="D669" s="450" t="n">
        <f aca="false">IF(AND(L668&lt;L_rampe,Poussee&lt;Poids*SIN(M668)),0,(-W668+Poussee)/m*COS(M668)-U668/m*SIN(M668))</f>
        <v>-0.771581106582062</v>
      </c>
      <c r="E669" s="451" t="n">
        <f aca="false">IF(AND(L668&lt;L_rampe,Poussee&lt;Poids*SIN(M668)),0,(-W668+Poussee)/m*SIN(M668)+U668/m*COS(M668)-Poids/m)</f>
        <v>-6.13953826393342</v>
      </c>
      <c r="F669" s="449" t="n">
        <f aca="false">SQRT(acc_x^2+acc_z^2)</f>
        <v>6.1878322131694</v>
      </c>
      <c r="G669" s="450" t="n">
        <f aca="false">G668+acc_x*pas</f>
        <v>23.1168166453906</v>
      </c>
      <c r="H669" s="451" t="n">
        <f aca="false">H668+acc_z*pas</f>
        <v>-110.94920714343</v>
      </c>
      <c r="I669" s="449" t="n">
        <f aca="false">SQRT(vit_x^2+vit_z^2)</f>
        <v>113.331874499509</v>
      </c>
      <c r="J669" s="450" t="n">
        <f aca="false">J668+0.5*(vit_x+G668)*pas*(K668&gt;=0)</f>
        <v>907.743585812397</v>
      </c>
      <c r="K669" s="451" t="n">
        <f aca="false">K668+0.5*(vit_z+H668)*pas</f>
        <v>636.965407918389</v>
      </c>
      <c r="L669" s="449" t="n">
        <f aca="false">SQRT(pos_x^2+pos_z^2)</f>
        <v>1108.92891948411</v>
      </c>
      <c r="M669" s="450" t="n">
        <f aca="false">IF(AND(L668&gt;L_rampe,G669&gt;0),ATAN2(G669,H669),$M$4)</f>
        <v>-1.36538021902745</v>
      </c>
      <c r="N669" s="449" t="n">
        <f aca="false">DEGREES(Beta)</f>
        <v>-78.2305239809206</v>
      </c>
      <c r="O669" s="438"/>
      <c r="P669" s="452" t="n">
        <f aca="false">MATCH(t-pas/2-T_ini,CdP_t)</f>
        <v>23</v>
      </c>
      <c r="Q669" s="449" t="n">
        <f aca="false">(INDEX(CdP,2,i_P+1)-INDEX(CdP,2,i_P+0))/(INDEX(CdP,1,i_P+1)-INDEX(CdP,1,i_P+0))*(t-pas/2-T_ini-INDEX(CdP,1,i_P+0))+INDEX(CdP,2,i_P+0)</f>
        <v>0</v>
      </c>
      <c r="R669" s="450" t="n">
        <f aca="false">Poussee/(g*ISP)</f>
        <v>0</v>
      </c>
      <c r="S669" s="451" t="n">
        <f aca="false">S668-Débit*pas</f>
        <v>8.652</v>
      </c>
      <c r="T669" s="449" t="n">
        <f aca="false">m*g</f>
        <v>84.87612</v>
      </c>
      <c r="U669" s="453" t="n">
        <f aca="false">IF(pos_xz&lt;L_rampe,Poids*COS(Beta),0)</f>
        <v>0</v>
      </c>
      <c r="V669" s="450" t="n">
        <f aca="false">Rho_moyen*(20000-Alt_rampe-pos_z)/(20000+Alt_rampe+pos_z)</f>
        <v>1.14938010053546</v>
      </c>
      <c r="W669" s="449" t="n">
        <f aca="false">1/2*Rho*Sref*Cx*vit_xz^2</f>
        <v>32.8249486100005</v>
      </c>
      <c r="X669" s="438"/>
      <c r="Y669" s="454" t="str">
        <f aca="false">IF(AND(pos_z&lt;=0,K668&gt;0),"Impact balistique","") &amp; IF(AND(H670&lt;0,vit_z&gt;=0),"Apogée","") &amp; IF(AND(Poussee=0,Q668&gt;0),"Fin de propulsion","") &amp; IF(AND(L670&gt;L_rampe,pos_xz&lt;=L_rampe),"Sortie de rampe","")</f>
        <v/>
      </c>
      <c r="Z669" s="455" t="str">
        <f aca="false">IF(ABS(t-T_para)&lt;pas/2,"Para","")</f>
        <v/>
      </c>
      <c r="AA669" s="456" t="str">
        <f aca="false">IF(ABS(t-T_satellite)&lt;pas/2,"Satellite","")</f>
        <v/>
      </c>
      <c r="AB669" s="444"/>
      <c r="AC669" s="452" t="e">
        <f aca="false">IF(ABS(t-ROUND(t,0))&lt;0.001,t,NA())</f>
        <v>#N/A</v>
      </c>
      <c r="AD669" s="457" t="e">
        <f aca="false">IF(ABS(t-ROUND(t,0))&lt;0.001,pos_x,NA())</f>
        <v>#N/A</v>
      </c>
      <c r="AE669" s="458" t="e">
        <f aca="false">IF(t&lt;T_para, pos_z, NA())</f>
        <v>#N/A</v>
      </c>
      <c r="AF669" s="444"/>
      <c r="AG669" s="450" t="n">
        <f aca="false">IF(AND(L668&lt;L_rampe,Poussee&lt;Poids*SIN(M668)),0,(-W668+Poussee)/m-Poids*SIN(M668)/m)</f>
        <v>5.84949458878143</v>
      </c>
      <c r="AH669" s="449" t="n">
        <f aca="false">IF(AND(L668&lt;L_rampe,Poussee&lt;Poids*SIN(M668)), g*SIN(M668), (-W668+Poussee)/m)</f>
        <v>-3.75068350570444</v>
      </c>
    </row>
    <row r="670" customFormat="false" ht="12" hidden="false" customHeight="false" outlineLevel="0" collapsed="false">
      <c r="A670" s="448" t="n">
        <f aca="false">IF(B669+0.01&lt;=T_ini+ROUNDUP(Temps_fin_propu,0), 0.01, IF(K669&gt;0, 0.1, 0.0001))</f>
        <v>0.1</v>
      </c>
      <c r="B670" s="449" t="n">
        <f aca="false">B669+pas</f>
        <v>30.6000000000001</v>
      </c>
      <c r="C670" s="432"/>
      <c r="D670" s="450" t="n">
        <f aca="false">IF(AND(L669&lt;L_rampe,Poussee&lt;Poids*SIN(M669)),0,(-W669+Poussee)/m*COS(M669)-U669/m*SIN(M669))</f>
        <v>-0.773861962517417</v>
      </c>
      <c r="E670" s="451" t="n">
        <f aca="false">IF(AND(L669&lt;L_rampe,Poussee&lt;Poids*SIN(M669)),0,(-W669+Poussee)/m*SIN(M669)+U669/m*COS(M669)-Poids/m)</f>
        <v>-6.09584798258171</v>
      </c>
      <c r="F670" s="449" t="n">
        <f aca="false">SQRT(acc_x^2+acc_z^2)</f>
        <v>6.14477216532694</v>
      </c>
      <c r="G670" s="450" t="n">
        <f aca="false">G669+acc_x*pas</f>
        <v>23.0394304491389</v>
      </c>
      <c r="H670" s="451" t="n">
        <f aca="false">H669+acc_z*pas</f>
        <v>-111.558791941689</v>
      </c>
      <c r="I670" s="449" t="n">
        <f aca="false">SQRT(vit_x^2+vit_z^2)</f>
        <v>113.913034438161</v>
      </c>
      <c r="J670" s="450" t="n">
        <f aca="false">J669+0.5*(vit_x+G669)*pas*(K669&gt;=0)</f>
        <v>910.051398167123</v>
      </c>
      <c r="K670" s="451" t="n">
        <f aca="false">K669+0.5*(vit_z+H669)*pas</f>
        <v>625.840007964133</v>
      </c>
      <c r="L670" s="449" t="n">
        <f aca="false">SQRT(pos_x^2+pos_z^2)</f>
        <v>1104.47691821716</v>
      </c>
      <c r="M670" s="450" t="n">
        <f aca="false">IF(AND(L669&gt;L_rampe,G670&gt;0),ATAN2(G670,H670),$M$4)</f>
        <v>-1.36713681452889</v>
      </c>
      <c r="N670" s="449" t="n">
        <f aca="false">DEGREES(Beta)</f>
        <v>-78.3311694894648</v>
      </c>
      <c r="O670" s="438"/>
      <c r="P670" s="452" t="n">
        <f aca="false">MATCH(t-pas/2-T_ini,CdP_t)</f>
        <v>23</v>
      </c>
      <c r="Q670" s="449" t="n">
        <f aca="false">(INDEX(CdP,2,i_P+1)-INDEX(CdP,2,i_P+0))/(INDEX(CdP,1,i_P+1)-INDEX(CdP,1,i_P+0))*(t-pas/2-T_ini-INDEX(CdP,1,i_P+0))+INDEX(CdP,2,i_P+0)</f>
        <v>0</v>
      </c>
      <c r="R670" s="450" t="n">
        <f aca="false">Poussee/(g*ISP)</f>
        <v>0</v>
      </c>
      <c r="S670" s="451" t="n">
        <f aca="false">S669-Débit*pas</f>
        <v>8.652</v>
      </c>
      <c r="T670" s="449" t="n">
        <f aca="false">m*g</f>
        <v>84.87612</v>
      </c>
      <c r="U670" s="453" t="n">
        <f aca="false">IF(pos_xz&lt;L_rampe,Poids*COS(Beta),0)</f>
        <v>0</v>
      </c>
      <c r="V670" s="450" t="n">
        <f aca="false">Rho_moyen*(20000-Alt_rampe-pos_z)/(20000+Alt_rampe+pos_z)</f>
        <v>1.15066082065409</v>
      </c>
      <c r="W670" s="449" t="n">
        <f aca="false">1/2*Rho*Sref*Cx*vit_xz^2</f>
        <v>33.1994129627993</v>
      </c>
      <c r="X670" s="438"/>
      <c r="Y670" s="454" t="str">
        <f aca="false">IF(AND(pos_z&lt;=0,K669&gt;0),"Impact balistique","") &amp; IF(AND(H671&lt;0,vit_z&gt;=0),"Apogée","") &amp; IF(AND(Poussee=0,Q669&gt;0),"Fin de propulsion","") &amp; IF(AND(L671&gt;L_rampe,pos_xz&lt;=L_rampe),"Sortie de rampe","")</f>
        <v/>
      </c>
      <c r="Z670" s="455" t="str">
        <f aca="false">IF(ABS(t-T_para)&lt;pas/2,"Para","")</f>
        <v/>
      </c>
      <c r="AA670" s="456" t="str">
        <f aca="false">IF(ABS(t-T_satellite)&lt;pas/2,"Satellite","")</f>
        <v/>
      </c>
      <c r="AB670" s="444"/>
      <c r="AC670" s="452" t="e">
        <f aca="false">IF(ABS(t-ROUND(t,0))&lt;0.001,t,NA())</f>
        <v>#N/A</v>
      </c>
      <c r="AD670" s="457" t="e">
        <f aca="false">IF(ABS(t-ROUND(t,0))&lt;0.001,pos_x,NA())</f>
        <v>#N/A</v>
      </c>
      <c r="AE670" s="458" t="e">
        <f aca="false">IF(t&lt;T_para, pos_z, NA())</f>
        <v>#N/A</v>
      </c>
      <c r="AF670" s="444"/>
      <c r="AG670" s="450" t="n">
        <f aca="false">IF(AND(L669&lt;L_rampe,Poussee&lt;Poids*SIN(M669)),0,(-W669+Poussee)/m-Poids*SIN(M669)/m)</f>
        <v>5.80984192086945</v>
      </c>
      <c r="AH670" s="449" t="n">
        <f aca="false">IF(AND(L669&lt;L_rampe,Poussee&lt;Poids*SIN(M669)), g*SIN(M669), (-W669+Poussee)/m)</f>
        <v>-3.79391454114661</v>
      </c>
    </row>
    <row r="671" customFormat="false" ht="12" hidden="false" customHeight="false" outlineLevel="0" collapsed="false">
      <c r="A671" s="448" t="n">
        <f aca="false">IF(B670+0.01&lt;=T_ini+ROUNDUP(Temps_fin_propu,0), 0.01, IF(K670&gt;0, 0.1, 0.0001))</f>
        <v>0.1</v>
      </c>
      <c r="B671" s="449" t="n">
        <f aca="false">B670+pas</f>
        <v>30.7000000000001</v>
      </c>
      <c r="C671" s="432"/>
      <c r="D671" s="450" t="n">
        <f aca="false">IF(AND(L670&lt;L_rampe,Poussee&lt;Poids*SIN(M670)),0,(-W670+Poussee)/m*COS(M670)-U670/m*SIN(M670))</f>
        <v>-0.776090221915848</v>
      </c>
      <c r="E671" s="451" t="n">
        <f aca="false">IF(AND(L670&lt;L_rampe,Poussee&lt;Poids*SIN(M670)),0,(-W670+Poussee)/m*SIN(M670)+U670/m*COS(M670)-Poids/m)</f>
        <v>-6.05210816383593</v>
      </c>
      <c r="F671" s="449" t="n">
        <f aca="false">SQRT(acc_x^2+acc_z^2)</f>
        <v>6.10166610519806</v>
      </c>
      <c r="G671" s="450" t="n">
        <f aca="false">G670+acc_x*pas</f>
        <v>22.9618214269473</v>
      </c>
      <c r="H671" s="451" t="n">
        <f aca="false">H670+acc_z*pas</f>
        <v>-112.164002758072</v>
      </c>
      <c r="I671" s="449" t="n">
        <f aca="false">SQRT(vit_x^2+vit_z^2)</f>
        <v>114.490212498518</v>
      </c>
      <c r="J671" s="450" t="n">
        <f aca="false">J670+0.5*(vit_x+G670)*pas*(K670&gt;=0)</f>
        <v>912.351460760928</v>
      </c>
      <c r="K671" s="451" t="n">
        <f aca="false">K670+0.5*(vit_z+H670)*pas</f>
        <v>614.653868229145</v>
      </c>
      <c r="L671" s="449" t="n">
        <f aca="false">SQRT(pos_x^2+pos_z^2)</f>
        <v>1100.08389029276</v>
      </c>
      <c r="M671" s="450" t="n">
        <f aca="false">IF(AND(L670&gt;L_rampe,G671&gt;0),ATAN2(G671,H671),$M$4)</f>
        <v>-1.36886981699732</v>
      </c>
      <c r="N671" s="449" t="n">
        <f aca="false">DEGREES(Beta)</f>
        <v>-78.4304632167919</v>
      </c>
      <c r="O671" s="438"/>
      <c r="P671" s="452" t="n">
        <f aca="false">MATCH(t-pas/2-T_ini,CdP_t)</f>
        <v>23</v>
      </c>
      <c r="Q671" s="449" t="n">
        <f aca="false">(INDEX(CdP,2,i_P+1)-INDEX(CdP,2,i_P+0))/(INDEX(CdP,1,i_P+1)-INDEX(CdP,1,i_P+0))*(t-pas/2-T_ini-INDEX(CdP,1,i_P+0))+INDEX(CdP,2,i_P+0)</f>
        <v>0</v>
      </c>
      <c r="R671" s="450" t="n">
        <f aca="false">Poussee/(g*ISP)</f>
        <v>0</v>
      </c>
      <c r="S671" s="451" t="n">
        <f aca="false">S670-Débit*pas</f>
        <v>8.652</v>
      </c>
      <c r="T671" s="449" t="n">
        <f aca="false">m*g</f>
        <v>84.87612</v>
      </c>
      <c r="U671" s="453" t="n">
        <f aca="false">IF(pos_xz&lt;L_rampe,Poids*COS(Beta),0)</f>
        <v>0</v>
      </c>
      <c r="V671" s="450" t="n">
        <f aca="false">Rho_moyen*(20000-Alt_rampe-pos_z)/(20000+Alt_rampe+pos_z)</f>
        <v>1.15194992664988</v>
      </c>
      <c r="W671" s="449" t="n">
        <f aca="false">1/2*Rho*Sref*Cx*vit_xz^2</f>
        <v>33.5742686578586</v>
      </c>
      <c r="X671" s="438"/>
      <c r="Y671" s="454" t="str">
        <f aca="false">IF(AND(pos_z&lt;=0,K670&gt;0),"Impact balistique","") &amp; IF(AND(H672&lt;0,vit_z&gt;=0),"Apogée","") &amp; IF(AND(Poussee=0,Q670&gt;0),"Fin de propulsion","") &amp; IF(AND(L672&gt;L_rampe,pos_xz&lt;=L_rampe),"Sortie de rampe","")</f>
        <v/>
      </c>
      <c r="Z671" s="455" t="str">
        <f aca="false">IF(ABS(t-T_para)&lt;pas/2,"Para","")</f>
        <v/>
      </c>
      <c r="AA671" s="456" t="str">
        <f aca="false">IF(ABS(t-T_satellite)&lt;pas/2,"Satellite","")</f>
        <v/>
      </c>
      <c r="AB671" s="444"/>
      <c r="AC671" s="452" t="e">
        <f aca="false">IF(ABS(t-ROUND(t,0))&lt;0.001,t,NA())</f>
        <v>#N/A</v>
      </c>
      <c r="AD671" s="457" t="e">
        <f aca="false">IF(ABS(t-ROUND(t,0))&lt;0.001,pos_x,NA())</f>
        <v>#N/A</v>
      </c>
      <c r="AE671" s="458" t="e">
        <f aca="false">IF(t&lt;T_para, pos_z, NA())</f>
        <v>#N/A</v>
      </c>
      <c r="AF671" s="444"/>
      <c r="AG671" s="450" t="n">
        <f aca="false">IF(AND(L670&lt;L_rampe,Poussee&lt;Poids*SIN(M670)),0,(-W670+Poussee)/m-Poids*SIN(M670)/m)</f>
        <v>5.7700613631243</v>
      </c>
      <c r="AH671" s="449" t="n">
        <f aca="false">IF(AND(L670&lt;L_rampe,Poussee&lt;Poids*SIN(M670)), g*SIN(M670), (-W670+Poussee)/m)</f>
        <v>-3.83719521067953</v>
      </c>
    </row>
    <row r="672" customFormat="false" ht="12" hidden="false" customHeight="false" outlineLevel="0" collapsed="false">
      <c r="A672" s="448" t="n">
        <f aca="false">IF(B671+0.01&lt;=T_ini+ROUNDUP(Temps_fin_propu,0), 0.01, IF(K671&gt;0, 0.1, 0.0001))</f>
        <v>0.1</v>
      </c>
      <c r="B672" s="449" t="n">
        <f aca="false">B671+pas</f>
        <v>30.8000000000001</v>
      </c>
      <c r="C672" s="432"/>
      <c r="D672" s="450" t="n">
        <f aca="false">IF(AND(L671&lt;L_rampe,Poussee&lt;Poids*SIN(M671)),0,(-W671+Poussee)/m*COS(M671)-U671/m*SIN(M671))</f>
        <v>-0.778265939632137</v>
      </c>
      <c r="E672" s="451" t="n">
        <f aca="false">IF(AND(L671&lt;L_rampe,Poussee&lt;Poids*SIN(M671)),0,(-W671+Poussee)/m*SIN(M671)+U671/m*COS(M671)-Poids/m)</f>
        <v>-6.00832323506499</v>
      </c>
      <c r="F672" s="449" t="n">
        <f aca="false">SQRT(acc_x^2+acc_z^2)</f>
        <v>6.05851846327246</v>
      </c>
      <c r="G672" s="450" t="n">
        <f aca="false">G671+acc_x*pas</f>
        <v>22.8839948329841</v>
      </c>
      <c r="H672" s="451" t="n">
        <f aca="false">H671+acc_z*pas</f>
        <v>-112.764835081579</v>
      </c>
      <c r="I672" s="449" t="n">
        <f aca="false">SQRT(vit_x^2+vit_z^2)</f>
        <v>115.063396658067</v>
      </c>
      <c r="J672" s="450" t="n">
        <f aca="false">J671+0.5*(vit_x+G671)*pas*(K671&gt;=0)</f>
        <v>914.643751573924</v>
      </c>
      <c r="K672" s="451" t="n">
        <f aca="false">K671+0.5*(vit_z+H671)*pas</f>
        <v>603.407426337162</v>
      </c>
      <c r="L672" s="449" t="n">
        <f aca="false">SQRT(pos_x^2+pos_z^2)</f>
        <v>1095.75257903053</v>
      </c>
      <c r="M672" s="450" t="n">
        <f aca="false">IF(AND(L671&gt;L_rampe,G672&gt;0),ATAN2(G672,H672),$M$4)</f>
        <v>-1.37057971420266</v>
      </c>
      <c r="N672" s="449" t="n">
        <f aca="false">DEGREES(Beta)</f>
        <v>-78.528433110059</v>
      </c>
      <c r="O672" s="438"/>
      <c r="P672" s="452" t="n">
        <f aca="false">MATCH(t-pas/2-T_ini,CdP_t)</f>
        <v>23</v>
      </c>
      <c r="Q672" s="449" t="n">
        <f aca="false">(INDEX(CdP,2,i_P+1)-INDEX(CdP,2,i_P+0))/(INDEX(CdP,1,i_P+1)-INDEX(CdP,1,i_P+0))*(t-pas/2-T_ini-INDEX(CdP,1,i_P+0))+INDEX(CdP,2,i_P+0)</f>
        <v>0</v>
      </c>
      <c r="R672" s="450" t="n">
        <f aca="false">Poussee/(g*ISP)</f>
        <v>0</v>
      </c>
      <c r="S672" s="451" t="n">
        <f aca="false">S671-Débit*pas</f>
        <v>8.652</v>
      </c>
      <c r="T672" s="449" t="n">
        <f aca="false">m*g</f>
        <v>84.87612</v>
      </c>
      <c r="U672" s="453" t="n">
        <f aca="false">IF(pos_xz&lt;L_rampe,Poids*COS(Beta),0)</f>
        <v>0</v>
      </c>
      <c r="V672" s="450" t="n">
        <f aca="false">Rho_moyen*(20000-Alt_rampe-pos_z)/(20000+Alt_rampe+pos_z)</f>
        <v>1.1532473930678</v>
      </c>
      <c r="W672" s="449" t="n">
        <f aca="false">1/2*Rho*Sref*Cx*vit_xz^2</f>
        <v>33.9494778340709</v>
      </c>
      <c r="X672" s="438"/>
      <c r="Y672" s="454" t="str">
        <f aca="false">IF(AND(pos_z&lt;=0,K671&gt;0),"Impact balistique","") &amp; IF(AND(H673&lt;0,vit_z&gt;=0),"Apogée","") &amp; IF(AND(Poussee=0,Q671&gt;0),"Fin de propulsion","") &amp; IF(AND(L673&gt;L_rampe,pos_xz&lt;=L_rampe),"Sortie de rampe","")</f>
        <v/>
      </c>
      <c r="Z672" s="455" t="str">
        <f aca="false">IF(ABS(t-T_para)&lt;pas/2,"Para","")</f>
        <v/>
      </c>
      <c r="AA672" s="456" t="str">
        <f aca="false">IF(ABS(t-T_satellite)&lt;pas/2,"Satellite","")</f>
        <v/>
      </c>
      <c r="AB672" s="444"/>
      <c r="AC672" s="452" t="e">
        <f aca="false">IF(ABS(t-ROUND(t,0))&lt;0.001,t,NA())</f>
        <v>#N/A</v>
      </c>
      <c r="AD672" s="457" t="e">
        <f aca="false">IF(ABS(t-ROUND(t,0))&lt;0.001,pos_x,NA())</f>
        <v>#N/A</v>
      </c>
      <c r="AE672" s="458" t="e">
        <f aca="false">IF(t&lt;T_para, pos_z, NA())</f>
        <v>#N/A</v>
      </c>
      <c r="AF672" s="444"/>
      <c r="AG672" s="450" t="n">
        <f aca="false">IF(AND(L671&lt;L_rampe,Poussee&lt;Poids*SIN(M671)),0,(-W671+Poussee)/m-Poids*SIN(M671)/m)</f>
        <v>5.73015951375932</v>
      </c>
      <c r="AH672" s="449" t="n">
        <f aca="false">IF(AND(L671&lt;L_rampe,Poussee&lt;Poids*SIN(M671)), g*SIN(M671), (-W671+Poussee)/m)</f>
        <v>-3.88052111163414</v>
      </c>
    </row>
    <row r="673" customFormat="false" ht="12" hidden="false" customHeight="false" outlineLevel="0" collapsed="false">
      <c r="A673" s="448" t="n">
        <f aca="false">IF(B672+0.01&lt;=T_ini+ROUNDUP(Temps_fin_propu,0), 0.01, IF(K672&gt;0, 0.1, 0.0001))</f>
        <v>0.1</v>
      </c>
      <c r="B673" s="449" t="n">
        <f aca="false">B672+pas</f>
        <v>30.9000000000001</v>
      </c>
      <c r="C673" s="432"/>
      <c r="D673" s="450" t="n">
        <f aca="false">IF(AND(L672&lt;L_rampe,Poussee&lt;Poids*SIN(M672)),0,(-W672+Poussee)/m*COS(M672)-U672/m*SIN(M672))</f>
        <v>-0.780389179399237</v>
      </c>
      <c r="E673" s="451" t="n">
        <f aca="false">IF(AND(L672&lt;L_rampe,Poussee&lt;Poids*SIN(M672)),0,(-W672+Poussee)/m*SIN(M672)+U672/m*COS(M672)-Poids/m)</f>
        <v>-5.96449759726553</v>
      </c>
      <c r="F673" s="449" t="n">
        <f aca="false">SQRT(acc_x^2+acc_z^2)</f>
        <v>6.01533364487039</v>
      </c>
      <c r="G673" s="450" t="n">
        <f aca="false">G672+acc_x*pas</f>
        <v>22.8059559150442</v>
      </c>
      <c r="H673" s="451" t="n">
        <f aca="false">H672+acc_z*pas</f>
        <v>-113.361284841305</v>
      </c>
      <c r="I673" s="449" t="n">
        <f aca="false">SQRT(vit_x^2+vit_z^2)</f>
        <v>115.632575540245</v>
      </c>
      <c r="J673" s="450" t="n">
        <f aca="false">J672+0.5*(vit_x+G672)*pas*(K672&gt;=0)</f>
        <v>916.928249111326</v>
      </c>
      <c r="K673" s="451" t="n">
        <f aca="false">K672+0.5*(vit_z+H672)*pas</f>
        <v>592.101120341018</v>
      </c>
      <c r="L673" s="449" t="n">
        <f aca="false">SQRT(pos_x^2+pos_z^2)</f>
        <v>1091.48575379042</v>
      </c>
      <c r="M673" s="450" t="n">
        <f aca="false">IF(AND(L672&gt;L_rampe,G673&gt;0),ATAN2(G673,H673),$M$4)</f>
        <v>-1.37226698063046</v>
      </c>
      <c r="N673" s="449" t="n">
        <f aca="false">DEGREES(Beta)</f>
        <v>-78.6251063552863</v>
      </c>
      <c r="O673" s="438"/>
      <c r="P673" s="452" t="n">
        <f aca="false">MATCH(t-pas/2-T_ini,CdP_t)</f>
        <v>23</v>
      </c>
      <c r="Q673" s="449" t="n">
        <f aca="false">(INDEX(CdP,2,i_P+1)-INDEX(CdP,2,i_P+0))/(INDEX(CdP,1,i_P+1)-INDEX(CdP,1,i_P+0))*(t-pas/2-T_ini-INDEX(CdP,1,i_P+0))+INDEX(CdP,2,i_P+0)</f>
        <v>0</v>
      </c>
      <c r="R673" s="450" t="n">
        <f aca="false">Poussee/(g*ISP)</f>
        <v>0</v>
      </c>
      <c r="S673" s="451" t="n">
        <f aca="false">S672-Débit*pas</f>
        <v>8.652</v>
      </c>
      <c r="T673" s="449" t="n">
        <f aca="false">m*g</f>
        <v>84.87612</v>
      </c>
      <c r="U673" s="453" t="n">
        <f aca="false">IF(pos_xz&lt;L_rampe,Poids*COS(Beta),0)</f>
        <v>0</v>
      </c>
      <c r="V673" s="450" t="n">
        <f aca="false">Rho_moyen*(20000-Alt_rampe-pos_z)/(20000+Alt_rampe+pos_z)</f>
        <v>1.15455319438469</v>
      </c>
      <c r="W673" s="449" t="n">
        <f aca="false">1/2*Rho*Sref*Cx*vit_xz^2</f>
        <v>34.3250028670237</v>
      </c>
      <c r="X673" s="438"/>
      <c r="Y673" s="454" t="str">
        <f aca="false">IF(AND(pos_z&lt;=0,K672&gt;0),"Impact balistique","") &amp; IF(AND(H674&lt;0,vit_z&gt;=0),"Apogée","") &amp; IF(AND(Poussee=0,Q672&gt;0),"Fin de propulsion","") &amp; IF(AND(L674&gt;L_rampe,pos_xz&lt;=L_rampe),"Sortie de rampe","")</f>
        <v/>
      </c>
      <c r="Z673" s="455" t="str">
        <f aca="false">IF(ABS(t-T_para)&lt;pas/2,"Para","")</f>
        <v/>
      </c>
      <c r="AA673" s="456" t="str">
        <f aca="false">IF(ABS(t-T_satellite)&lt;pas/2,"Satellite","")</f>
        <v/>
      </c>
      <c r="AB673" s="444"/>
      <c r="AC673" s="452" t="e">
        <f aca="false">IF(ABS(t-ROUND(t,0))&lt;0.001,t,NA())</f>
        <v>#N/A</v>
      </c>
      <c r="AD673" s="457" t="e">
        <f aca="false">IF(ABS(t-ROUND(t,0))&lt;0.001,pos_x,NA())</f>
        <v>#N/A</v>
      </c>
      <c r="AE673" s="458" t="e">
        <f aca="false">IF(t&lt;T_para, pos_z, NA())</f>
        <v>#N/A</v>
      </c>
      <c r="AF673" s="444"/>
      <c r="AG673" s="450" t="n">
        <f aca="false">IF(AND(L672&lt;L_rampe,Poussee&lt;Poids*SIN(M672)),0,(-W672+Poussee)/m-Poids*SIN(M672)/m)</f>
        <v>5.69014286877589</v>
      </c>
      <c r="AH673" s="449" t="n">
        <f aca="false">IF(AND(L672&lt;L_rampe,Poussee&lt;Poids*SIN(M672)), g*SIN(M672), (-W672+Poussee)/m)</f>
        <v>-3.92388786801559</v>
      </c>
    </row>
    <row r="674" customFormat="false" ht="12" hidden="false" customHeight="false" outlineLevel="0" collapsed="false">
      <c r="A674" s="448" t="n">
        <f aca="false">IF(B673+0.01&lt;=T_ini+ROUNDUP(Temps_fin_propu,0), 0.01, IF(K673&gt;0, 0.1, 0.0001))</f>
        <v>0.1</v>
      </c>
      <c r="B674" s="449" t="n">
        <f aca="false">B673+pas</f>
        <v>31.0000000000001</v>
      </c>
      <c r="C674" s="432"/>
      <c r="D674" s="450" t="n">
        <f aca="false">IF(AND(L673&lt;L_rampe,Poussee&lt;Poids*SIN(M673)),0,(-W673+Poussee)/m*COS(M673)-U673/m*SIN(M673))</f>
        <v>-0.782460013687838</v>
      </c>
      <c r="E674" s="451" t="n">
        <f aca="false">IF(AND(L673&lt;L_rampe,Poussee&lt;Poids*SIN(M673)),0,(-W673+Poussee)/m*SIN(M673)+U673/m*COS(M673)-Poids/m)</f>
        <v>-5.92063562435082</v>
      </c>
      <c r="F674" s="449" t="n">
        <f aca="false">SQRT(acc_x^2+acc_z^2)</f>
        <v>5.97211602946162</v>
      </c>
      <c r="G674" s="450" t="n">
        <f aca="false">G673+acc_x*pas</f>
        <v>22.7277099136754</v>
      </c>
      <c r="H674" s="451" t="n">
        <f aca="false">H673+acc_z*pas</f>
        <v>-113.95334840374</v>
      </c>
      <c r="I674" s="449" t="n">
        <f aca="false">SQRT(vit_x^2+vit_z^2)</f>
        <v>116.197738404602</v>
      </c>
      <c r="J674" s="450" t="n">
        <f aca="false">J673+0.5*(vit_x+G673)*pas*(K673&gt;=0)</f>
        <v>919.204932402762</v>
      </c>
      <c r="K674" s="451" t="n">
        <f aca="false">K673+0.5*(vit_z+H673)*pas</f>
        <v>580.735388678766</v>
      </c>
      <c r="L674" s="449" t="n">
        <f aca="false">SQRT(pos_x^2+pos_z^2)</f>
        <v>1087.28620860261</v>
      </c>
      <c r="M674" s="450" t="n">
        <f aca="false">IF(AND(L673&gt;L_rampe,G674&gt;0),ATAN2(G674,H674),$M$4)</f>
        <v>-1.37393207792137</v>
      </c>
      <c r="N674" s="449" t="n">
        <f aca="false">DEGREES(Beta)</f>
        <v>-78.720509402534</v>
      </c>
      <c r="O674" s="438"/>
      <c r="P674" s="452" t="n">
        <f aca="false">MATCH(t-pas/2-T_ini,CdP_t)</f>
        <v>23</v>
      </c>
      <c r="Q674" s="449" t="n">
        <f aca="false">(INDEX(CdP,2,i_P+1)-INDEX(CdP,2,i_P+0))/(INDEX(CdP,1,i_P+1)-INDEX(CdP,1,i_P+0))*(t-pas/2-T_ini-INDEX(CdP,1,i_P+0))+INDEX(CdP,2,i_P+0)</f>
        <v>0</v>
      </c>
      <c r="R674" s="450" t="n">
        <f aca="false">Poussee/(g*ISP)</f>
        <v>0</v>
      </c>
      <c r="S674" s="451" t="n">
        <f aca="false">S673-Débit*pas</f>
        <v>8.652</v>
      </c>
      <c r="T674" s="449" t="n">
        <f aca="false">m*g</f>
        <v>84.87612</v>
      </c>
      <c r="U674" s="453" t="n">
        <f aca="false">IF(pos_xz&lt;L_rampe,Poids*COS(Beta),0)</f>
        <v>0</v>
      </c>
      <c r="V674" s="450" t="n">
        <f aca="false">Rho_moyen*(20000-Alt_rampe-pos_z)/(20000+Alt_rampe+pos_z)</f>
        <v>1.15586730501158</v>
      </c>
      <c r="W674" s="449" t="n">
        <f aca="false">1/2*Rho*Sref*Cx*vit_xz^2</f>
        <v>34.7008063747929</v>
      </c>
      <c r="X674" s="438"/>
      <c r="Y674" s="454" t="str">
        <f aca="false">IF(AND(pos_z&lt;=0,K673&gt;0),"Impact balistique","") &amp; IF(AND(H675&lt;0,vit_z&gt;=0),"Apogée","") &amp; IF(AND(Poussee=0,Q673&gt;0),"Fin de propulsion","") &amp; IF(AND(L675&gt;L_rampe,pos_xz&lt;=L_rampe),"Sortie de rampe","")</f>
        <v/>
      </c>
      <c r="Z674" s="455" t="str">
        <f aca="false">IF(ABS(t-T_para)&lt;pas/2,"Para","")</f>
        <v/>
      </c>
      <c r="AA674" s="456" t="str">
        <f aca="false">IF(ABS(t-T_satellite)&lt;pas/2,"Satellite","")</f>
        <v/>
      </c>
      <c r="AB674" s="444"/>
      <c r="AC674" s="452" t="n">
        <f aca="false">IF(ABS(t-ROUND(t,0))&lt;0.001,t,NA())</f>
        <v>31.0000000000001</v>
      </c>
      <c r="AD674" s="457" t="n">
        <f aca="false">IF(ABS(t-ROUND(t,0))&lt;0.001,pos_x,NA())</f>
        <v>919.204932402762</v>
      </c>
      <c r="AE674" s="458" t="e">
        <f aca="false">IF(t&lt;T_para, pos_z, NA())</f>
        <v>#N/A</v>
      </c>
      <c r="AF674" s="444"/>
      <c r="AG674" s="450" t="n">
        <f aca="false">IF(AND(L673&lt;L_rampe,Poussee&lt;Poids*SIN(M673)),0,(-W673+Poussee)/m-Poids*SIN(M673)/m)</f>
        <v>5.65001782433513</v>
      </c>
      <c r="AH674" s="449" t="n">
        <f aca="false">IF(AND(L673&lt;L_rampe,Poussee&lt;Poids*SIN(M673)), g*SIN(M673), (-W673+Poussee)/m)</f>
        <v>-3.96729113118628</v>
      </c>
    </row>
    <row r="675" customFormat="false" ht="12" hidden="false" customHeight="false" outlineLevel="0" collapsed="false">
      <c r="A675" s="448" t="n">
        <f aca="false">IF(B674+0.01&lt;=T_ini+ROUNDUP(Temps_fin_propu,0), 0.01, IF(K674&gt;0, 0.1, 0.0001))</f>
        <v>0.1</v>
      </c>
      <c r="B675" s="449" t="n">
        <f aca="false">B674+pas</f>
        <v>31.1000000000001</v>
      </c>
      <c r="C675" s="432"/>
      <c r="D675" s="450" t="n">
        <f aca="false">IF(AND(L674&lt;L_rampe,Poussee&lt;Poids*SIN(M674)),0,(-W674+Poussee)/m*COS(M674)-U674/m*SIN(M674))</f>
        <v>-0.784478523567091</v>
      </c>
      <c r="E675" s="451" t="n">
        <f aca="false">IF(AND(L674&lt;L_rampe,Poussee&lt;Poids*SIN(M674)),0,(-W674+Poussee)/m*SIN(M674)+U674/m*COS(M674)-Poids/m)</f>
        <v>-5.87674166245392</v>
      </c>
      <c r="F675" s="449" t="n">
        <f aca="false">SQRT(acc_x^2+acc_z^2)</f>
        <v>5.92886996999931</v>
      </c>
      <c r="G675" s="450" t="n">
        <f aca="false">G674+acc_x*pas</f>
        <v>22.6492620613187</v>
      </c>
      <c r="H675" s="451" t="n">
        <f aca="false">H674+acc_z*pas</f>
        <v>-114.541022569986</v>
      </c>
      <c r="I675" s="449" t="n">
        <f aca="false">SQRT(vit_x^2+vit_z^2)</f>
        <v>116.758875137183</v>
      </c>
      <c r="J675" s="450" t="n">
        <f aca="false">J674+0.5*(vit_x+G674)*pas*(K674&gt;=0)</f>
        <v>921.473781001511</v>
      </c>
      <c r="K675" s="451" t="n">
        <f aca="false">K674+0.5*(vit_z+H674)*pas</f>
        <v>569.310670130079</v>
      </c>
      <c r="L675" s="449" t="n">
        <f aca="false">SQRT(pos_x^2+pos_z^2)</f>
        <v>1083.15676067556</v>
      </c>
      <c r="M675" s="450" t="n">
        <f aca="false">IF(AND(L674&gt;L_rampe,G675&gt;0),ATAN2(G675,H675),$M$4)</f>
        <v>-1.37557545529357</v>
      </c>
      <c r="N675" s="449" t="n">
        <f aca="false">DEGREES(Beta)</f>
        <v>-78.8146679901079</v>
      </c>
      <c r="O675" s="438"/>
      <c r="P675" s="452" t="n">
        <f aca="false">MATCH(t-pas/2-T_ini,CdP_t)</f>
        <v>23</v>
      </c>
      <c r="Q675" s="449" t="n">
        <f aca="false">(INDEX(CdP,2,i_P+1)-INDEX(CdP,2,i_P+0))/(INDEX(CdP,1,i_P+1)-INDEX(CdP,1,i_P+0))*(t-pas/2-T_ini-INDEX(CdP,1,i_P+0))+INDEX(CdP,2,i_P+0)</f>
        <v>0</v>
      </c>
      <c r="R675" s="450" t="n">
        <f aca="false">Poussee/(g*ISP)</f>
        <v>0</v>
      </c>
      <c r="S675" s="451" t="n">
        <f aca="false">S674-Débit*pas</f>
        <v>8.652</v>
      </c>
      <c r="T675" s="449" t="n">
        <f aca="false">m*g</f>
        <v>84.87612</v>
      </c>
      <c r="U675" s="453" t="n">
        <f aca="false">IF(pos_xz&lt;L_rampe,Poids*COS(Beta),0)</f>
        <v>0</v>
      </c>
      <c r="V675" s="450" t="n">
        <f aca="false">Rho_moyen*(20000-Alt_rampe-pos_z)/(20000+Alt_rampe+pos_z)</f>
        <v>1.15718969929585</v>
      </c>
      <c r="W675" s="449" t="n">
        <f aca="false">1/2*Rho*Sref*Cx*vit_xz^2</f>
        <v>35.0768512236207</v>
      </c>
      <c r="X675" s="438"/>
      <c r="Y675" s="454" t="str">
        <f aca="false">IF(AND(pos_z&lt;=0,K674&gt;0),"Impact balistique","") &amp; IF(AND(H676&lt;0,vit_z&gt;=0),"Apogée","") &amp; IF(AND(Poussee=0,Q674&gt;0),"Fin de propulsion","") &amp; IF(AND(L676&gt;L_rampe,pos_xz&lt;=L_rampe),"Sortie de rampe","")</f>
        <v/>
      </c>
      <c r="Z675" s="455" t="str">
        <f aca="false">IF(ABS(t-T_para)&lt;pas/2,"Para","")</f>
        <v/>
      </c>
      <c r="AA675" s="456" t="str">
        <f aca="false">IF(ABS(t-T_satellite)&lt;pas/2,"Satellite","")</f>
        <v/>
      </c>
      <c r="AB675" s="444"/>
      <c r="AC675" s="452" t="e">
        <f aca="false">IF(ABS(t-ROUND(t,0))&lt;0.001,t,NA())</f>
        <v>#N/A</v>
      </c>
      <c r="AD675" s="457" t="e">
        <f aca="false">IF(ABS(t-ROUND(t,0))&lt;0.001,pos_x,NA())</f>
        <v>#N/A</v>
      </c>
      <c r="AE675" s="458" t="e">
        <f aca="false">IF(t&lt;T_para, pos_z, NA())</f>
        <v>#N/A</v>
      </c>
      <c r="AF675" s="444"/>
      <c r="AG675" s="450" t="n">
        <f aca="false">IF(AND(L674&lt;L_rampe,Poussee&lt;Poids*SIN(M674)),0,(-W674+Poussee)/m-Poids*SIN(M674)/m)</f>
        <v>5.60979067900196</v>
      </c>
      <c r="AH675" s="449" t="n">
        <f aca="false">IF(AND(L674&lt;L_rampe,Poussee&lt;Poids*SIN(M674)), g*SIN(M674), (-W674+Poussee)/m)</f>
        <v>-4.01072658053547</v>
      </c>
    </row>
    <row r="676" customFormat="false" ht="12" hidden="false" customHeight="false" outlineLevel="0" collapsed="false">
      <c r="A676" s="448" t="n">
        <f aca="false">IF(B675+0.01&lt;=T_ini+ROUNDUP(Temps_fin_propu,0), 0.01, IF(K675&gt;0, 0.1, 0.0001))</f>
        <v>0.1</v>
      </c>
      <c r="B676" s="449" t="n">
        <f aca="false">B675+pas</f>
        <v>31.2000000000001</v>
      </c>
      <c r="C676" s="432"/>
      <c r="D676" s="450" t="n">
        <f aca="false">IF(AND(L675&lt;L_rampe,Poussee&lt;Poids*SIN(M675)),0,(-W675+Poussee)/m*COS(M675)-U675/m*SIN(M675))</f>
        <v>-0.78644479856642</v>
      </c>
      <c r="E676" s="451" t="n">
        <f aca="false">IF(AND(L675&lt;L_rampe,Poussee&lt;Poids*SIN(M675)),0,(-W675+Poussee)/m*SIN(M675)+U675/m*COS(M675)-Poids/m)</f>
        <v>-5.8328200292456</v>
      </c>
      <c r="F676" s="449" t="n">
        <f aca="false">SQRT(acc_x^2+acc_z^2)</f>
        <v>5.88559979226934</v>
      </c>
      <c r="G676" s="450" t="n">
        <f aca="false">G675+acc_x*pas</f>
        <v>22.570617581462</v>
      </c>
      <c r="H676" s="451" t="n">
        <f aca="false">H675+acc_z*pas</f>
        <v>-115.12430457291</v>
      </c>
      <c r="I676" s="449" t="n">
        <f aca="false">SQRT(vit_x^2+vit_z^2)</f>
        <v>117.31597624111</v>
      </c>
      <c r="J676" s="450" t="n">
        <f aca="false">J675+0.5*(vit_x+G675)*pas*(K675&gt;=0)</f>
        <v>923.73477498365</v>
      </c>
      <c r="K676" s="451" t="n">
        <f aca="false">K675+0.5*(vit_z+H675)*pas</f>
        <v>557.827403772935</v>
      </c>
      <c r="L676" s="449" t="n">
        <f aca="false">SQRT(pos_x^2+pos_z^2)</f>
        <v>1079.10024877865</v>
      </c>
      <c r="M676" s="450" t="n">
        <f aca="false">IF(AND(L675&gt;L_rampe,G676&gt;0),ATAN2(G676,H676),$M$4)</f>
        <v>-1.37719754994901</v>
      </c>
      <c r="N676" s="449" t="n">
        <f aca="false">DEGREES(Beta)</f>
        <v>-78.9076071678357</v>
      </c>
      <c r="O676" s="438"/>
      <c r="P676" s="452" t="n">
        <f aca="false">MATCH(t-pas/2-T_ini,CdP_t)</f>
        <v>23</v>
      </c>
      <c r="Q676" s="449" t="n">
        <f aca="false">(INDEX(CdP,2,i_P+1)-INDEX(CdP,2,i_P+0))/(INDEX(CdP,1,i_P+1)-INDEX(CdP,1,i_P+0))*(t-pas/2-T_ini-INDEX(CdP,1,i_P+0))+INDEX(CdP,2,i_P+0)</f>
        <v>0</v>
      </c>
      <c r="R676" s="450" t="n">
        <f aca="false">Poussee/(g*ISP)</f>
        <v>0</v>
      </c>
      <c r="S676" s="451" t="n">
        <f aca="false">S675-Débit*pas</f>
        <v>8.652</v>
      </c>
      <c r="T676" s="449" t="n">
        <f aca="false">m*g</f>
        <v>84.87612</v>
      </c>
      <c r="U676" s="453" t="n">
        <f aca="false">IF(pos_xz&lt;L_rampe,Poids*COS(Beta),0)</f>
        <v>0</v>
      </c>
      <c r="V676" s="450" t="n">
        <f aca="false">Rho_moyen*(20000-Alt_rampe-pos_z)/(20000+Alt_rampe+pos_z)</f>
        <v>1.15852035152349</v>
      </c>
      <c r="W676" s="449" t="n">
        <f aca="false">1/2*Rho*Sref*Cx*vit_xz^2</f>
        <v>35.4531005334758</v>
      </c>
      <c r="X676" s="438"/>
      <c r="Y676" s="454" t="str">
        <f aca="false">IF(AND(pos_z&lt;=0,K675&gt;0),"Impact balistique","") &amp; IF(AND(H677&lt;0,vit_z&gt;=0),"Apogée","") &amp; IF(AND(Poussee=0,Q675&gt;0),"Fin de propulsion","") &amp; IF(AND(L677&gt;L_rampe,pos_xz&lt;=L_rampe),"Sortie de rampe","")</f>
        <v/>
      </c>
      <c r="Z676" s="455" t="str">
        <f aca="false">IF(ABS(t-T_para)&lt;pas/2,"Para","")</f>
        <v/>
      </c>
      <c r="AA676" s="456" t="str">
        <f aca="false">IF(ABS(t-T_satellite)&lt;pas/2,"Satellite","")</f>
        <v/>
      </c>
      <c r="AB676" s="444"/>
      <c r="AC676" s="452" t="e">
        <f aca="false">IF(ABS(t-ROUND(t,0))&lt;0.001,t,NA())</f>
        <v>#N/A</v>
      </c>
      <c r="AD676" s="457" t="e">
        <f aca="false">IF(ABS(t-ROUND(t,0))&lt;0.001,pos_x,NA())</f>
        <v>#N/A</v>
      </c>
      <c r="AE676" s="458" t="e">
        <f aca="false">IF(t&lt;T_para, pos_z, NA())</f>
        <v>#N/A</v>
      </c>
      <c r="AF676" s="444"/>
      <c r="AG676" s="450" t="n">
        <f aca="false">IF(AND(L675&lt;L_rampe,Poussee&lt;Poids*SIN(M675)),0,(-W675+Poussee)/m-Poids*SIN(M675)/m)</f>
        <v>5.56946763586886</v>
      </c>
      <c r="AH676" s="449" t="n">
        <f aca="false">IF(AND(L675&lt;L_rampe,Poussee&lt;Poids*SIN(M675)), g*SIN(M675), (-W675+Poussee)/m)</f>
        <v>-4.05418992413554</v>
      </c>
    </row>
    <row r="677" customFormat="false" ht="12" hidden="false" customHeight="false" outlineLevel="0" collapsed="false">
      <c r="A677" s="448" t="n">
        <f aca="false">IF(B676+0.01&lt;=T_ini+ROUNDUP(Temps_fin_propu,0), 0.01, IF(K676&gt;0, 0.1, 0.0001))</f>
        <v>0.1</v>
      </c>
      <c r="B677" s="449" t="n">
        <f aca="false">B676+pas</f>
        <v>31.3000000000001</v>
      </c>
      <c r="C677" s="432"/>
      <c r="D677" s="450" t="n">
        <f aca="false">IF(AND(L676&lt;L_rampe,Poussee&lt;Poids*SIN(M676)),0,(-W676+Poussee)/m*COS(M676)-U676/m*SIN(M676))</f>
        <v>-0.788358936538361</v>
      </c>
      <c r="E677" s="451" t="n">
        <f aca="false">IF(AND(L676&lt;L_rampe,Poussee&lt;Poids*SIN(M676)),0,(-W676+Poussee)/m*SIN(M676)+U676/m*COS(M676)-Poids/m)</f>
        <v>-5.78887501326675</v>
      </c>
      <c r="F677" s="449" t="n">
        <f aca="false">SQRT(acc_x^2+acc_z^2)</f>
        <v>5.84230979425466</v>
      </c>
      <c r="G677" s="450" t="n">
        <f aca="false">G676+acc_x*pas</f>
        <v>22.4917816878082</v>
      </c>
      <c r="H677" s="451" t="n">
        <f aca="false">H676+acc_z*pas</f>
        <v>-115.703192074237</v>
      </c>
      <c r="I677" s="449" t="n">
        <f aca="false">SQRT(vit_x^2+vit_z^2)</f>
        <v>117.869032827371</v>
      </c>
      <c r="J677" s="450" t="n">
        <f aca="false">J676+0.5*(vit_x+G676)*pas*(K676&gt;=0)</f>
        <v>925.987894947114</v>
      </c>
      <c r="K677" s="451" t="n">
        <f aca="false">K676+0.5*(vit_z+H676)*pas</f>
        <v>546.286028940577</v>
      </c>
      <c r="L677" s="449" t="n">
        <f aca="false">SQRT(pos_x^2+pos_z^2)</f>
        <v>1075.11953149603</v>
      </c>
      <c r="M677" s="450" t="n">
        <f aca="false">IF(AND(L676&gt;L_rampe,G677&gt;0),ATAN2(G677,H677),$M$4)</f>
        <v>-1.37879878746418</v>
      </c>
      <c r="N677" s="449" t="n">
        <f aca="false">DEGREES(Beta)</f>
        <v>-78.9993513194531</v>
      </c>
      <c r="O677" s="438"/>
      <c r="P677" s="452" t="n">
        <f aca="false">MATCH(t-pas/2-T_ini,CdP_t)</f>
        <v>23</v>
      </c>
      <c r="Q677" s="449" t="n">
        <f aca="false">(INDEX(CdP,2,i_P+1)-INDEX(CdP,2,i_P+0))/(INDEX(CdP,1,i_P+1)-INDEX(CdP,1,i_P+0))*(t-pas/2-T_ini-INDEX(CdP,1,i_P+0))+INDEX(CdP,2,i_P+0)</f>
        <v>0</v>
      </c>
      <c r="R677" s="450" t="n">
        <f aca="false">Poussee/(g*ISP)</f>
        <v>0</v>
      </c>
      <c r="S677" s="451" t="n">
        <f aca="false">S676-Débit*pas</f>
        <v>8.652</v>
      </c>
      <c r="T677" s="449" t="n">
        <f aca="false">m*g</f>
        <v>84.87612</v>
      </c>
      <c r="U677" s="453" t="n">
        <f aca="false">IF(pos_xz&lt;L_rampe,Poids*COS(Beta),0)</f>
        <v>0</v>
      </c>
      <c r="V677" s="450" t="n">
        <f aca="false">Rho_moyen*(20000-Alt_rampe-pos_z)/(20000+Alt_rampe+pos_z)</f>
        <v>1.15985923592131</v>
      </c>
      <c r="W677" s="449" t="n">
        <f aca="false">1/2*Rho*Sref*Cx*vit_xz^2</f>
        <v>35.8295176834956</v>
      </c>
      <c r="X677" s="438"/>
      <c r="Y677" s="454" t="str">
        <f aca="false">IF(AND(pos_z&lt;=0,K676&gt;0),"Impact balistique","") &amp; IF(AND(H678&lt;0,vit_z&gt;=0),"Apogée","") &amp; IF(AND(Poussee=0,Q676&gt;0),"Fin de propulsion","") &amp; IF(AND(L678&gt;L_rampe,pos_xz&lt;=L_rampe),"Sortie de rampe","")</f>
        <v/>
      </c>
      <c r="Z677" s="455" t="str">
        <f aca="false">IF(ABS(t-T_para)&lt;pas/2,"Para","")</f>
        <v/>
      </c>
      <c r="AA677" s="456" t="str">
        <f aca="false">IF(ABS(t-T_satellite)&lt;pas/2,"Satellite","")</f>
        <v/>
      </c>
      <c r="AB677" s="444"/>
      <c r="AC677" s="452" t="e">
        <f aca="false">IF(ABS(t-ROUND(t,0))&lt;0.001,t,NA())</f>
        <v>#N/A</v>
      </c>
      <c r="AD677" s="457" t="e">
        <f aca="false">IF(ABS(t-ROUND(t,0))&lt;0.001,pos_x,NA())</f>
        <v>#N/A</v>
      </c>
      <c r="AE677" s="458" t="e">
        <f aca="false">IF(t&lt;T_para, pos_z, NA())</f>
        <v>#N/A</v>
      </c>
      <c r="AF677" s="444"/>
      <c r="AG677" s="450" t="n">
        <f aca="false">IF(AND(L676&lt;L_rampe,Poussee&lt;Poids*SIN(M676)),0,(-W676+Poussee)/m-Poids*SIN(M676)/m)</f>
        <v>5.52905480456628</v>
      </c>
      <c r="AH677" s="449" t="n">
        <f aca="false">IF(AND(L676&lt;L_rampe,Poussee&lt;Poids*SIN(M676)), g*SIN(M676), (-W676+Poussee)/m)</f>
        <v>-4.09767689938463</v>
      </c>
    </row>
    <row r="678" customFormat="false" ht="12" hidden="false" customHeight="false" outlineLevel="0" collapsed="false">
      <c r="A678" s="448" t="n">
        <f aca="false">IF(B677+0.01&lt;=T_ini+ROUNDUP(Temps_fin_propu,0), 0.01, IF(K677&gt;0, 0.1, 0.0001))</f>
        <v>0.1</v>
      </c>
      <c r="B678" s="449" t="n">
        <f aca="false">B677+pas</f>
        <v>31.4000000000001</v>
      </c>
      <c r="C678" s="432"/>
      <c r="D678" s="450" t="n">
        <f aca="false">IF(AND(L677&lt;L_rampe,Poussee&lt;Poids*SIN(M677)),0,(-W677+Poussee)/m*COS(M677)-U677/m*SIN(M677))</f>
        <v>-0.790221043522358</v>
      </c>
      <c r="E678" s="451" t="n">
        <f aca="false">IF(AND(L677&lt;L_rampe,Poussee&lt;Poids*SIN(M677)),0,(-W677+Poussee)/m*SIN(M677)+U677/m*COS(M677)-Poids/m)</f>
        <v>-5.74491087327546</v>
      </c>
      <c r="F678" s="449" t="n">
        <f aca="false">SQRT(acc_x^2+acc_z^2)</f>
        <v>5.79900424551527</v>
      </c>
      <c r="G678" s="450" t="n">
        <f aca="false">G677+acc_x*pas</f>
        <v>22.412759583456</v>
      </c>
      <c r="H678" s="451" t="n">
        <f aca="false">H677+acc_z*pas</f>
        <v>-116.277683161564</v>
      </c>
      <c r="I678" s="449" t="n">
        <f aca="false">SQRT(vit_x^2+vit_z^2)</f>
        <v>118.418036605776</v>
      </c>
      <c r="J678" s="450" t="n">
        <f aca="false">J677+0.5*(vit_x+G677)*pas*(K677&gt;=0)</f>
        <v>928.233122010677</v>
      </c>
      <c r="K678" s="451" t="n">
        <f aca="false">K677+0.5*(vit_z+H677)*pas</f>
        <v>534.686985178787</v>
      </c>
      <c r="L678" s="449" t="n">
        <f aca="false">SQRT(pos_x^2+pos_z^2)</f>
        <v>1071.21748534892</v>
      </c>
      <c r="M678" s="450" t="n">
        <f aca="false">IF(AND(L677&gt;L_rampe,G678&gt;0),ATAN2(G678,H678),$M$4)</f>
        <v>-1.38037958216594</v>
      </c>
      <c r="N678" s="449" t="n">
        <f aca="false">DEGREES(Beta)</f>
        <v>-79.0899241841405</v>
      </c>
      <c r="O678" s="438"/>
      <c r="P678" s="452" t="n">
        <f aca="false">MATCH(t-pas/2-T_ini,CdP_t)</f>
        <v>23</v>
      </c>
      <c r="Q678" s="449" t="n">
        <f aca="false">(INDEX(CdP,2,i_P+1)-INDEX(CdP,2,i_P+0))/(INDEX(CdP,1,i_P+1)-INDEX(CdP,1,i_P+0))*(t-pas/2-T_ini-INDEX(CdP,1,i_P+0))+INDEX(CdP,2,i_P+0)</f>
        <v>0</v>
      </c>
      <c r="R678" s="450" t="n">
        <f aca="false">Poussee/(g*ISP)</f>
        <v>0</v>
      </c>
      <c r="S678" s="451" t="n">
        <f aca="false">S677-Débit*pas</f>
        <v>8.652</v>
      </c>
      <c r="T678" s="449" t="n">
        <f aca="false">m*g</f>
        <v>84.87612</v>
      </c>
      <c r="U678" s="453" t="n">
        <f aca="false">IF(pos_xz&lt;L_rampe,Poids*COS(Beta),0)</f>
        <v>0</v>
      </c>
      <c r="V678" s="450" t="n">
        <f aca="false">Rho_moyen*(20000-Alt_rampe-pos_z)/(20000+Alt_rampe+pos_z)</f>
        <v>1.1612063266592</v>
      </c>
      <c r="W678" s="449" t="n">
        <f aca="false">1/2*Rho*Sref*Cx*vit_xz^2</f>
        <v>36.2060663173094</v>
      </c>
      <c r="X678" s="438"/>
      <c r="Y678" s="454" t="str">
        <f aca="false">IF(AND(pos_z&lt;=0,K677&gt;0),"Impact balistique","") &amp; IF(AND(H679&lt;0,vit_z&gt;=0),"Apogée","") &amp; IF(AND(Poussee=0,Q677&gt;0),"Fin de propulsion","") &amp; IF(AND(L679&gt;L_rampe,pos_xz&lt;=L_rampe),"Sortie de rampe","")</f>
        <v/>
      </c>
      <c r="Z678" s="455" t="str">
        <f aca="false">IF(ABS(t-T_para)&lt;pas/2,"Para","")</f>
        <v/>
      </c>
      <c r="AA678" s="456" t="str">
        <f aca="false">IF(ABS(t-T_satellite)&lt;pas/2,"Satellite","")</f>
        <v/>
      </c>
      <c r="AB678" s="444"/>
      <c r="AC678" s="452" t="e">
        <f aca="false">IF(ABS(t-ROUND(t,0))&lt;0.001,t,NA())</f>
        <v>#N/A</v>
      </c>
      <c r="AD678" s="457" t="e">
        <f aca="false">IF(ABS(t-ROUND(t,0))&lt;0.001,pos_x,NA())</f>
        <v>#N/A</v>
      </c>
      <c r="AE678" s="458" t="e">
        <f aca="false">IF(t&lt;T_para, pos_z, NA())</f>
        <v>#N/A</v>
      </c>
      <c r="AF678" s="444"/>
      <c r="AG678" s="450" t="n">
        <f aca="false">IF(AND(L677&lt;L_rampe,Poussee&lt;Poids*SIN(M677)),0,(-W677+Poussee)/m-Poids*SIN(M677)/m)</f>
        <v>5.48855820316632</v>
      </c>
      <c r="AH678" s="449" t="n">
        <f aca="false">IF(AND(L677&lt;L_rampe,Poussee&lt;Poids*SIN(M677)), g*SIN(M677), (-W677+Poussee)/m)</f>
        <v>-4.14118327363565</v>
      </c>
    </row>
    <row r="679" customFormat="false" ht="12" hidden="false" customHeight="false" outlineLevel="0" collapsed="false">
      <c r="A679" s="448" t="n">
        <f aca="false">IF(B678+0.01&lt;=T_ini+ROUNDUP(Temps_fin_propu,0), 0.01, IF(K678&gt;0, 0.1, 0.0001))</f>
        <v>0.1</v>
      </c>
      <c r="B679" s="449" t="n">
        <f aca="false">B678+pas</f>
        <v>31.5000000000001</v>
      </c>
      <c r="C679" s="432"/>
      <c r="D679" s="450" t="n">
        <f aca="false">IF(AND(L678&lt;L_rampe,Poussee&lt;Poids*SIN(M678)),0,(-W678+Poussee)/m*COS(M678)-U678/m*SIN(M678))</f>
        <v>-0.792031233609471</v>
      </c>
      <c r="E679" s="451" t="n">
        <f aca="false">IF(AND(L678&lt;L_rampe,Poussee&lt;Poids*SIN(M678)),0,(-W678+Poussee)/m*SIN(M678)+U678/m*COS(M678)-Poids/m)</f>
        <v>-5.7009318376089</v>
      </c>
      <c r="F679" s="449" t="n">
        <f aca="false">SQRT(acc_x^2+acc_z^2)</f>
        <v>5.75568738658344</v>
      </c>
      <c r="G679" s="450" t="n">
        <f aca="false">G678+acc_x*pas</f>
        <v>22.333556460095</v>
      </c>
      <c r="H679" s="451" t="n">
        <f aca="false">H678+acc_z*pas</f>
        <v>-116.847776345325</v>
      </c>
      <c r="I679" s="449" t="n">
        <f aca="false">SQRT(vit_x^2+vit_z^2)</f>
        <v>118.962979876109</v>
      </c>
      <c r="J679" s="450" t="n">
        <f aca="false">J678+0.5*(vit_x+G678)*pas*(K678&gt;=0)</f>
        <v>930.470437812855</v>
      </c>
      <c r="K679" s="451" t="n">
        <f aca="false">K678+0.5*(vit_z+H678)*pas</f>
        <v>523.030712203443</v>
      </c>
      <c r="L679" s="449" t="n">
        <f aca="false">SQRT(pos_x^2+pos_z^2)</f>
        <v>1067.39700278373</v>
      </c>
      <c r="M679" s="450" t="n">
        <f aca="false">IF(AND(L678&gt;L_rampe,G679&gt;0),ATAN2(G679,H679),$M$4)</f>
        <v>-1.38194033749321</v>
      </c>
      <c r="N679" s="449" t="n">
        <f aca="false">DEGREES(Beta)</f>
        <v>-79.1793488772455</v>
      </c>
      <c r="O679" s="438"/>
      <c r="P679" s="452" t="n">
        <f aca="false">MATCH(t-pas/2-T_ini,CdP_t)</f>
        <v>23</v>
      </c>
      <c r="Q679" s="449" t="n">
        <f aca="false">(INDEX(CdP,2,i_P+1)-INDEX(CdP,2,i_P+0))/(INDEX(CdP,1,i_P+1)-INDEX(CdP,1,i_P+0))*(t-pas/2-T_ini-INDEX(CdP,1,i_P+0))+INDEX(CdP,2,i_P+0)</f>
        <v>0</v>
      </c>
      <c r="R679" s="450" t="n">
        <f aca="false">Poussee/(g*ISP)</f>
        <v>0</v>
      </c>
      <c r="S679" s="451" t="n">
        <f aca="false">S678-Débit*pas</f>
        <v>8.652</v>
      </c>
      <c r="T679" s="449" t="n">
        <f aca="false">m*g</f>
        <v>84.87612</v>
      </c>
      <c r="U679" s="453" t="n">
        <f aca="false">IF(pos_xz&lt;L_rampe,Poids*COS(Beta),0)</f>
        <v>0</v>
      </c>
      <c r="V679" s="450" t="n">
        <f aca="false">Rho_moyen*(20000-Alt_rampe-pos_z)/(20000+Alt_rampe+pos_z)</f>
        <v>1.16256159785229</v>
      </c>
      <c r="W679" s="449" t="n">
        <f aca="false">1/2*Rho*Sref*Cx*vit_xz^2</f>
        <v>36.5827103482413</v>
      </c>
      <c r="X679" s="438"/>
      <c r="Y679" s="454" t="str">
        <f aca="false">IF(AND(pos_z&lt;=0,K678&gt;0),"Impact balistique","") &amp; IF(AND(H680&lt;0,vit_z&gt;=0),"Apogée","") &amp; IF(AND(Poussee=0,Q678&gt;0),"Fin de propulsion","") &amp; IF(AND(L680&gt;L_rampe,pos_xz&lt;=L_rampe),"Sortie de rampe","")</f>
        <v/>
      </c>
      <c r="Z679" s="455" t="str">
        <f aca="false">IF(ABS(t-T_para)&lt;pas/2,"Para","")</f>
        <v/>
      </c>
      <c r="AA679" s="456" t="str">
        <f aca="false">IF(ABS(t-T_satellite)&lt;pas/2,"Satellite","")</f>
        <v/>
      </c>
      <c r="AB679" s="444"/>
      <c r="AC679" s="452" t="e">
        <f aca="false">IF(ABS(t-ROUND(t,0))&lt;0.001,t,NA())</f>
        <v>#N/A</v>
      </c>
      <c r="AD679" s="457" t="e">
        <f aca="false">IF(ABS(t-ROUND(t,0))&lt;0.001,pos_x,NA())</f>
        <v>#N/A</v>
      </c>
      <c r="AE679" s="458" t="e">
        <f aca="false">IF(t&lt;T_para, pos_z, NA())</f>
        <v>#N/A</v>
      </c>
      <c r="AF679" s="444"/>
      <c r="AG679" s="450" t="n">
        <f aca="false">IF(AND(L678&lt;L_rampe,Poussee&lt;Poids*SIN(M678)),0,(-W678+Poussee)/m-Poids*SIN(M678)/m)</f>
        <v>5.44798375998591</v>
      </c>
      <c r="AH679" s="449" t="n">
        <f aca="false">IF(AND(L678&lt;L_rampe,Poussee&lt;Poids*SIN(M678)), g*SIN(M678), (-W678+Poussee)/m)</f>
        <v>-4.18470484481154</v>
      </c>
    </row>
    <row r="680" customFormat="false" ht="12" hidden="false" customHeight="false" outlineLevel="0" collapsed="false">
      <c r="A680" s="448" t="n">
        <f aca="false">IF(B679+0.01&lt;=T_ini+ROUNDUP(Temps_fin_propu,0), 0.01, IF(K679&gt;0, 0.1, 0.0001))</f>
        <v>0.1</v>
      </c>
      <c r="B680" s="449" t="n">
        <f aca="false">B679+pas</f>
        <v>31.6000000000001</v>
      </c>
      <c r="C680" s="432"/>
      <c r="D680" s="450" t="n">
        <f aca="false">IF(AND(L679&lt;L_rampe,Poussee&lt;Poids*SIN(M679)),0,(-W679+Poussee)/m*COS(M679)-U679/m*SIN(M679))</f>
        <v>-0.793789628807941</v>
      </c>
      <c r="E680" s="451" t="n">
        <f aca="false">IF(AND(L679&lt;L_rampe,Poussee&lt;Poids*SIN(M679)),0,(-W679+Poussee)/m*SIN(M679)+U679/m*COS(M679)-Poids/m)</f>
        <v>-5.65694210355987</v>
      </c>
      <c r="F680" s="449" t="n">
        <f aca="false">SQRT(acc_x^2+acc_z^2)</f>
        <v>5.71236342837459</v>
      </c>
      <c r="G680" s="450" t="n">
        <f aca="false">G679+acc_x*pas</f>
        <v>22.2541774972142</v>
      </c>
      <c r="H680" s="451" t="n">
        <f aca="false">H679+acc_z*pas</f>
        <v>-117.413470555681</v>
      </c>
      <c r="I680" s="449" t="n">
        <f aca="false">SQRT(vit_x^2+vit_z^2)</f>
        <v>119.503855519424</v>
      </c>
      <c r="J680" s="450" t="n">
        <f aca="false">J679+0.5*(vit_x+G679)*pas*(K679&gt;=0)</f>
        <v>932.69982451072</v>
      </c>
      <c r="K680" s="451" t="n">
        <f aca="false">K679+0.5*(vit_z+H679)*pas</f>
        <v>511.317649858392</v>
      </c>
      <c r="L680" s="449" t="n">
        <f aca="false">SQRT(pos_x^2+pos_z^2)</f>
        <v>1063.66099002409</v>
      </c>
      <c r="M680" s="450" t="n">
        <f aca="false">IF(AND(L679&gt;L_rampe,G680&gt;0),ATAN2(G680,H680),$M$4)</f>
        <v>-1.38348144634504</v>
      </c>
      <c r="N680" s="449" t="n">
        <f aca="false">DEGREES(Beta)</f>
        <v>-79.2676479102254</v>
      </c>
      <c r="O680" s="438"/>
      <c r="P680" s="452" t="n">
        <f aca="false">MATCH(t-pas/2-T_ini,CdP_t)</f>
        <v>23</v>
      </c>
      <c r="Q680" s="449" t="n">
        <f aca="false">(INDEX(CdP,2,i_P+1)-INDEX(CdP,2,i_P+0))/(INDEX(CdP,1,i_P+1)-INDEX(CdP,1,i_P+0))*(t-pas/2-T_ini-INDEX(CdP,1,i_P+0))+INDEX(CdP,2,i_P+0)</f>
        <v>0</v>
      </c>
      <c r="R680" s="450" t="n">
        <f aca="false">Poussee/(g*ISP)</f>
        <v>0</v>
      </c>
      <c r="S680" s="451" t="n">
        <f aca="false">S679-Débit*pas</f>
        <v>8.652</v>
      </c>
      <c r="T680" s="449" t="n">
        <f aca="false">m*g</f>
        <v>84.87612</v>
      </c>
      <c r="U680" s="453" t="n">
        <f aca="false">IF(pos_xz&lt;L_rampe,Poids*COS(Beta),0)</f>
        <v>0</v>
      </c>
      <c r="V680" s="450" t="n">
        <f aca="false">Rho_moyen*(20000-Alt_rampe-pos_z)/(20000+Alt_rampe+pos_z)</f>
        <v>1.16392502356319</v>
      </c>
      <c r="W680" s="449" t="n">
        <f aca="false">1/2*Rho*Sref*Cx*vit_xz^2</f>
        <v>36.9594139643935</v>
      </c>
      <c r="X680" s="438"/>
      <c r="Y680" s="454" t="str">
        <f aca="false">IF(AND(pos_z&lt;=0,K679&gt;0),"Impact balistique","") &amp; IF(AND(H681&lt;0,vit_z&gt;=0),"Apogée","") &amp; IF(AND(Poussee=0,Q679&gt;0),"Fin de propulsion","") &amp; IF(AND(L681&gt;L_rampe,pos_xz&lt;=L_rampe),"Sortie de rampe","")</f>
        <v/>
      </c>
      <c r="Z680" s="455" t="str">
        <f aca="false">IF(ABS(t-T_para)&lt;pas/2,"Para","")</f>
        <v/>
      </c>
      <c r="AA680" s="456" t="str">
        <f aca="false">IF(ABS(t-T_satellite)&lt;pas/2,"Satellite","")</f>
        <v/>
      </c>
      <c r="AB680" s="444"/>
      <c r="AC680" s="452" t="e">
        <f aca="false">IF(ABS(t-ROUND(t,0))&lt;0.001,t,NA())</f>
        <v>#N/A</v>
      </c>
      <c r="AD680" s="457" t="e">
        <f aca="false">IF(ABS(t-ROUND(t,0))&lt;0.001,pos_x,NA())</f>
        <v>#N/A</v>
      </c>
      <c r="AE680" s="458" t="e">
        <f aca="false">IF(t&lt;T_para, pos_z, NA())</f>
        <v>#N/A</v>
      </c>
      <c r="AF680" s="444"/>
      <c r="AG680" s="450" t="n">
        <f aca="false">IF(AND(L679&lt;L_rampe,Poussee&lt;Poids*SIN(M679)),0,(-W679+Poussee)/m-Poids*SIN(M679)/m)</f>
        <v>5.40733731529523</v>
      </c>
      <c r="AH680" s="449" t="n">
        <f aca="false">IF(AND(L679&lt;L_rampe,Poussee&lt;Poids*SIN(M679)), g*SIN(M679), (-W679+Poussee)/m)</f>
        <v>-4.22823744200663</v>
      </c>
    </row>
    <row r="681" customFormat="false" ht="12" hidden="false" customHeight="false" outlineLevel="0" collapsed="false">
      <c r="A681" s="448" t="n">
        <f aca="false">IF(B680+0.01&lt;=T_ini+ROUNDUP(Temps_fin_propu,0), 0.01, IF(K680&gt;0, 0.1, 0.0001))</f>
        <v>0.1</v>
      </c>
      <c r="B681" s="449" t="n">
        <f aca="false">B680+pas</f>
        <v>31.7000000000001</v>
      </c>
      <c r="C681" s="432"/>
      <c r="D681" s="450" t="n">
        <f aca="false">IF(AND(L680&lt;L_rampe,Poussee&lt;Poids*SIN(M680)),0,(-W680+Poussee)/m*COS(M680)-U680/m*SIN(M680))</f>
        <v>-0.795496358909578</v>
      </c>
      <c r="E681" s="451" t="n">
        <f aca="false">IF(AND(L680&lt;L_rampe,Poussee&lt;Poids*SIN(M680)),0,(-W680+Poussee)/m*SIN(M680)+U680/m*COS(M680)-Poids/m)</f>
        <v>-5.61294583676824</v>
      </c>
      <c r="F681" s="449" t="n">
        <f aca="false">SQRT(acc_x^2+acc_z^2)</f>
        <v>5.66903655161372</v>
      </c>
      <c r="G681" s="450" t="n">
        <f aca="false">G680+acc_x*pas</f>
        <v>22.1746278613233</v>
      </c>
      <c r="H681" s="451" t="n">
        <f aca="false">H680+acc_z*pas</f>
        <v>-117.974765139358</v>
      </c>
      <c r="I681" s="449" t="n">
        <f aca="false">SQRT(vit_x^2+vit_z^2)</f>
        <v>120.040656989517</v>
      </c>
      <c r="J681" s="450" t="n">
        <f aca="false">J680+0.5*(vit_x+G680)*pas*(K680&gt;=0)</f>
        <v>934.921264778647</v>
      </c>
      <c r="K681" s="451" t="n">
        <f aca="false">K680+0.5*(vit_z+H680)*pas</f>
        <v>499.54823807364</v>
      </c>
      <c r="L681" s="449" t="n">
        <f aca="false">SQRT(pos_x^2+pos_z^2)</f>
        <v>1060.01236478533</v>
      </c>
      <c r="M681" s="450" t="n">
        <f aca="false">IF(AND(L680&gt;L_rampe,G681&gt;0),ATAN2(G681,H681),$M$4)</f>
        <v>-1.38500329141567</v>
      </c>
      <c r="N681" s="449" t="n">
        <f aca="false">DEGREES(Beta)</f>
        <v>-79.3548432098455</v>
      </c>
      <c r="O681" s="438"/>
      <c r="P681" s="452" t="n">
        <f aca="false">MATCH(t-pas/2-T_ini,CdP_t)</f>
        <v>23</v>
      </c>
      <c r="Q681" s="449" t="n">
        <f aca="false">(INDEX(CdP,2,i_P+1)-INDEX(CdP,2,i_P+0))/(INDEX(CdP,1,i_P+1)-INDEX(CdP,1,i_P+0))*(t-pas/2-T_ini-INDEX(CdP,1,i_P+0))+INDEX(CdP,2,i_P+0)</f>
        <v>0</v>
      </c>
      <c r="R681" s="450" t="n">
        <f aca="false">Poussee/(g*ISP)</f>
        <v>0</v>
      </c>
      <c r="S681" s="451" t="n">
        <f aca="false">S680-Débit*pas</f>
        <v>8.652</v>
      </c>
      <c r="T681" s="449" t="n">
        <f aca="false">m*g</f>
        <v>84.87612</v>
      </c>
      <c r="U681" s="453" t="n">
        <f aca="false">IF(pos_xz&lt;L_rampe,Poids*COS(Beta),0)</f>
        <v>0</v>
      </c>
      <c r="V681" s="450" t="n">
        <f aca="false">Rho_moyen*(20000-Alt_rampe-pos_z)/(20000+Alt_rampe+pos_z)</f>
        <v>1.16529657780422</v>
      </c>
      <c r="W681" s="449" t="n">
        <f aca="false">1/2*Rho*Sref*Cx*vit_xz^2</f>
        <v>37.3361416336071</v>
      </c>
      <c r="X681" s="438"/>
      <c r="Y681" s="454" t="str">
        <f aca="false">IF(AND(pos_z&lt;=0,K680&gt;0),"Impact balistique","") &amp; IF(AND(H682&lt;0,vit_z&gt;=0),"Apogée","") &amp; IF(AND(Poussee=0,Q680&gt;0),"Fin de propulsion","") &amp; IF(AND(L682&gt;L_rampe,pos_xz&lt;=L_rampe),"Sortie de rampe","")</f>
        <v/>
      </c>
      <c r="Z681" s="455" t="str">
        <f aca="false">IF(ABS(t-T_para)&lt;pas/2,"Para","")</f>
        <v/>
      </c>
      <c r="AA681" s="456" t="str">
        <f aca="false">IF(ABS(t-T_satellite)&lt;pas/2,"Satellite","")</f>
        <v/>
      </c>
      <c r="AB681" s="444"/>
      <c r="AC681" s="452" t="e">
        <f aca="false">IF(ABS(t-ROUND(t,0))&lt;0.001,t,NA())</f>
        <v>#N/A</v>
      </c>
      <c r="AD681" s="457" t="e">
        <f aca="false">IF(ABS(t-ROUND(t,0))&lt;0.001,pos_x,NA())</f>
        <v>#N/A</v>
      </c>
      <c r="AE681" s="458" t="e">
        <f aca="false">IF(t&lt;T_para, pos_z, NA())</f>
        <v>#N/A</v>
      </c>
      <c r="AF681" s="444"/>
      <c r="AG681" s="450" t="n">
        <f aca="false">IF(AND(L680&lt;L_rampe,Poussee&lt;Poids*SIN(M680)),0,(-W680+Poussee)/m-Poids*SIN(M680)/m)</f>
        <v>5.36662462293712</v>
      </c>
      <c r="AH681" s="449" t="n">
        <f aca="false">IF(AND(L680&lt;L_rampe,Poussee&lt;Poids*SIN(M680)), g*SIN(M680), (-W680+Poussee)/m)</f>
        <v>-4.27177692607414</v>
      </c>
    </row>
    <row r="682" customFormat="false" ht="12" hidden="false" customHeight="false" outlineLevel="0" collapsed="false">
      <c r="A682" s="448" t="n">
        <f aca="false">IF(B681+0.01&lt;=T_ini+ROUNDUP(Temps_fin_propu,0), 0.01, IF(K681&gt;0, 0.1, 0.0001))</f>
        <v>0.1</v>
      </c>
      <c r="B682" s="449" t="n">
        <f aca="false">B681+pas</f>
        <v>31.8000000000001</v>
      </c>
      <c r="C682" s="432"/>
      <c r="D682" s="450" t="n">
        <f aca="false">IF(AND(L681&lt;L_rampe,Poussee&lt;Poids*SIN(M681)),0,(-W681+Poussee)/m*COS(M681)-U681/m*SIN(M681))</f>
        <v>-0.797151561356915</v>
      </c>
      <c r="E682" s="451" t="n">
        <f aca="false">IF(AND(L681&lt;L_rampe,Poussee&lt;Poids*SIN(M681)),0,(-W681+Poussee)/m*SIN(M681)+U681/m*COS(M681)-Poids/m)</f>
        <v>-5.56894717062717</v>
      </c>
      <c r="F682" s="449" t="n">
        <f aca="false">SQRT(acc_x^2+acc_z^2)</f>
        <v>5.62571090627754</v>
      </c>
      <c r="G682" s="450" t="n">
        <f aca="false">G681+acc_x*pas</f>
        <v>22.0949127051876</v>
      </c>
      <c r="H682" s="451" t="n">
        <f aca="false">H681+acc_z*pas</f>
        <v>-118.531659856421</v>
      </c>
      <c r="I682" s="449" t="n">
        <f aca="false">SQRT(vit_x^2+vit_z^2)</f>
        <v>120.573378304533</v>
      </c>
      <c r="J682" s="450" t="n">
        <f aca="false">J681+0.5*(vit_x+G681)*pas*(K681&gt;=0)</f>
        <v>937.134741806972</v>
      </c>
      <c r="K682" s="451" t="n">
        <f aca="false">K681+0.5*(vit_z+H681)*pas</f>
        <v>487.722916823851</v>
      </c>
      <c r="L682" s="449" t="n">
        <f aca="false">SQRT(pos_x^2+pos_z^2)</f>
        <v>1056.45405385033</v>
      </c>
      <c r="M682" s="450" t="n">
        <f aca="false">IF(AND(L681&gt;L_rampe,G682&gt;0),ATAN2(G682,H682),$M$4)</f>
        <v>-1.38650624551715</v>
      </c>
      <c r="N682" s="449" t="n">
        <f aca="false">DEGREES(Beta)</f>
        <v>-79.4409561366624</v>
      </c>
      <c r="O682" s="438"/>
      <c r="P682" s="452" t="n">
        <f aca="false">MATCH(t-pas/2-T_ini,CdP_t)</f>
        <v>23</v>
      </c>
      <c r="Q682" s="449" t="n">
        <f aca="false">(INDEX(CdP,2,i_P+1)-INDEX(CdP,2,i_P+0))/(INDEX(CdP,1,i_P+1)-INDEX(CdP,1,i_P+0))*(t-pas/2-T_ini-INDEX(CdP,1,i_P+0))+INDEX(CdP,2,i_P+0)</f>
        <v>0</v>
      </c>
      <c r="R682" s="450" t="n">
        <f aca="false">Poussee/(g*ISP)</f>
        <v>0</v>
      </c>
      <c r="S682" s="451" t="n">
        <f aca="false">S681-Débit*pas</f>
        <v>8.652</v>
      </c>
      <c r="T682" s="449" t="n">
        <f aca="false">m*g</f>
        <v>84.87612</v>
      </c>
      <c r="U682" s="453" t="n">
        <f aca="false">IF(pos_xz&lt;L_rampe,Poids*COS(Beta),0)</f>
        <v>0</v>
      </c>
      <c r="V682" s="450" t="n">
        <f aca="false">Rho_moyen*(20000-Alt_rampe-pos_z)/(20000+Alt_rampe+pos_z)</f>
        <v>1.1666762345396</v>
      </c>
      <c r="W682" s="449" t="n">
        <f aca="false">1/2*Rho*Sref*Cx*vit_xz^2</f>
        <v>37.7128581083026</v>
      </c>
      <c r="X682" s="438"/>
      <c r="Y682" s="454" t="str">
        <f aca="false">IF(AND(pos_z&lt;=0,K681&gt;0),"Impact balistique","") &amp; IF(AND(H683&lt;0,vit_z&gt;=0),"Apogée","") &amp; IF(AND(Poussee=0,Q681&gt;0),"Fin de propulsion","") &amp; IF(AND(L683&gt;L_rampe,pos_xz&lt;=L_rampe),"Sortie de rampe","")</f>
        <v/>
      </c>
      <c r="Z682" s="455" t="str">
        <f aca="false">IF(ABS(t-T_para)&lt;pas/2,"Para","")</f>
        <v/>
      </c>
      <c r="AA682" s="456" t="str">
        <f aca="false">IF(ABS(t-T_satellite)&lt;pas/2,"Satellite","")</f>
        <v/>
      </c>
      <c r="AB682" s="444"/>
      <c r="AC682" s="452" t="e">
        <f aca="false">IF(ABS(t-ROUND(t,0))&lt;0.001,t,NA())</f>
        <v>#N/A</v>
      </c>
      <c r="AD682" s="457" t="e">
        <f aca="false">IF(ABS(t-ROUND(t,0))&lt;0.001,pos_x,NA())</f>
        <v>#N/A</v>
      </c>
      <c r="AE682" s="458" t="e">
        <f aca="false">IF(t&lt;T_para, pos_z, NA())</f>
        <v>#N/A</v>
      </c>
      <c r="AF682" s="444"/>
      <c r="AG682" s="450" t="n">
        <f aca="false">IF(AND(L681&lt;L_rampe,Poussee&lt;Poids*SIN(M681)),0,(-W681+Poussee)/m-Poids*SIN(M681)/m)</f>
        <v>5.3258513518624</v>
      </c>
      <c r="AH682" s="449" t="n">
        <f aca="false">IF(AND(L681&lt;L_rampe,Poussee&lt;Poids*SIN(M681)), g*SIN(M681), (-W681+Poussee)/m)</f>
        <v>-4.31531919019962</v>
      </c>
    </row>
    <row r="683" customFormat="false" ht="12" hidden="false" customHeight="false" outlineLevel="0" collapsed="false">
      <c r="A683" s="448" t="n">
        <f aca="false">IF(B682+0.01&lt;=T_ini+ROUNDUP(Temps_fin_propu,0), 0.01, IF(K682&gt;0, 0.1, 0.0001))</f>
        <v>0.1</v>
      </c>
      <c r="B683" s="449" t="n">
        <f aca="false">B682+pas</f>
        <v>31.9000000000001</v>
      </c>
      <c r="C683" s="432"/>
      <c r="D683" s="450" t="n">
        <f aca="false">IF(AND(L682&lt;L_rampe,Poussee&lt;Poids*SIN(M682)),0,(-W682+Poussee)/m*COS(M682)-U682/m*SIN(M682))</f>
        <v>-0.798755381111102</v>
      </c>
      <c r="E683" s="451" t="n">
        <f aca="false">IF(AND(L682&lt;L_rampe,Poussee&lt;Poids*SIN(M682)),0,(-W682+Poussee)/m*SIN(M682)+U682/m*COS(M682)-Poids/m)</f>
        <v>-5.52495020570424</v>
      </c>
      <c r="F683" s="449" t="n">
        <f aca="false">SQRT(acc_x^2+acc_z^2)</f>
        <v>5.58239061105233</v>
      </c>
      <c r="G683" s="450" t="n">
        <f aca="false">G682+acc_x*pas</f>
        <v>22.0150371670765</v>
      </c>
      <c r="H683" s="451" t="n">
        <f aca="false">H682+acc_z*pas</f>
        <v>-119.084154876991</v>
      </c>
      <c r="I683" s="449" t="n">
        <f aca="false">SQRT(vit_x^2+vit_z^2)</f>
        <v>121.102014038723</v>
      </c>
      <c r="J683" s="450" t="n">
        <f aca="false">J682+0.5*(vit_x+G682)*pas*(K682&gt;=0)</f>
        <v>939.340239300586</v>
      </c>
      <c r="K683" s="451" t="n">
        <f aca="false">K682+0.5*(vit_z+H682)*pas</f>
        <v>475.842126087181</v>
      </c>
      <c r="L683" s="449" t="n">
        <f aca="false">SQRT(pos_x^2+pos_z^2)</f>
        <v>1052.98899050676</v>
      </c>
      <c r="M683" s="450" t="n">
        <f aca="false">IF(AND(L682&gt;L_rampe,G683&gt;0),ATAN2(G683,H683),$M$4)</f>
        <v>-1.38799067188998</v>
      </c>
      <c r="N683" s="449" t="n">
        <f aca="false">DEGREES(Beta)</f>
        <v>-79.5260075028231</v>
      </c>
      <c r="O683" s="438"/>
      <c r="P683" s="452" t="n">
        <f aca="false">MATCH(t-pas/2-T_ini,CdP_t)</f>
        <v>23</v>
      </c>
      <c r="Q683" s="449" t="n">
        <f aca="false">(INDEX(CdP,2,i_P+1)-INDEX(CdP,2,i_P+0))/(INDEX(CdP,1,i_P+1)-INDEX(CdP,1,i_P+0))*(t-pas/2-T_ini-INDEX(CdP,1,i_P+0))+INDEX(CdP,2,i_P+0)</f>
        <v>0</v>
      </c>
      <c r="R683" s="450" t="n">
        <f aca="false">Poussee/(g*ISP)</f>
        <v>0</v>
      </c>
      <c r="S683" s="451" t="n">
        <f aca="false">S682-Débit*pas</f>
        <v>8.652</v>
      </c>
      <c r="T683" s="449" t="n">
        <f aca="false">m*g</f>
        <v>84.87612</v>
      </c>
      <c r="U683" s="453" t="n">
        <f aca="false">IF(pos_xz&lt;L_rampe,Poids*COS(Beta),0)</f>
        <v>0</v>
      </c>
      <c r="V683" s="450" t="n">
        <f aca="false">Rho_moyen*(20000-Alt_rampe-pos_z)/(20000+Alt_rampe+pos_z)</f>
        <v>1.16806396768764</v>
      </c>
      <c r="W683" s="449" t="n">
        <f aca="false">1/2*Rho*Sref*Cx*vit_xz^2</f>
        <v>38.089528430197</v>
      </c>
      <c r="X683" s="438"/>
      <c r="Y683" s="454" t="str">
        <f aca="false">IF(AND(pos_z&lt;=0,K682&gt;0),"Impact balistique","") &amp; IF(AND(H684&lt;0,vit_z&gt;=0),"Apogée","") &amp; IF(AND(Poussee=0,Q682&gt;0),"Fin de propulsion","") &amp; IF(AND(L684&gt;L_rampe,pos_xz&lt;=L_rampe),"Sortie de rampe","")</f>
        <v/>
      </c>
      <c r="Z683" s="455" t="str">
        <f aca="false">IF(ABS(t-T_para)&lt;pas/2,"Para","")</f>
        <v/>
      </c>
      <c r="AA683" s="456" t="str">
        <f aca="false">IF(ABS(t-T_satellite)&lt;pas/2,"Satellite","")</f>
        <v/>
      </c>
      <c r="AB683" s="444"/>
      <c r="AC683" s="452" t="e">
        <f aca="false">IF(ABS(t-ROUND(t,0))&lt;0.001,t,NA())</f>
        <v>#N/A</v>
      </c>
      <c r="AD683" s="457" t="e">
        <f aca="false">IF(ABS(t-ROUND(t,0))&lt;0.001,pos_x,NA())</f>
        <v>#N/A</v>
      </c>
      <c r="AE683" s="458" t="e">
        <f aca="false">IF(t&lt;T_para, pos_z, NA())</f>
        <v>#N/A</v>
      </c>
      <c r="AF683" s="444"/>
      <c r="AG683" s="450" t="n">
        <f aca="false">IF(AND(L682&lt;L_rampe,Poussee&lt;Poids*SIN(M682)),0,(-W682+Poussee)/m-Poids*SIN(M682)/m)</f>
        <v>5.2850230875864</v>
      </c>
      <c r="AH683" s="449" t="n">
        <f aca="false">IF(AND(L682&lt;L_rampe,Poussee&lt;Poids*SIN(M682)), g*SIN(M682), (-W682+Poussee)/m)</f>
        <v>-4.35886016046032</v>
      </c>
    </row>
    <row r="684" customFormat="false" ht="12" hidden="false" customHeight="false" outlineLevel="0" collapsed="false">
      <c r="A684" s="448" t="n">
        <f aca="false">IF(B683+0.01&lt;=T_ini+ROUNDUP(Temps_fin_propu,0), 0.01, IF(K683&gt;0, 0.1, 0.0001))</f>
        <v>0.1</v>
      </c>
      <c r="B684" s="449" t="n">
        <f aca="false">B683+pas</f>
        <v>32.0000000000001</v>
      </c>
      <c r="C684" s="432"/>
      <c r="D684" s="450" t="n">
        <f aca="false">IF(AND(L683&lt;L_rampe,Poussee&lt;Poids*SIN(M683)),0,(-W683+Poussee)/m*COS(M683)-U683/m*SIN(M683))</f>
        <v>-0.800307970520509</v>
      </c>
      <c r="E684" s="451" t="n">
        <f aca="false">IF(AND(L683&lt;L_rampe,Poussee&lt;Poids*SIN(M683)),0,(-W683+Poussee)/m*SIN(M683)+U683/m*COS(M683)-Poids/m)</f>
        <v>-5.4809590091775</v>
      </c>
      <c r="F684" s="449" t="n">
        <f aca="false">SQRT(acc_x^2+acc_z^2)</f>
        <v>5.53907975280756</v>
      </c>
      <c r="G684" s="450" t="n">
        <f aca="false">G683+acc_x*pas</f>
        <v>21.9350063700244</v>
      </c>
      <c r="H684" s="451" t="n">
        <f aca="false">H683+acc_z*pas</f>
        <v>-119.632250777909</v>
      </c>
      <c r="I684" s="449" t="n">
        <f aca="false">SQRT(vit_x^2+vit_z^2)</f>
        <v>121.626559314327</v>
      </c>
      <c r="J684" s="450" t="n">
        <f aca="false">J683+0.5*(vit_x+G683)*pas*(K683&gt;=0)</f>
        <v>941.537741477441</v>
      </c>
      <c r="K684" s="451" t="n">
        <f aca="false">K683+0.5*(vit_z+H683)*pas</f>
        <v>463.906305804436</v>
      </c>
      <c r="L684" s="449" t="n">
        <f aca="false">SQRT(pos_x^2+pos_z^2)</f>
        <v>1049.62011184598</v>
      </c>
      <c r="M684" s="450" t="n">
        <f aca="false">IF(AND(L683&gt;L_rampe,G684&gt;0),ATAN2(G684,H684),$M$4)</f>
        <v>-1.38945692450231</v>
      </c>
      <c r="N684" s="449" t="n">
        <f aca="false">DEGREES(Beta)</f>
        <v>-79.61001758921</v>
      </c>
      <c r="O684" s="438"/>
      <c r="P684" s="452" t="n">
        <f aca="false">MATCH(t-pas/2-T_ini,CdP_t)</f>
        <v>23</v>
      </c>
      <c r="Q684" s="449" t="n">
        <f aca="false">(INDEX(CdP,2,i_P+1)-INDEX(CdP,2,i_P+0))/(INDEX(CdP,1,i_P+1)-INDEX(CdP,1,i_P+0))*(t-pas/2-T_ini-INDEX(CdP,1,i_P+0))+INDEX(CdP,2,i_P+0)</f>
        <v>0</v>
      </c>
      <c r="R684" s="450" t="n">
        <f aca="false">Poussee/(g*ISP)</f>
        <v>0</v>
      </c>
      <c r="S684" s="451" t="n">
        <f aca="false">S683-Débit*pas</f>
        <v>8.652</v>
      </c>
      <c r="T684" s="449" t="n">
        <f aca="false">m*g</f>
        <v>84.87612</v>
      </c>
      <c r="U684" s="453" t="n">
        <f aca="false">IF(pos_xz&lt;L_rampe,Poids*COS(Beta),0)</f>
        <v>0</v>
      </c>
      <c r="V684" s="450" t="n">
        <f aca="false">Rho_moyen*(20000-Alt_rampe-pos_z)/(20000+Alt_rampe+pos_z)</f>
        <v>1.16945975112296</v>
      </c>
      <c r="W684" s="449" t="n">
        <f aca="false">1/2*Rho*Sref*Cx*vit_xz^2</f>
        <v>38.4661179348982</v>
      </c>
      <c r="X684" s="438"/>
      <c r="Y684" s="454" t="str">
        <f aca="false">IF(AND(pos_z&lt;=0,K683&gt;0),"Impact balistique","") &amp; IF(AND(H685&lt;0,vit_z&gt;=0),"Apogée","") &amp; IF(AND(Poussee=0,Q683&gt;0),"Fin de propulsion","") &amp; IF(AND(L685&gt;L_rampe,pos_xz&lt;=L_rampe),"Sortie de rampe","")</f>
        <v/>
      </c>
      <c r="Z684" s="455" t="str">
        <f aca="false">IF(ABS(t-T_para)&lt;pas/2,"Para","")</f>
        <v/>
      </c>
      <c r="AA684" s="456" t="str">
        <f aca="false">IF(ABS(t-T_satellite)&lt;pas/2,"Satellite","")</f>
        <v/>
      </c>
      <c r="AB684" s="444"/>
      <c r="AC684" s="452" t="n">
        <f aca="false">IF(ABS(t-ROUND(t,0))&lt;0.001,t,NA())</f>
        <v>32.0000000000001</v>
      </c>
      <c r="AD684" s="457" t="n">
        <f aca="false">IF(ABS(t-ROUND(t,0))&lt;0.001,pos_x,NA())</f>
        <v>941.537741477441</v>
      </c>
      <c r="AE684" s="458" t="e">
        <f aca="false">IF(t&lt;T_para, pos_z, NA())</f>
        <v>#N/A</v>
      </c>
      <c r="AF684" s="444"/>
      <c r="AG684" s="450" t="n">
        <f aca="false">IF(AND(L683&lt;L_rampe,Poussee&lt;Poids*SIN(M683)),0,(-W683+Poussee)/m-Poids*SIN(M683)/m)</f>
        <v>5.244145333571</v>
      </c>
      <c r="AH684" s="449" t="n">
        <f aca="false">IF(AND(L683&lt;L_rampe,Poussee&lt;Poids*SIN(M683)), g*SIN(M683), (-W683+Poussee)/m)</f>
        <v>-4.40239579637044</v>
      </c>
    </row>
    <row r="685" customFormat="false" ht="12" hidden="false" customHeight="false" outlineLevel="0" collapsed="false">
      <c r="A685" s="448" t="n">
        <f aca="false">IF(B684+0.01&lt;=T_ini+ROUNDUP(Temps_fin_propu,0), 0.01, IF(K684&gt;0, 0.1, 0.0001))</f>
        <v>0.1</v>
      </c>
      <c r="B685" s="449" t="n">
        <f aca="false">B684+pas</f>
        <v>32.1000000000001</v>
      </c>
      <c r="C685" s="432"/>
      <c r="D685" s="450" t="n">
        <f aca="false">IF(AND(L684&lt;L_rampe,Poussee&lt;Poids*SIN(M684)),0,(-W684+Poussee)/m*COS(M684)-U684/m*SIN(M684))</f>
        <v>-0.801809489190006</v>
      </c>
      <c r="E685" s="451" t="n">
        <f aca="false">IF(AND(L684&lt;L_rampe,Poussee&lt;Poids*SIN(M684)),0,(-W684+Poussee)/m*SIN(M684)+U684/m*COS(M684)-Poids/m)</f>
        <v>-5.43697761428646</v>
      </c>
      <c r="F685" s="449" t="n">
        <f aca="false">SQRT(acc_x^2+acc_z^2)</f>
        <v>5.49578238608546</v>
      </c>
      <c r="G685" s="450" t="n">
        <f aca="false">G684+acc_x*pas</f>
        <v>21.8548254211054</v>
      </c>
      <c r="H685" s="451" t="n">
        <f aca="false">H684+acc_z*pas</f>
        <v>-120.175948539338</v>
      </c>
      <c r="I685" s="449" t="n">
        <f aca="false">SQRT(vit_x^2+vit_z^2)</f>
        <v>122.147009793595</v>
      </c>
      <c r="J685" s="450" t="n">
        <f aca="false">J684+0.5*(vit_x+G684)*pas*(K684&gt;=0)</f>
        <v>943.727233066997</v>
      </c>
      <c r="K685" s="451" t="n">
        <f aca="false">K684+0.5*(vit_z+H684)*pas</f>
        <v>451.915895838574</v>
      </c>
      <c r="L685" s="449" t="n">
        <f aca="false">SQRT(pos_x^2+pos_z^2)</f>
        <v>1046.35035592476</v>
      </c>
      <c r="M685" s="450" t="n">
        <f aca="false">IF(AND(L684&gt;L_rampe,G685&gt;0),ATAN2(G685,H685),$M$4)</f>
        <v>-1.39090534833828</v>
      </c>
      <c r="N685" s="449" t="n">
        <f aca="false">DEGREES(Beta)</f>
        <v>-79.6930061619572</v>
      </c>
      <c r="O685" s="438"/>
      <c r="P685" s="452" t="n">
        <f aca="false">MATCH(t-pas/2-T_ini,CdP_t)</f>
        <v>23</v>
      </c>
      <c r="Q685" s="449" t="n">
        <f aca="false">(INDEX(CdP,2,i_P+1)-INDEX(CdP,2,i_P+0))/(INDEX(CdP,1,i_P+1)-INDEX(CdP,1,i_P+0))*(t-pas/2-T_ini-INDEX(CdP,1,i_P+0))+INDEX(CdP,2,i_P+0)</f>
        <v>0</v>
      </c>
      <c r="R685" s="450" t="n">
        <f aca="false">Poussee/(g*ISP)</f>
        <v>0</v>
      </c>
      <c r="S685" s="451" t="n">
        <f aca="false">S684-Débit*pas</f>
        <v>8.652</v>
      </c>
      <c r="T685" s="449" t="n">
        <f aca="false">m*g</f>
        <v>84.87612</v>
      </c>
      <c r="U685" s="453" t="n">
        <f aca="false">IF(pos_xz&lt;L_rampe,Poids*COS(Beta),0)</f>
        <v>0</v>
      </c>
      <c r="V685" s="450" t="n">
        <f aca="false">Rho_moyen*(20000-Alt_rampe-pos_z)/(20000+Alt_rampe+pos_z)</f>
        <v>1.17086355867864</v>
      </c>
      <c r="W685" s="449" t="n">
        <f aca="false">1/2*Rho*Sref*Cx*vit_xz^2</f>
        <v>38.8425922563767</v>
      </c>
      <c r="X685" s="438"/>
      <c r="Y685" s="454" t="str">
        <f aca="false">IF(AND(pos_z&lt;=0,K684&gt;0),"Impact balistique","") &amp; IF(AND(H686&lt;0,vit_z&gt;=0),"Apogée","") &amp; IF(AND(Poussee=0,Q684&gt;0),"Fin de propulsion","") &amp; IF(AND(L686&gt;L_rampe,pos_xz&lt;=L_rampe),"Sortie de rampe","")</f>
        <v/>
      </c>
      <c r="Z685" s="455" t="str">
        <f aca="false">IF(ABS(t-T_para)&lt;pas/2,"Para","")</f>
        <v/>
      </c>
      <c r="AA685" s="456" t="str">
        <f aca="false">IF(ABS(t-T_satellite)&lt;pas/2,"Satellite","")</f>
        <v/>
      </c>
      <c r="AB685" s="444"/>
      <c r="AC685" s="452" t="e">
        <f aca="false">IF(ABS(t-ROUND(t,0))&lt;0.001,t,NA())</f>
        <v>#N/A</v>
      </c>
      <c r="AD685" s="457" t="e">
        <f aca="false">IF(ABS(t-ROUND(t,0))&lt;0.001,pos_x,NA())</f>
        <v>#N/A</v>
      </c>
      <c r="AE685" s="458" t="e">
        <f aca="false">IF(t&lt;T_para, pos_z, NA())</f>
        <v>#N/A</v>
      </c>
      <c r="AF685" s="444"/>
      <c r="AG685" s="450" t="n">
        <f aca="false">IF(AND(L684&lt;L_rampe,Poussee&lt;Poids*SIN(M684)),0,(-W684+Poussee)/m-Poids*SIN(M684)/m)</f>
        <v>5.20322351253687</v>
      </c>
      <c r="AH685" s="449" t="n">
        <f aca="false">IF(AND(L684&lt;L_rampe,Poussee&lt;Poids*SIN(M684)), g*SIN(M684), (-W684+Poussee)/m)</f>
        <v>-4.44592209141219</v>
      </c>
    </row>
    <row r="686" customFormat="false" ht="12" hidden="false" customHeight="false" outlineLevel="0" collapsed="false">
      <c r="A686" s="448" t="n">
        <f aca="false">IF(B685+0.01&lt;=T_ini+ROUNDUP(Temps_fin_propu,0), 0.01, IF(K685&gt;0, 0.1, 0.0001))</f>
        <v>0.1</v>
      </c>
      <c r="B686" s="449" t="n">
        <f aca="false">B685+pas</f>
        <v>32.2000000000001</v>
      </c>
      <c r="C686" s="432"/>
      <c r="D686" s="450" t="n">
        <f aca="false">IF(AND(L685&lt;L_rampe,Poussee&lt;Poids*SIN(M685)),0,(-W685+Poussee)/m*COS(M685)-U685/m*SIN(M685))</f>
        <v>-0.803260103850891</v>
      </c>
      <c r="E686" s="451" t="n">
        <f aca="false">IF(AND(L685&lt;L_rampe,Poussee&lt;Poids*SIN(M685)),0,(-W685+Poussee)/m*SIN(M685)+U685/m*COS(M685)-Poids/m)</f>
        <v>-5.39301001979795</v>
      </c>
      <c r="F686" s="449" t="n">
        <f aca="false">SQRT(acc_x^2+acc_z^2)</f>
        <v>5.45250253260644</v>
      </c>
      <c r="G686" s="450" t="n">
        <f aca="false">G685+acc_x*pas</f>
        <v>21.7744994107203</v>
      </c>
      <c r="H686" s="451" t="n">
        <f aca="false">H685+acc_z*pas</f>
        <v>-120.715249541317</v>
      </c>
      <c r="I686" s="449" t="n">
        <f aca="false">SQRT(vit_x^2+vit_z^2)</f>
        <v>122.663361670916</v>
      </c>
      <c r="J686" s="450" t="n">
        <f aca="false">J685+0.5*(vit_x+G685)*pas*(K685&gt;=0)</f>
        <v>945.908699308588</v>
      </c>
      <c r="K686" s="451" t="n">
        <f aca="false">K685+0.5*(vit_z+H685)*pas</f>
        <v>439.871335934541</v>
      </c>
      <c r="L686" s="449" t="n">
        <f aca="false">SQRT(pos_x^2+pos_z^2)</f>
        <v>1043.18265879208</v>
      </c>
      <c r="M686" s="450" t="n">
        <f aca="false">IF(AND(L685&gt;L_rampe,G686&gt;0),ATAN2(G686,H686),$M$4)</f>
        <v>-1.39233627967573</v>
      </c>
      <c r="N686" s="449" t="n">
        <f aca="false">DEGREES(Beta)</f>
        <v>-79.7749924883659</v>
      </c>
      <c r="O686" s="438"/>
      <c r="P686" s="452" t="n">
        <f aca="false">MATCH(t-pas/2-T_ini,CdP_t)</f>
        <v>23</v>
      </c>
      <c r="Q686" s="449" t="n">
        <f aca="false">(INDEX(CdP,2,i_P+1)-INDEX(CdP,2,i_P+0))/(INDEX(CdP,1,i_P+1)-INDEX(CdP,1,i_P+0))*(t-pas/2-T_ini-INDEX(CdP,1,i_P+0))+INDEX(CdP,2,i_P+0)</f>
        <v>0</v>
      </c>
      <c r="R686" s="450" t="n">
        <f aca="false">Poussee/(g*ISP)</f>
        <v>0</v>
      </c>
      <c r="S686" s="451" t="n">
        <f aca="false">S685-Débit*pas</f>
        <v>8.652</v>
      </c>
      <c r="T686" s="449" t="n">
        <f aca="false">m*g</f>
        <v>84.87612</v>
      </c>
      <c r="U686" s="453" t="n">
        <f aca="false">IF(pos_xz&lt;L_rampe,Poids*COS(Beta),0)</f>
        <v>0</v>
      </c>
      <c r="V686" s="450" t="n">
        <f aca="false">Rho_moyen*(20000-Alt_rampe-pos_z)/(20000+Alt_rampe+pos_z)</f>
        <v>1.17227536414845</v>
      </c>
      <c r="W686" s="449" t="n">
        <f aca="false">1/2*Rho*Sref*Cx*vit_xz^2</f>
        <v>39.2189173313132</v>
      </c>
      <c r="X686" s="438"/>
      <c r="Y686" s="454" t="str">
        <f aca="false">IF(AND(pos_z&lt;=0,K685&gt;0),"Impact balistique","") &amp; IF(AND(H687&lt;0,vit_z&gt;=0),"Apogée","") &amp; IF(AND(Poussee=0,Q685&gt;0),"Fin de propulsion","") &amp; IF(AND(L687&gt;L_rampe,pos_xz&lt;=L_rampe),"Sortie de rampe","")</f>
        <v/>
      </c>
      <c r="Z686" s="455" t="str">
        <f aca="false">IF(ABS(t-T_para)&lt;pas/2,"Para","")</f>
        <v/>
      </c>
      <c r="AA686" s="456" t="str">
        <f aca="false">IF(ABS(t-T_satellite)&lt;pas/2,"Satellite","")</f>
        <v/>
      </c>
      <c r="AB686" s="444"/>
      <c r="AC686" s="452" t="e">
        <f aca="false">IF(ABS(t-ROUND(t,0))&lt;0.001,t,NA())</f>
        <v>#N/A</v>
      </c>
      <c r="AD686" s="457" t="e">
        <f aca="false">IF(ABS(t-ROUND(t,0))&lt;0.001,pos_x,NA())</f>
        <v>#N/A</v>
      </c>
      <c r="AE686" s="458" t="e">
        <f aca="false">IF(t&lt;T_para, pos_z, NA())</f>
        <v>#N/A</v>
      </c>
      <c r="AF686" s="444"/>
      <c r="AG686" s="450" t="n">
        <f aca="false">IF(AND(L685&lt;L_rampe,Poussee&lt;Poids*SIN(M685)),0,(-W685+Poussee)/m-Poids*SIN(M685)/m)</f>
        <v>5.16226296770988</v>
      </c>
      <c r="AH686" s="449" t="n">
        <f aca="false">IF(AND(L685&lt;L_rampe,Poussee&lt;Poids*SIN(M685)), g*SIN(M685), (-W685+Poussee)/m)</f>
        <v>-4.48943507355256</v>
      </c>
    </row>
    <row r="687" customFormat="false" ht="12" hidden="false" customHeight="false" outlineLevel="0" collapsed="false">
      <c r="A687" s="448" t="n">
        <f aca="false">IF(B686+0.01&lt;=T_ini+ROUNDUP(Temps_fin_propu,0), 0.01, IF(K686&gt;0, 0.1, 0.0001))</f>
        <v>0.1</v>
      </c>
      <c r="B687" s="449" t="n">
        <f aca="false">B686+pas</f>
        <v>32.3000000000001</v>
      </c>
      <c r="C687" s="432"/>
      <c r="D687" s="450" t="n">
        <f aca="false">IF(AND(L686&lt;L_rampe,Poussee&lt;Poids*SIN(M686)),0,(-W686+Poussee)/m*COS(M686)-U686/m*SIN(M686))</f>
        <v>-0.804659988231447</v>
      </c>
      <c r="E687" s="451" t="n">
        <f aca="false">IF(AND(L686&lt;L_rampe,Poussee&lt;Poids*SIN(M686)),0,(-W686+Poussee)/m*SIN(M686)+U686/m*COS(M686)-Poids/m)</f>
        <v>-5.34906018948707</v>
      </c>
      <c r="F687" s="449" t="n">
        <f aca="false">SQRT(acc_x^2+acc_z^2)</f>
        <v>5.40924418079052</v>
      </c>
      <c r="G687" s="450" t="n">
        <f aca="false">G686+acc_x*pas</f>
        <v>21.6940334118972</v>
      </c>
      <c r="H687" s="451" t="n">
        <f aca="false">H686+acc_z*pas</f>
        <v>-121.250155560266</v>
      </c>
      <c r="I687" s="449" t="n">
        <f aca="false">SQRT(vit_x^2+vit_z^2)</f>
        <v>123.175611665075</v>
      </c>
      <c r="J687" s="450" t="n">
        <f aca="false">J686+0.5*(vit_x+G686)*pas*(K686&gt;=0)</f>
        <v>948.082125949719</v>
      </c>
      <c r="K687" s="451" t="n">
        <f aca="false">K686+0.5*(vit_z+H686)*pas</f>
        <v>427.773065679462</v>
      </c>
      <c r="L687" s="449" t="n">
        <f aca="false">SQRT(pos_x^2+pos_z^2)</f>
        <v>1040.11995138356</v>
      </c>
      <c r="M687" s="450" t="n">
        <f aca="false">IF(AND(L686&gt;L_rampe,G687&gt;0),ATAN2(G687,H687),$M$4)</f>
        <v>-1.39375004635392</v>
      </c>
      <c r="N687" s="449" t="n">
        <f aca="false">DEGREES(Beta)</f>
        <v>-79.8559953522427</v>
      </c>
      <c r="O687" s="438"/>
      <c r="P687" s="452" t="n">
        <f aca="false">MATCH(t-pas/2-T_ini,CdP_t)</f>
        <v>23</v>
      </c>
      <c r="Q687" s="449" t="n">
        <f aca="false">(INDEX(CdP,2,i_P+1)-INDEX(CdP,2,i_P+0))/(INDEX(CdP,1,i_P+1)-INDEX(CdP,1,i_P+0))*(t-pas/2-T_ini-INDEX(CdP,1,i_P+0))+INDEX(CdP,2,i_P+0)</f>
        <v>0</v>
      </c>
      <c r="R687" s="450" t="n">
        <f aca="false">Poussee/(g*ISP)</f>
        <v>0</v>
      </c>
      <c r="S687" s="451" t="n">
        <f aca="false">S686-Débit*pas</f>
        <v>8.652</v>
      </c>
      <c r="T687" s="449" t="n">
        <f aca="false">m*g</f>
        <v>84.87612</v>
      </c>
      <c r="U687" s="453" t="n">
        <f aca="false">IF(pos_xz&lt;L_rampe,Poids*COS(Beta),0)</f>
        <v>0</v>
      </c>
      <c r="V687" s="450" t="n">
        <f aca="false">Rho_moyen*(20000-Alt_rampe-pos_z)/(20000+Alt_rampe+pos_z)</f>
        <v>1.17369514128902</v>
      </c>
      <c r="W687" s="449" t="n">
        <f aca="false">1/2*Rho*Sref*Cx*vit_xz^2</f>
        <v>39.5950594033224</v>
      </c>
      <c r="X687" s="438"/>
      <c r="Y687" s="454" t="str">
        <f aca="false">IF(AND(pos_z&lt;=0,K686&gt;0),"Impact balistique","") &amp; IF(AND(H688&lt;0,vit_z&gt;=0),"Apogée","") &amp; IF(AND(Poussee=0,Q686&gt;0),"Fin de propulsion","") &amp; IF(AND(L688&gt;L_rampe,pos_xz&lt;=L_rampe),"Sortie de rampe","")</f>
        <v/>
      </c>
      <c r="Z687" s="455" t="str">
        <f aca="false">IF(ABS(t-T_para)&lt;pas/2,"Para","")</f>
        <v/>
      </c>
      <c r="AA687" s="456" t="str">
        <f aca="false">IF(ABS(t-T_satellite)&lt;pas/2,"Satellite","")</f>
        <v/>
      </c>
      <c r="AB687" s="444"/>
      <c r="AC687" s="452" t="e">
        <f aca="false">IF(ABS(t-ROUND(t,0))&lt;0.001,t,NA())</f>
        <v>#N/A</v>
      </c>
      <c r="AD687" s="457" t="e">
        <f aca="false">IF(ABS(t-ROUND(t,0))&lt;0.001,pos_x,NA())</f>
        <v>#N/A</v>
      </c>
      <c r="AE687" s="458" t="e">
        <f aca="false">IF(t&lt;T_para, pos_z, NA())</f>
        <v>#N/A</v>
      </c>
      <c r="AF687" s="444"/>
      <c r="AG687" s="450" t="n">
        <f aca="false">IF(AND(L686&lt;L_rampe,Poussee&lt;Poids*SIN(M686)),0,(-W686+Poussee)/m-Poids*SIN(M686)/m)</f>
        <v>5.1212689640058</v>
      </c>
      <c r="AH687" s="449" t="n">
        <f aca="false">IF(AND(L686&lt;L_rampe,Poussee&lt;Poids*SIN(M686)), g*SIN(M686), (-W686+Poussee)/m)</f>
        <v>-4.53293080574586</v>
      </c>
    </row>
    <row r="688" customFormat="false" ht="12" hidden="false" customHeight="false" outlineLevel="0" collapsed="false">
      <c r="A688" s="448" t="n">
        <f aca="false">IF(B687+0.01&lt;=T_ini+ROUNDUP(Temps_fin_propu,0), 0.01, IF(K687&gt;0, 0.1, 0.0001))</f>
        <v>0.1</v>
      </c>
      <c r="B688" s="449" t="n">
        <f aca="false">B687+pas</f>
        <v>32.4000000000002</v>
      </c>
      <c r="C688" s="432"/>
      <c r="D688" s="450" t="n">
        <f aca="false">IF(AND(L687&lt;L_rampe,Poussee&lt;Poids*SIN(M687)),0,(-W687+Poussee)/m*COS(M687)-U687/m*SIN(M687))</f>
        <v>-0.806009322928115</v>
      </c>
      <c r="E688" s="451" t="n">
        <f aca="false">IF(AND(L687&lt;L_rampe,Poussee&lt;Poids*SIN(M687)),0,(-W687+Poussee)/m*SIN(M687)+U687/m*COS(M687)-Poids/m)</f>
        <v>-5.30513205163299</v>
      </c>
      <c r="F688" s="449" t="n">
        <f aca="false">SQRT(acc_x^2+acc_z^2)</f>
        <v>5.36601128529475</v>
      </c>
      <c r="G688" s="450" t="n">
        <f aca="false">G687+acc_x*pas</f>
        <v>21.6134324796044</v>
      </c>
      <c r="H688" s="451" t="n">
        <f aca="false">H687+acc_z*pas</f>
        <v>-121.780668765429</v>
      </c>
      <c r="I688" s="449" t="n">
        <f aca="false">SQRT(vit_x^2+vit_z^2)</f>
        <v>123.683757011605</v>
      </c>
      <c r="J688" s="450" t="n">
        <f aca="false">J687+0.5*(vit_x+G687)*pas*(K687&gt;=0)</f>
        <v>950.247499244294</v>
      </c>
      <c r="K688" s="451" t="n">
        <f aca="false">K687+0.5*(vit_z+H687)*pas</f>
        <v>415.621524463177</v>
      </c>
      <c r="L688" s="449" t="n">
        <f aca="false">SQRT(pos_x^2+pos_z^2)</f>
        <v>1037.16515628762</v>
      </c>
      <c r="M688" s="450" t="n">
        <f aca="false">IF(AND(L687&gt;L_rampe,G688&gt;0),ATAN2(G688,H688),$M$4)</f>
        <v>-1.39514696803163</v>
      </c>
      <c r="N688" s="449" t="n">
        <f aca="false">DEGREES(Beta)</f>
        <v>-79.9360330686856</v>
      </c>
      <c r="O688" s="438"/>
      <c r="P688" s="452" t="n">
        <f aca="false">MATCH(t-pas/2-T_ini,CdP_t)</f>
        <v>23</v>
      </c>
      <c r="Q688" s="449" t="n">
        <f aca="false">(INDEX(CdP,2,i_P+1)-INDEX(CdP,2,i_P+0))/(INDEX(CdP,1,i_P+1)-INDEX(CdP,1,i_P+0))*(t-pas/2-T_ini-INDEX(CdP,1,i_P+0))+INDEX(CdP,2,i_P+0)</f>
        <v>0</v>
      </c>
      <c r="R688" s="450" t="n">
        <f aca="false">Poussee/(g*ISP)</f>
        <v>0</v>
      </c>
      <c r="S688" s="451" t="n">
        <f aca="false">S687-Débit*pas</f>
        <v>8.652</v>
      </c>
      <c r="T688" s="449" t="n">
        <f aca="false">m*g</f>
        <v>84.87612</v>
      </c>
      <c r="U688" s="453" t="n">
        <f aca="false">IF(pos_xz&lt;L_rampe,Poids*COS(Beta),0)</f>
        <v>0</v>
      </c>
      <c r="V688" s="450" t="n">
        <f aca="false">Rho_moyen*(20000-Alt_rampe-pos_z)/(20000+Alt_rampe+pos_z)</f>
        <v>1.17512286382197</v>
      </c>
      <c r="W688" s="449" t="n">
        <f aca="false">1/2*Rho*Sref*Cx*vit_xz^2</f>
        <v>39.9709850270529</v>
      </c>
      <c r="X688" s="438"/>
      <c r="Y688" s="454" t="str">
        <f aca="false">IF(AND(pos_z&lt;=0,K687&gt;0),"Impact balistique","") &amp; IF(AND(H689&lt;0,vit_z&gt;=0),"Apogée","") &amp; IF(AND(Poussee=0,Q687&gt;0),"Fin de propulsion","") &amp; IF(AND(L689&gt;L_rampe,pos_xz&lt;=L_rampe),"Sortie de rampe","")</f>
        <v/>
      </c>
      <c r="Z688" s="455" t="str">
        <f aca="false">IF(ABS(t-T_para)&lt;pas/2,"Para","")</f>
        <v/>
      </c>
      <c r="AA688" s="456" t="str">
        <f aca="false">IF(ABS(t-T_satellite)&lt;pas/2,"Satellite","")</f>
        <v/>
      </c>
      <c r="AB688" s="444"/>
      <c r="AC688" s="452" t="e">
        <f aca="false">IF(ABS(t-ROUND(t,0))&lt;0.001,t,NA())</f>
        <v>#N/A</v>
      </c>
      <c r="AD688" s="457" t="e">
        <f aca="false">IF(ABS(t-ROUND(t,0))&lt;0.001,pos_x,NA())</f>
        <v>#N/A</v>
      </c>
      <c r="AE688" s="458" t="e">
        <f aca="false">IF(t&lt;T_para, pos_z, NA())</f>
        <v>#N/A</v>
      </c>
      <c r="AF688" s="444"/>
      <c r="AG688" s="450" t="n">
        <f aca="false">IF(AND(L687&lt;L_rampe,Poussee&lt;Poids*SIN(M687)),0,(-W687+Poussee)/m-Poids*SIN(M687)/m)</f>
        <v>5.08024668915673</v>
      </c>
      <c r="AH688" s="449" t="n">
        <f aca="false">IF(AND(L687&lt;L_rampe,Poussee&lt;Poids*SIN(M687)), g*SIN(M687), (-W687+Poussee)/m)</f>
        <v>-4.57640538642191</v>
      </c>
    </row>
    <row r="689" customFormat="false" ht="12" hidden="false" customHeight="false" outlineLevel="0" collapsed="false">
      <c r="A689" s="448" t="n">
        <f aca="false">IF(B688+0.01&lt;=T_ini+ROUNDUP(Temps_fin_propu,0), 0.01, IF(K688&gt;0, 0.1, 0.0001))</f>
        <v>0.1</v>
      </c>
      <c r="B689" s="449" t="n">
        <f aca="false">B688+pas</f>
        <v>32.5000000000002</v>
      </c>
      <c r="C689" s="432"/>
      <c r="D689" s="450" t="n">
        <f aca="false">IF(AND(L688&lt;L_rampe,Poussee&lt;Poids*SIN(M688)),0,(-W688+Poussee)/m*COS(M688)-U688/m*SIN(M688))</f>
        <v>-0.807308295277248</v>
      </c>
      <c r="E689" s="451" t="n">
        <f aca="false">IF(AND(L688&lt;L_rampe,Poussee&lt;Poids*SIN(M688)),0,(-W688+Poussee)/m*SIN(M688)+U688/m*COS(M688)-Poids/m)</f>
        <v>-5.26122949852981</v>
      </c>
      <c r="F689" s="449" t="n">
        <f aca="false">SQRT(acc_x^2+acc_z^2)</f>
        <v>5.32280776656679</v>
      </c>
      <c r="G689" s="450" t="n">
        <f aca="false">G688+acc_x*pas</f>
        <v>21.5327016500766</v>
      </c>
      <c r="H689" s="451" t="n">
        <f aca="false">H688+acc_z*pas</f>
        <v>-122.306791715282</v>
      </c>
      <c r="I689" s="449" t="n">
        <f aca="false">SQRT(vit_x^2+vit_z^2)</f>
        <v>124.187795455257</v>
      </c>
      <c r="J689" s="450" t="n">
        <f aca="false">J688+0.5*(vit_x+G688)*pas*(K688&gt;=0)</f>
        <v>952.404805950778</v>
      </c>
      <c r="K689" s="451" t="n">
        <f aca="false">K688+0.5*(vit_z+H688)*pas</f>
        <v>403.417151439141</v>
      </c>
      <c r="L689" s="449" t="n">
        <f aca="false">SQRT(pos_x^2+pos_z^2)</f>
        <v>1034.32118438781</v>
      </c>
      <c r="M689" s="450" t="n">
        <f aca="false">IF(AND(L688&gt;L_rampe,G689&gt;0),ATAN2(G689,H689),$M$4)</f>
        <v>-1.3965273564359</v>
      </c>
      <c r="N689" s="449" t="n">
        <f aca="false">DEGREES(Beta)</f>
        <v>-80.0151234983393</v>
      </c>
      <c r="O689" s="438"/>
      <c r="P689" s="452" t="n">
        <f aca="false">MATCH(t-pas/2-T_ini,CdP_t)</f>
        <v>23</v>
      </c>
      <c r="Q689" s="449" t="n">
        <f aca="false">(INDEX(CdP,2,i_P+1)-INDEX(CdP,2,i_P+0))/(INDEX(CdP,1,i_P+1)-INDEX(CdP,1,i_P+0))*(t-pas/2-T_ini-INDEX(CdP,1,i_P+0))+INDEX(CdP,2,i_P+0)</f>
        <v>0</v>
      </c>
      <c r="R689" s="450" t="n">
        <f aca="false">Poussee/(g*ISP)</f>
        <v>0</v>
      </c>
      <c r="S689" s="451" t="n">
        <f aca="false">S688-Débit*pas</f>
        <v>8.652</v>
      </c>
      <c r="T689" s="449" t="n">
        <f aca="false">m*g</f>
        <v>84.87612</v>
      </c>
      <c r="U689" s="453" t="n">
        <f aca="false">IF(pos_xz&lt;L_rampe,Poids*COS(Beta),0)</f>
        <v>0</v>
      </c>
      <c r="V689" s="450" t="n">
        <f aca="false">Rho_moyen*(20000-Alt_rampe-pos_z)/(20000+Alt_rampe+pos_z)</f>
        <v>1.17655850543613</v>
      </c>
      <c r="W689" s="449" t="n">
        <f aca="false">1/2*Rho*Sref*Cx*vit_xz^2</f>
        <v>40.3466610721626</v>
      </c>
      <c r="X689" s="438"/>
      <c r="Y689" s="454" t="str">
        <f aca="false">IF(AND(pos_z&lt;=0,K688&gt;0),"Impact balistique","") &amp; IF(AND(H690&lt;0,vit_z&gt;=0),"Apogée","") &amp; IF(AND(Poussee=0,Q688&gt;0),"Fin de propulsion","") &amp; IF(AND(L690&gt;L_rampe,pos_xz&lt;=L_rampe),"Sortie de rampe","")</f>
        <v/>
      </c>
      <c r="Z689" s="455" t="str">
        <f aca="false">IF(ABS(t-T_para)&lt;pas/2,"Para","")</f>
        <v/>
      </c>
      <c r="AA689" s="456" t="str">
        <f aca="false">IF(ABS(t-T_satellite)&lt;pas/2,"Satellite","")</f>
        <v/>
      </c>
      <c r="AB689" s="444"/>
      <c r="AC689" s="452" t="e">
        <f aca="false">IF(ABS(t-ROUND(t,0))&lt;0.001,t,NA())</f>
        <v>#N/A</v>
      </c>
      <c r="AD689" s="457" t="e">
        <f aca="false">IF(ABS(t-ROUND(t,0))&lt;0.001,pos_x,NA())</f>
        <v>#N/A</v>
      </c>
      <c r="AE689" s="458" t="e">
        <f aca="false">IF(t&lt;T_para, pos_z, NA())</f>
        <v>#N/A</v>
      </c>
      <c r="AF689" s="444"/>
      <c r="AG689" s="450" t="n">
        <f aca="false">IF(AND(L688&lt;L_rampe,Poussee&lt;Poids*SIN(M688)),0,(-W688+Poussee)/m-Poids*SIN(M688)/m)</f>
        <v>5.0392012547831</v>
      </c>
      <c r="AH689" s="449" t="n">
        <f aca="false">IF(AND(L688&lt;L_rampe,Poussee&lt;Poids*SIN(M688)), g*SIN(M688), (-W688+Poussee)/m)</f>
        <v>-4.61985494995988</v>
      </c>
    </row>
    <row r="690" customFormat="false" ht="12" hidden="false" customHeight="false" outlineLevel="0" collapsed="false">
      <c r="A690" s="448" t="n">
        <f aca="false">IF(B689+0.01&lt;=T_ini+ROUNDUP(Temps_fin_propu,0), 0.01, IF(K689&gt;0, 0.1, 0.0001))</f>
        <v>0.1</v>
      </c>
      <c r="B690" s="449" t="n">
        <f aca="false">B689+pas</f>
        <v>32.6000000000002</v>
      </c>
      <c r="C690" s="432"/>
      <c r="D690" s="450" t="n">
        <f aca="false">IF(AND(L689&lt;L_rampe,Poussee&lt;Poids*SIN(M689)),0,(-W689+Poussee)/m*COS(M689)-U689/m*SIN(M689))</f>
        <v>-0.808557099227458</v>
      </c>
      <c r="E690" s="451" t="n">
        <f aca="false">IF(AND(L689&lt;L_rampe,Poussee&lt;Poids*SIN(M689)),0,(-W689+Poussee)/m*SIN(M689)+U689/m*COS(M689)-Poids/m)</f>
        <v>-5.21735638601236</v>
      </c>
      <c r="F690" s="449" t="n">
        <f aca="false">SQRT(acc_x^2+acc_z^2)</f>
        <v>5.27963751041443</v>
      </c>
      <c r="G690" s="450" t="n">
        <f aca="false">G689+acc_x*pas</f>
        <v>21.4518459401539</v>
      </c>
      <c r="H690" s="451" t="n">
        <f aca="false">H689+acc_z*pas</f>
        <v>-122.828527353884</v>
      </c>
      <c r="I690" s="449" t="n">
        <f aca="false">SQRT(vit_x^2+vit_z^2)</f>
        <v>124.687725242559</v>
      </c>
      <c r="J690" s="450" t="n">
        <f aca="false">J689+0.5*(vit_x+G689)*pas*(K689&gt;=0)</f>
        <v>954.55403333029</v>
      </c>
      <c r="K690" s="451" t="n">
        <f aca="false">K689+0.5*(vit_z+H689)*pas</f>
        <v>391.160385485683</v>
      </c>
      <c r="L690" s="449" t="n">
        <f aca="false">SQRT(pos_x^2+pos_z^2)</f>
        <v>1031.59093138726</v>
      </c>
      <c r="M690" s="450" t="n">
        <f aca="false">IF(AND(L689&gt;L_rampe,G690&gt;0),ATAN2(G690,H690),$M$4)</f>
        <v>-1.39789151560203</v>
      </c>
      <c r="N690" s="449" t="n">
        <f aca="false">DEGREES(Beta)</f>
        <v>-80.0932840611423</v>
      </c>
      <c r="O690" s="438"/>
      <c r="P690" s="452" t="n">
        <f aca="false">MATCH(t-pas/2-T_ini,CdP_t)</f>
        <v>23</v>
      </c>
      <c r="Q690" s="449" t="n">
        <f aca="false">(INDEX(CdP,2,i_P+1)-INDEX(CdP,2,i_P+0))/(INDEX(CdP,1,i_P+1)-INDEX(CdP,1,i_P+0))*(t-pas/2-T_ini-INDEX(CdP,1,i_P+0))+INDEX(CdP,2,i_P+0)</f>
        <v>0</v>
      </c>
      <c r="R690" s="450" t="n">
        <f aca="false">Poussee/(g*ISP)</f>
        <v>0</v>
      </c>
      <c r="S690" s="451" t="n">
        <f aca="false">S689-Débit*pas</f>
        <v>8.652</v>
      </c>
      <c r="T690" s="449" t="n">
        <f aca="false">m*g</f>
        <v>84.87612</v>
      </c>
      <c r="U690" s="453" t="n">
        <f aca="false">IF(pos_xz&lt;L_rampe,Poids*COS(Beta),0)</f>
        <v>0</v>
      </c>
      <c r="V690" s="450" t="n">
        <f aca="false">Rho_moyen*(20000-Alt_rampe-pos_z)/(20000+Alt_rampe+pos_z)</f>
        <v>1.17800203978965</v>
      </c>
      <c r="W690" s="449" t="n">
        <f aca="false">1/2*Rho*Sref*Cx*vit_xz^2</f>
        <v>40.7220547271695</v>
      </c>
      <c r="X690" s="438"/>
      <c r="Y690" s="454" t="str">
        <f aca="false">IF(AND(pos_z&lt;=0,K689&gt;0),"Impact balistique","") &amp; IF(AND(H691&lt;0,vit_z&gt;=0),"Apogée","") &amp; IF(AND(Poussee=0,Q689&gt;0),"Fin de propulsion","") &amp; IF(AND(L691&gt;L_rampe,pos_xz&lt;=L_rampe),"Sortie de rampe","")</f>
        <v/>
      </c>
      <c r="Z690" s="455" t="str">
        <f aca="false">IF(ABS(t-T_para)&lt;pas/2,"Para","")</f>
        <v/>
      </c>
      <c r="AA690" s="456" t="str">
        <f aca="false">IF(ABS(t-T_satellite)&lt;pas/2,"Satellite","")</f>
        <v/>
      </c>
      <c r="AB690" s="444"/>
      <c r="AC690" s="452" t="e">
        <f aca="false">IF(ABS(t-ROUND(t,0))&lt;0.001,t,NA())</f>
        <v>#N/A</v>
      </c>
      <c r="AD690" s="457" t="e">
        <f aca="false">IF(ABS(t-ROUND(t,0))&lt;0.001,pos_x,NA())</f>
        <v>#N/A</v>
      </c>
      <c r="AE690" s="458" t="e">
        <f aca="false">IF(t&lt;T_para, pos_z, NA())</f>
        <v>#N/A</v>
      </c>
      <c r="AF690" s="444"/>
      <c r="AG690" s="450" t="n">
        <f aca="false">IF(AND(L689&lt;L_rampe,Poussee&lt;Poids*SIN(M689)),0,(-W689+Poussee)/m-Poids*SIN(M689)/m)</f>
        <v>4.99813769741431</v>
      </c>
      <c r="AH690" s="449" t="n">
        <f aca="false">IF(AND(L689&lt;L_rampe,Poussee&lt;Poids*SIN(M689)), g*SIN(M689), (-W689+Poussee)/m)</f>
        <v>-4.66327566714778</v>
      </c>
    </row>
    <row r="691" customFormat="false" ht="12" hidden="false" customHeight="false" outlineLevel="0" collapsed="false">
      <c r="A691" s="448" t="n">
        <f aca="false">IF(B690+0.01&lt;=T_ini+ROUNDUP(Temps_fin_propu,0), 0.01, IF(K690&gt;0, 0.1, 0.0001))</f>
        <v>0.1</v>
      </c>
      <c r="B691" s="449" t="n">
        <f aca="false">B690+pas</f>
        <v>32.7000000000002</v>
      </c>
      <c r="C691" s="432"/>
      <c r="D691" s="450" t="n">
        <f aca="false">IF(AND(L690&lt;L_rampe,Poussee&lt;Poids*SIN(M690)),0,(-W690+Poussee)/m*COS(M690)-U690/m*SIN(M690))</f>
        <v>-0.809755935212518</v>
      </c>
      <c r="E691" s="451" t="n">
        <f aca="false">IF(AND(L690&lt;L_rampe,Poussee&lt;Poids*SIN(M690)),0,(-W690+Poussee)/m*SIN(M690)+U690/m*COS(M690)-Poids/m)</f>
        <v>-5.17351653299694</v>
      </c>
      <c r="F691" s="449" t="n">
        <f aca="false">SQRT(acc_x^2+acc_z^2)</f>
        <v>5.23650436759147</v>
      </c>
      <c r="G691" s="450" t="n">
        <f aca="false">G690+acc_x*pas</f>
        <v>21.3708703466327</v>
      </c>
      <c r="H691" s="451" t="n">
        <f aca="false">H690+acc_z*pas</f>
        <v>-123.345879007183</v>
      </c>
      <c r="I691" s="449" t="n">
        <f aca="false">SQRT(vit_x^2+vit_z^2)</f>
        <v>125.183545114473</v>
      </c>
      <c r="J691" s="450" t="n">
        <f aca="false">J690+0.5*(vit_x+G690)*pas*(K690&gt;=0)</f>
        <v>956.695169144629</v>
      </c>
      <c r="K691" s="451" t="n">
        <f aca="false">K690+0.5*(vit_z+H690)*pas</f>
        <v>378.85166516763</v>
      </c>
      <c r="L691" s="449" t="n">
        <f aca="false">SQRT(pos_x^2+pos_z^2)</f>
        <v>1028.97727422182</v>
      </c>
      <c r="M691" s="450" t="n">
        <f aca="false">IF(AND(L690&gt;L_rampe,G691&gt;0),ATAN2(G691,H691),$M$4)</f>
        <v>-1.39923974210493</v>
      </c>
      <c r="N691" s="449" t="n">
        <f aca="false">DEGREES(Beta)</f>
        <v>-80.1705317495864</v>
      </c>
      <c r="O691" s="438"/>
      <c r="P691" s="452" t="n">
        <f aca="false">MATCH(t-pas/2-T_ini,CdP_t)</f>
        <v>23</v>
      </c>
      <c r="Q691" s="449" t="n">
        <f aca="false">(INDEX(CdP,2,i_P+1)-INDEX(CdP,2,i_P+0))/(INDEX(CdP,1,i_P+1)-INDEX(CdP,1,i_P+0))*(t-pas/2-T_ini-INDEX(CdP,1,i_P+0))+INDEX(CdP,2,i_P+0)</f>
        <v>0</v>
      </c>
      <c r="R691" s="450" t="n">
        <f aca="false">Poussee/(g*ISP)</f>
        <v>0</v>
      </c>
      <c r="S691" s="451" t="n">
        <f aca="false">S690-Débit*pas</f>
        <v>8.652</v>
      </c>
      <c r="T691" s="449" t="n">
        <f aca="false">m*g</f>
        <v>84.87612</v>
      </c>
      <c r="U691" s="453" t="n">
        <f aca="false">IF(pos_xz&lt;L_rampe,Poids*COS(Beta),0)</f>
        <v>0</v>
      </c>
      <c r="V691" s="450" t="n">
        <f aca="false">Rho_moyen*(20000-Alt_rampe-pos_z)/(20000+Alt_rampe+pos_z)</f>
        <v>1.1794534405122</v>
      </c>
      <c r="W691" s="449" t="n">
        <f aca="false">1/2*Rho*Sref*Cx*vit_xz^2</f>
        <v>41.0971335031779</v>
      </c>
      <c r="X691" s="438"/>
      <c r="Y691" s="454" t="str">
        <f aca="false">IF(AND(pos_z&lt;=0,K690&gt;0),"Impact balistique","") &amp; IF(AND(H692&lt;0,vit_z&gt;=0),"Apogée","") &amp; IF(AND(Poussee=0,Q690&gt;0),"Fin de propulsion","") &amp; IF(AND(L692&gt;L_rampe,pos_xz&lt;=L_rampe),"Sortie de rampe","")</f>
        <v/>
      </c>
      <c r="Z691" s="455" t="str">
        <f aca="false">IF(ABS(t-T_para)&lt;pas/2,"Para","")</f>
        <v/>
      </c>
      <c r="AA691" s="456" t="str">
        <f aca="false">IF(ABS(t-T_satellite)&lt;pas/2,"Satellite","")</f>
        <v/>
      </c>
      <c r="AB691" s="444"/>
      <c r="AC691" s="452" t="e">
        <f aca="false">IF(ABS(t-ROUND(t,0))&lt;0.001,t,NA())</f>
        <v>#N/A</v>
      </c>
      <c r="AD691" s="457" t="e">
        <f aca="false">IF(ABS(t-ROUND(t,0))&lt;0.001,pos_x,NA())</f>
        <v>#N/A</v>
      </c>
      <c r="AE691" s="458" t="e">
        <f aca="false">IF(t&lt;T_para, pos_z, NA())</f>
        <v>#N/A</v>
      </c>
      <c r="AF691" s="444"/>
      <c r="AG691" s="450" t="n">
        <f aca="false">IF(AND(L690&lt;L_rampe,Poussee&lt;Poids*SIN(M690)),0,(-W690+Poussee)/m-Poids*SIN(M690)/m)</f>
        <v>4.95706097946129</v>
      </c>
      <c r="AH691" s="449" t="n">
        <f aca="false">IF(AND(L690&lt;L_rampe,Poussee&lt;Poids*SIN(M690)), g*SIN(M690), (-W690+Poussee)/m)</f>
        <v>-4.70666374562754</v>
      </c>
    </row>
    <row r="692" customFormat="false" ht="12" hidden="false" customHeight="false" outlineLevel="0" collapsed="false">
      <c r="A692" s="448" t="n">
        <f aca="false">IF(B691+0.01&lt;=T_ini+ROUNDUP(Temps_fin_propu,0), 0.01, IF(K691&gt;0, 0.1, 0.0001))</f>
        <v>0.1</v>
      </c>
      <c r="B692" s="449" t="n">
        <f aca="false">B691+pas</f>
        <v>32.8000000000002</v>
      </c>
      <c r="C692" s="432"/>
      <c r="D692" s="450" t="n">
        <f aca="false">IF(AND(L691&lt;L_rampe,Poussee&lt;Poids*SIN(M691)),0,(-W691+Poussee)/m*COS(M691)-U691/m*SIN(M691))</f>
        <v>-0.810905010024826</v>
      </c>
      <c r="E692" s="451" t="n">
        <f aca="false">IF(AND(L691&lt;L_rampe,Poussee&lt;Poids*SIN(M691)),0,(-W691+Poussee)/m*SIN(M691)+U691/m*COS(M691)-Poids/m)</f>
        <v>-5.12971372103705</v>
      </c>
      <c r="F692" s="449" t="n">
        <f aca="false">SQRT(acc_x^2+acc_z^2)</f>
        <v>5.19341215339965</v>
      </c>
      <c r="G692" s="450" t="n">
        <f aca="false">G691+acc_x*pas</f>
        <v>21.2897798456302</v>
      </c>
      <c r="H692" s="451" t="n">
        <f aca="false">H691+acc_z*pas</f>
        <v>-123.858850379287</v>
      </c>
      <c r="I692" s="449" t="n">
        <f aca="false">SQRT(vit_x^2+vit_z^2)</f>
        <v>125.675254299142</v>
      </c>
      <c r="J692" s="450" t="n">
        <f aca="false">J691+0.5*(vit_x+G691)*pas*(K691&gt;=0)</f>
        <v>958.828201654242</v>
      </c>
      <c r="K692" s="451" t="n">
        <f aca="false">K691+0.5*(vit_z+H691)*pas</f>
        <v>366.491428698306</v>
      </c>
      <c r="L692" s="449" t="n">
        <f aca="false">SQRT(pos_x^2+pos_z^2)</f>
        <v>1026.48306736976</v>
      </c>
      <c r="M692" s="450" t="n">
        <f aca="false">IF(AND(L691&gt;L_rampe,G692&gt;0),ATAN2(G692,H692),$M$4)</f>
        <v>-1.40057232528244</v>
      </c>
      <c r="N692" s="449" t="n">
        <f aca="false">DEGREES(Beta)</f>
        <v>-80.2468831415077</v>
      </c>
      <c r="O692" s="438"/>
      <c r="P692" s="452" t="n">
        <f aca="false">MATCH(t-pas/2-T_ini,CdP_t)</f>
        <v>23</v>
      </c>
      <c r="Q692" s="449" t="n">
        <f aca="false">(INDEX(CdP,2,i_P+1)-INDEX(CdP,2,i_P+0))/(INDEX(CdP,1,i_P+1)-INDEX(CdP,1,i_P+0))*(t-pas/2-T_ini-INDEX(CdP,1,i_P+0))+INDEX(CdP,2,i_P+0)</f>
        <v>0</v>
      </c>
      <c r="R692" s="450" t="n">
        <f aca="false">Poussee/(g*ISP)</f>
        <v>0</v>
      </c>
      <c r="S692" s="451" t="n">
        <f aca="false">S691-Débit*pas</f>
        <v>8.652</v>
      </c>
      <c r="T692" s="449" t="n">
        <f aca="false">m*g</f>
        <v>84.87612</v>
      </c>
      <c r="U692" s="453" t="n">
        <f aca="false">IF(pos_xz&lt;L_rampe,Poids*COS(Beta),0)</f>
        <v>0</v>
      </c>
      <c r="V692" s="450" t="n">
        <f aca="false">Rho_moyen*(20000-Alt_rampe-pos_z)/(20000+Alt_rampe+pos_z)</f>
        <v>1.18091268120705</v>
      </c>
      <c r="W692" s="449" t="n">
        <f aca="false">1/2*Rho*Sref*Cx*vit_xz^2</f>
        <v>41.4718652374807</v>
      </c>
      <c r="X692" s="438"/>
      <c r="Y692" s="454" t="str">
        <f aca="false">IF(AND(pos_z&lt;=0,K691&gt;0),"Impact balistique","") &amp; IF(AND(H693&lt;0,vit_z&gt;=0),"Apogée","") &amp; IF(AND(Poussee=0,Q691&gt;0),"Fin de propulsion","") &amp; IF(AND(L693&gt;L_rampe,pos_xz&lt;=L_rampe),"Sortie de rampe","")</f>
        <v/>
      </c>
      <c r="Z692" s="455" t="str">
        <f aca="false">IF(ABS(t-T_para)&lt;pas/2,"Para","")</f>
        <v/>
      </c>
      <c r="AA692" s="456" t="str">
        <f aca="false">IF(ABS(t-T_satellite)&lt;pas/2,"Satellite","")</f>
        <v/>
      </c>
      <c r="AB692" s="444"/>
      <c r="AC692" s="452" t="e">
        <f aca="false">IF(ABS(t-ROUND(t,0))&lt;0.001,t,NA())</f>
        <v>#N/A</v>
      </c>
      <c r="AD692" s="457" t="e">
        <f aca="false">IF(ABS(t-ROUND(t,0))&lt;0.001,pos_x,NA())</f>
        <v>#N/A</v>
      </c>
      <c r="AE692" s="458" t="e">
        <f aca="false">IF(t&lt;T_para, pos_z, NA())</f>
        <v>#N/A</v>
      </c>
      <c r="AF692" s="444"/>
      <c r="AG692" s="450" t="n">
        <f aca="false">IF(AND(L691&lt;L_rampe,Poussee&lt;Poids*SIN(M691)),0,(-W691+Poussee)/m-Poids*SIN(M691)/m)</f>
        <v>4.91597599014393</v>
      </c>
      <c r="AH692" s="449" t="n">
        <f aca="false">IF(AND(L691&lt;L_rampe,Poussee&lt;Poids*SIN(M691)), g*SIN(M691), (-W691+Poussee)/m)</f>
        <v>-4.7500154303257</v>
      </c>
    </row>
    <row r="693" customFormat="false" ht="12" hidden="false" customHeight="false" outlineLevel="0" collapsed="false">
      <c r="A693" s="448" t="n">
        <f aca="false">IF(B692+0.01&lt;=T_ini+ROUNDUP(Temps_fin_propu,0), 0.01, IF(K692&gt;0, 0.1, 0.0001))</f>
        <v>0.1</v>
      </c>
      <c r="B693" s="449" t="n">
        <f aca="false">B692+pas</f>
        <v>32.9000000000002</v>
      </c>
      <c r="C693" s="432"/>
      <c r="D693" s="450" t="n">
        <f aca="false">IF(AND(L692&lt;L_rampe,Poussee&lt;Poids*SIN(M692)),0,(-W692+Poussee)/m*COS(M692)-U692/m*SIN(M692))</f>
        <v>-0.812004536689423</v>
      </c>
      <c r="E693" s="451" t="n">
        <f aca="false">IF(AND(L692&lt;L_rampe,Poussee&lt;Poids*SIN(M692)),0,(-W692+Poussee)/m*SIN(M692)+U692/m*COS(M692)-Poids/m)</f>
        <v>-5.08595169389406</v>
      </c>
      <c r="F693" s="449" t="n">
        <f aca="false">SQRT(acc_x^2+acc_z^2)</f>
        <v>5.15036464730684</v>
      </c>
      <c r="G693" s="450" t="n">
        <f aca="false">G692+acc_x*pas</f>
        <v>21.2085793919612</v>
      </c>
      <c r="H693" s="451" t="n">
        <f aca="false">H692+acc_z*pas</f>
        <v>-124.367445548677</v>
      </c>
      <c r="I693" s="449" t="n">
        <f aca="false">SQRT(vit_x^2+vit_z^2)</f>
        <v>126.162852504722</v>
      </c>
      <c r="J693" s="450" t="n">
        <f aca="false">J692+0.5*(vit_x+G692)*pas*(K692&gt;=0)</f>
        <v>960.953119616122</v>
      </c>
      <c r="K693" s="451" t="n">
        <f aca="false">K692+0.5*(vit_z+H692)*pas</f>
        <v>354.080113901908</v>
      </c>
      <c r="L693" s="449" t="n">
        <f aca="false">SQRT(pos_x^2+pos_z^2)</f>
        <v>1024.11113906682</v>
      </c>
      <c r="M693" s="450" t="n">
        <f aca="false">IF(AND(L692&gt;L_rampe,G693&gt;0),ATAN2(G693,H693),$M$4)</f>
        <v>-1.40188954745068</v>
      </c>
      <c r="N693" s="449" t="n">
        <f aca="false">DEGREES(Beta)</f>
        <v>-80.3223544124289</v>
      </c>
      <c r="O693" s="438"/>
      <c r="P693" s="452" t="n">
        <f aca="false">MATCH(t-pas/2-T_ini,CdP_t)</f>
        <v>23</v>
      </c>
      <c r="Q693" s="449" t="n">
        <f aca="false">(INDEX(CdP,2,i_P+1)-INDEX(CdP,2,i_P+0))/(INDEX(CdP,1,i_P+1)-INDEX(CdP,1,i_P+0))*(t-pas/2-T_ini-INDEX(CdP,1,i_P+0))+INDEX(CdP,2,i_P+0)</f>
        <v>0</v>
      </c>
      <c r="R693" s="450" t="n">
        <f aca="false">Poussee/(g*ISP)</f>
        <v>0</v>
      </c>
      <c r="S693" s="451" t="n">
        <f aca="false">S692-Débit*pas</f>
        <v>8.652</v>
      </c>
      <c r="T693" s="449" t="n">
        <f aca="false">m*g</f>
        <v>84.87612</v>
      </c>
      <c r="U693" s="453" t="n">
        <f aca="false">IF(pos_xz&lt;L_rampe,Poids*COS(Beta),0)</f>
        <v>0</v>
      </c>
      <c r="V693" s="450" t="n">
        <f aca="false">Rho_moyen*(20000-Alt_rampe-pos_z)/(20000+Alt_rampe+pos_z)</f>
        <v>1.18237973545328</v>
      </c>
      <c r="W693" s="449" t="n">
        <f aca="false">1/2*Rho*Sref*Cx*vit_xz^2</f>
        <v>41.8462180970363</v>
      </c>
      <c r="X693" s="438"/>
      <c r="Y693" s="454" t="str">
        <f aca="false">IF(AND(pos_z&lt;=0,K692&gt;0),"Impact balistique","") &amp; IF(AND(H694&lt;0,vit_z&gt;=0),"Apogée","") &amp; IF(AND(Poussee=0,Q692&gt;0),"Fin de propulsion","") &amp; IF(AND(L694&gt;L_rampe,pos_xz&lt;=L_rampe),"Sortie de rampe","")</f>
        <v/>
      </c>
      <c r="Z693" s="455" t="str">
        <f aca="false">IF(ABS(t-T_para)&lt;pas/2,"Para","")</f>
        <v/>
      </c>
      <c r="AA693" s="456" t="str">
        <f aca="false">IF(ABS(t-T_satellite)&lt;pas/2,"Satellite","")</f>
        <v/>
      </c>
      <c r="AB693" s="444"/>
      <c r="AC693" s="452" t="e">
        <f aca="false">IF(ABS(t-ROUND(t,0))&lt;0.001,t,NA())</f>
        <v>#N/A</v>
      </c>
      <c r="AD693" s="457" t="e">
        <f aca="false">IF(ABS(t-ROUND(t,0))&lt;0.001,pos_x,NA())</f>
        <v>#N/A</v>
      </c>
      <c r="AE693" s="458" t="e">
        <f aca="false">IF(t&lt;T_para, pos_z, NA())</f>
        <v>#N/A</v>
      </c>
      <c r="AF693" s="444"/>
      <c r="AG693" s="450" t="n">
        <f aca="false">IF(AND(L692&lt;L_rampe,Poussee&lt;Poids*SIN(M692)),0,(-W692+Poussee)/m-Poids*SIN(M692)/m)</f>
        <v>4.87488754637609</v>
      </c>
      <c r="AH693" s="449" t="n">
        <f aca="false">IF(AND(L692&lt;L_rampe,Poussee&lt;Poids*SIN(M692)), g*SIN(M692), (-W692+Poussee)/m)</f>
        <v>-4.79332700386971</v>
      </c>
    </row>
    <row r="694" customFormat="false" ht="12" hidden="false" customHeight="false" outlineLevel="0" collapsed="false">
      <c r="A694" s="448" t="n">
        <f aca="false">IF(B693+0.01&lt;=T_ini+ROUNDUP(Temps_fin_propu,0), 0.01, IF(K693&gt;0, 0.1, 0.0001))</f>
        <v>0.1</v>
      </c>
      <c r="B694" s="449" t="n">
        <f aca="false">B693+pas</f>
        <v>33.0000000000002</v>
      </c>
      <c r="C694" s="432"/>
      <c r="D694" s="450" t="n">
        <f aca="false">IF(AND(L693&lt;L_rampe,Poussee&lt;Poids*SIN(M693)),0,(-W693+Poussee)/m*COS(M693)-U693/m*SIN(M693))</f>
        <v>-0.813054734338552</v>
      </c>
      <c r="E694" s="451" t="n">
        <f aca="false">IF(AND(L693&lt;L_rampe,Poussee&lt;Poids*SIN(M693)),0,(-W693+Poussee)/m*SIN(M693)+U693/m*COS(M693)-Poids/m)</f>
        <v>-5.04223415712273</v>
      </c>
      <c r="F694" s="449" t="n">
        <f aca="false">SQRT(acc_x^2+acc_z^2)</f>
        <v>5.10736559258151</v>
      </c>
      <c r="G694" s="450" t="n">
        <f aca="false">G693+acc_x*pas</f>
        <v>21.1272739185274</v>
      </c>
      <c r="H694" s="451" t="n">
        <f aca="false">H693+acc_z*pas</f>
        <v>-124.871668964389</v>
      </c>
      <c r="I694" s="449" t="n">
        <f aca="false">SQRT(vit_x^2+vit_z^2)</f>
        <v>126.646339912294</v>
      </c>
      <c r="J694" s="450" t="n">
        <f aca="false">J693+0.5*(vit_x+G693)*pas*(K693&gt;=0)</f>
        <v>963.069912281647</v>
      </c>
      <c r="K694" s="451" t="n">
        <f aca="false">K693+0.5*(vit_z+H693)*pas</f>
        <v>341.618158176255</v>
      </c>
      <c r="L694" s="449" t="n">
        <f aca="false">SQRT(pos_x^2+pos_z^2)</f>
        <v>1021.86428743641</v>
      </c>
      <c r="M694" s="450" t="n">
        <f aca="false">IF(AND(L693&gt;L_rampe,G694&gt;0),ATAN2(G694,H694),$M$4)</f>
        <v>-1.40319168411196</v>
      </c>
      <c r="N694" s="449" t="n">
        <f aca="false">DEGREES(Beta)</f>
        <v>-80.3969613474696</v>
      </c>
      <c r="O694" s="438"/>
      <c r="P694" s="452" t="n">
        <f aca="false">MATCH(t-pas/2-T_ini,CdP_t)</f>
        <v>23</v>
      </c>
      <c r="Q694" s="449" t="n">
        <f aca="false">(INDEX(CdP,2,i_P+1)-INDEX(CdP,2,i_P+0))/(INDEX(CdP,1,i_P+1)-INDEX(CdP,1,i_P+0))*(t-pas/2-T_ini-INDEX(CdP,1,i_P+0))+INDEX(CdP,2,i_P+0)</f>
        <v>0</v>
      </c>
      <c r="R694" s="450" t="n">
        <f aca="false">Poussee/(g*ISP)</f>
        <v>0</v>
      </c>
      <c r="S694" s="451" t="n">
        <f aca="false">S693-Débit*pas</f>
        <v>8.652</v>
      </c>
      <c r="T694" s="449" t="n">
        <f aca="false">m*g</f>
        <v>84.87612</v>
      </c>
      <c r="U694" s="453" t="n">
        <f aca="false">IF(pos_xz&lt;L_rampe,Poids*COS(Beta),0)</f>
        <v>0</v>
      </c>
      <c r="V694" s="450" t="n">
        <f aca="false">Rho_moyen*(20000-Alt_rampe-pos_z)/(20000+Alt_rampe+pos_z)</f>
        <v>1.18385457680782</v>
      </c>
      <c r="W694" s="449" t="n">
        <f aca="false">1/2*Rho*Sref*Cx*vit_xz^2</f>
        <v>42.2201605818215</v>
      </c>
      <c r="X694" s="438"/>
      <c r="Y694" s="454" t="str">
        <f aca="false">IF(AND(pos_z&lt;=0,K693&gt;0),"Impact balistique","") &amp; IF(AND(H695&lt;0,vit_z&gt;=0),"Apogée","") &amp; IF(AND(Poussee=0,Q693&gt;0),"Fin de propulsion","") &amp; IF(AND(L695&gt;L_rampe,pos_xz&lt;=L_rampe),"Sortie de rampe","")</f>
        <v/>
      </c>
      <c r="Z694" s="455" t="str">
        <f aca="false">IF(ABS(t-T_para)&lt;pas/2,"Para","")</f>
        <v/>
      </c>
      <c r="AA694" s="456" t="str">
        <f aca="false">IF(ABS(t-T_satellite)&lt;pas/2,"Satellite","")</f>
        <v/>
      </c>
      <c r="AB694" s="444"/>
      <c r="AC694" s="452" t="n">
        <f aca="false">IF(ABS(t-ROUND(t,0))&lt;0.001,t,NA())</f>
        <v>33.0000000000002</v>
      </c>
      <c r="AD694" s="457" t="n">
        <f aca="false">IF(ABS(t-ROUND(t,0))&lt;0.001,pos_x,NA())</f>
        <v>963.069912281647</v>
      </c>
      <c r="AE694" s="458" t="e">
        <f aca="false">IF(t&lt;T_para, pos_z, NA())</f>
        <v>#N/A</v>
      </c>
      <c r="AF694" s="444"/>
      <c r="AG694" s="450" t="n">
        <f aca="false">IF(AND(L693&lt;L_rampe,Poussee&lt;Poids*SIN(M693)),0,(-W693+Poussee)/m-Poids*SIN(M693)/m)</f>
        <v>4.83380039361099</v>
      </c>
      <c r="AH694" s="449" t="n">
        <f aca="false">IF(AND(L693&lt;L_rampe,Poussee&lt;Poids*SIN(M693)), g*SIN(M693), (-W693+Poussee)/m)</f>
        <v>-4.83659478698987</v>
      </c>
    </row>
    <row r="695" customFormat="false" ht="12" hidden="false" customHeight="false" outlineLevel="0" collapsed="false">
      <c r="A695" s="448" t="n">
        <f aca="false">IF(B694+0.01&lt;=T_ini+ROUNDUP(Temps_fin_propu,0), 0.01, IF(K694&gt;0, 0.1, 0.0001))</f>
        <v>0.1</v>
      </c>
      <c r="B695" s="449" t="n">
        <f aca="false">B694+pas</f>
        <v>33.1000000000002</v>
      </c>
      <c r="C695" s="432"/>
      <c r="D695" s="450" t="n">
        <f aca="false">IF(AND(L694&lt;L_rampe,Poussee&lt;Poids*SIN(M694)),0,(-W694+Poussee)/m*COS(M694)-U694/m*SIN(M694))</f>
        <v>-0.814055828086763</v>
      </c>
      <c r="E695" s="451" t="n">
        <f aca="false">IF(AND(L694&lt;L_rampe,Poussee&lt;Poids*SIN(M694)),0,(-W694+Poussee)/m*SIN(M694)+U694/m*COS(M694)-Poids/m)</f>
        <v>-4.99856477767166</v>
      </c>
      <c r="F695" s="449" t="n">
        <f aca="false">SQRT(acc_x^2+acc_z^2)</f>
        <v>5.06441869594347</v>
      </c>
      <c r="G695" s="450" t="n">
        <f aca="false">G694+acc_x*pas</f>
        <v>21.0458683357187</v>
      </c>
      <c r="H695" s="451" t="n">
        <f aca="false">H694+acc_z*pas</f>
        <v>-125.371525442156</v>
      </c>
      <c r="I695" s="449" t="n">
        <f aca="false">SQRT(vit_x^2+vit_z^2)</f>
        <v>127.125717168862</v>
      </c>
      <c r="J695" s="450" t="n">
        <f aca="false">J694+0.5*(vit_x+G694)*pas*(K694&gt;=0)</f>
        <v>965.178569394359</v>
      </c>
      <c r="K695" s="451" t="n">
        <f aca="false">K694+0.5*(vit_z+H694)*pas</f>
        <v>329.105998455927</v>
      </c>
      <c r="L695" s="449" t="n">
        <f aca="false">SQRT(pos_x^2+pos_z^2)</f>
        <v>1019.74527654597</v>
      </c>
      <c r="M695" s="450" t="n">
        <f aca="false">IF(AND(L694&gt;L_rampe,G695&gt;0),ATAN2(G695,H695),$M$4)</f>
        <v>-1.40447900415544</v>
      </c>
      <c r="N695" s="449" t="n">
        <f aca="false">DEGREES(Beta)</f>
        <v>-80.4707193528435</v>
      </c>
      <c r="O695" s="438"/>
      <c r="P695" s="452" t="n">
        <f aca="false">MATCH(t-pas/2-T_ini,CdP_t)</f>
        <v>23</v>
      </c>
      <c r="Q695" s="449" t="n">
        <f aca="false">(INDEX(CdP,2,i_P+1)-INDEX(CdP,2,i_P+0))/(INDEX(CdP,1,i_P+1)-INDEX(CdP,1,i_P+0))*(t-pas/2-T_ini-INDEX(CdP,1,i_P+0))+INDEX(CdP,2,i_P+0)</f>
        <v>0</v>
      </c>
      <c r="R695" s="450" t="n">
        <f aca="false">Poussee/(g*ISP)</f>
        <v>0</v>
      </c>
      <c r="S695" s="451" t="n">
        <f aca="false">S694-Débit*pas</f>
        <v>8.652</v>
      </c>
      <c r="T695" s="449" t="n">
        <f aca="false">m*g</f>
        <v>84.87612</v>
      </c>
      <c r="U695" s="453" t="n">
        <f aca="false">IF(pos_xz&lt;L_rampe,Poids*COS(Beta),0)</f>
        <v>0</v>
      </c>
      <c r="V695" s="450" t="n">
        <f aca="false">Rho_moyen*(20000-Alt_rampe-pos_z)/(20000+Alt_rampe+pos_z)</f>
        <v>1.18533717880765</v>
      </c>
      <c r="W695" s="449" t="n">
        <f aca="false">1/2*Rho*Sref*Cx*vit_xz^2</f>
        <v>42.59366152806</v>
      </c>
      <c r="X695" s="438"/>
      <c r="Y695" s="454" t="str">
        <f aca="false">IF(AND(pos_z&lt;=0,K694&gt;0),"Impact balistique","") &amp; IF(AND(H696&lt;0,vit_z&gt;=0),"Apogée","") &amp; IF(AND(Poussee=0,Q694&gt;0),"Fin de propulsion","") &amp; IF(AND(L696&gt;L_rampe,pos_xz&lt;=L_rampe),"Sortie de rampe","")</f>
        <v/>
      </c>
      <c r="Z695" s="455" t="str">
        <f aca="false">IF(ABS(t-T_para)&lt;pas/2,"Para","")</f>
        <v/>
      </c>
      <c r="AA695" s="456" t="str">
        <f aca="false">IF(ABS(t-T_satellite)&lt;pas/2,"Satellite","")</f>
        <v/>
      </c>
      <c r="AB695" s="444"/>
      <c r="AC695" s="452" t="e">
        <f aca="false">IF(ABS(t-ROUND(t,0))&lt;0.001,t,NA())</f>
        <v>#N/A</v>
      </c>
      <c r="AD695" s="457" t="e">
        <f aca="false">IF(ABS(t-ROUND(t,0))&lt;0.001,pos_x,NA())</f>
        <v>#N/A</v>
      </c>
      <c r="AE695" s="458" t="e">
        <f aca="false">IF(t&lt;T_para, pos_z, NA())</f>
        <v>#N/A</v>
      </c>
      <c r="AF695" s="444"/>
      <c r="AG695" s="450" t="n">
        <f aca="false">IF(AND(L694&lt;L_rampe,Poussee&lt;Poids*SIN(M694)),0,(-W694+Poussee)/m-Poids*SIN(M694)/m)</f>
        <v>4.79271920664944</v>
      </c>
      <c r="AH695" s="449" t="n">
        <f aca="false">IF(AND(L694&lt;L_rampe,Poussee&lt;Poids*SIN(M694)), g*SIN(M694), (-W694+Poussee)/m)</f>
        <v>-4.87981513890678</v>
      </c>
    </row>
    <row r="696" customFormat="false" ht="12" hidden="false" customHeight="false" outlineLevel="0" collapsed="false">
      <c r="A696" s="448" t="n">
        <f aca="false">IF(B695+0.01&lt;=T_ini+ROUNDUP(Temps_fin_propu,0), 0.01, IF(K695&gt;0, 0.1, 0.0001))</f>
        <v>0.1</v>
      </c>
      <c r="B696" s="449" t="n">
        <f aca="false">B695+pas</f>
        <v>33.2000000000002</v>
      </c>
      <c r="C696" s="432"/>
      <c r="D696" s="450" t="n">
        <f aca="false">IF(AND(L695&lt;L_rampe,Poussee&lt;Poids*SIN(M695)),0,(-W695+Poussee)/m*COS(M695)-U695/m*SIN(M695))</f>
        <v>-0.815008048906547</v>
      </c>
      <c r="E696" s="451" t="n">
        <f aca="false">IF(AND(L695&lt;L_rampe,Poussee&lt;Poids*SIN(M695)),0,(-W695+Poussee)/m*SIN(M695)+U695/m*COS(M695)-Poids/m)</f>
        <v>-4.95494718349859</v>
      </c>
      <c r="F696" s="449" t="n">
        <f aca="false">SQRT(acc_x^2+acc_z^2)</f>
        <v>5.02152762723088</v>
      </c>
      <c r="G696" s="450" t="n">
        <f aca="false">G695+acc_x*pas</f>
        <v>20.964367530828</v>
      </c>
      <c r="H696" s="451" t="n">
        <f aca="false">H695+acc_z*pas</f>
        <v>-125.867020160506</v>
      </c>
      <c r="I696" s="449" t="n">
        <f aca="false">SQRT(vit_x^2+vit_z^2)</f>
        <v>127.600985380415</v>
      </c>
      <c r="J696" s="450" t="n">
        <f aca="false">J695+0.5*(vit_x+G695)*pas*(K695&gt;=0)</f>
        <v>967.279081187686</v>
      </c>
      <c r="K696" s="451" t="n">
        <f aca="false">K695+0.5*(vit_z+H695)*pas</f>
        <v>316.544071175794</v>
      </c>
      <c r="L696" s="449" t="n">
        <f aca="false">SQRT(pos_x^2+pos_z^2)</f>
        <v>1017.75683240145</v>
      </c>
      <c r="M696" s="450" t="n">
        <f aca="false">IF(AND(L695&gt;L_rampe,G696&gt;0),ATAN2(G696,H696),$M$4)</f>
        <v>-1.40575177005083</v>
      </c>
      <c r="N696" s="449" t="n">
        <f aca="false">DEGREES(Beta)</f>
        <v>-80.5436434669574</v>
      </c>
      <c r="O696" s="438"/>
      <c r="P696" s="452" t="n">
        <f aca="false">MATCH(t-pas/2-T_ini,CdP_t)</f>
        <v>23</v>
      </c>
      <c r="Q696" s="449" t="n">
        <f aca="false">(INDEX(CdP,2,i_P+1)-INDEX(CdP,2,i_P+0))/(INDEX(CdP,1,i_P+1)-INDEX(CdP,1,i_P+0))*(t-pas/2-T_ini-INDEX(CdP,1,i_P+0))+INDEX(CdP,2,i_P+0)</f>
        <v>0</v>
      </c>
      <c r="R696" s="450" t="n">
        <f aca="false">Poussee/(g*ISP)</f>
        <v>0</v>
      </c>
      <c r="S696" s="451" t="n">
        <f aca="false">S695-Débit*pas</f>
        <v>8.652</v>
      </c>
      <c r="T696" s="449" t="n">
        <f aca="false">m*g</f>
        <v>84.87612</v>
      </c>
      <c r="U696" s="453" t="n">
        <f aca="false">IF(pos_xz&lt;L_rampe,Poids*COS(Beta),0)</f>
        <v>0</v>
      </c>
      <c r="V696" s="450" t="n">
        <f aca="false">Rho_moyen*(20000-Alt_rampe-pos_z)/(20000+Alt_rampe+pos_z)</f>
        <v>1.18682751497185</v>
      </c>
      <c r="W696" s="449" t="n">
        <f aca="false">1/2*Rho*Sref*Cx*vit_xz^2</f>
        <v>42.9666901113269</v>
      </c>
      <c r="X696" s="438"/>
      <c r="Y696" s="454" t="str">
        <f aca="false">IF(AND(pos_z&lt;=0,K695&gt;0),"Impact balistique","") &amp; IF(AND(H697&lt;0,vit_z&gt;=0),"Apogée","") &amp; IF(AND(Poussee=0,Q695&gt;0),"Fin de propulsion","") &amp; IF(AND(L697&gt;L_rampe,pos_xz&lt;=L_rampe),"Sortie de rampe","")</f>
        <v/>
      </c>
      <c r="Z696" s="455" t="str">
        <f aca="false">IF(ABS(t-T_para)&lt;pas/2,"Para","")</f>
        <v/>
      </c>
      <c r="AA696" s="456" t="str">
        <f aca="false">IF(ABS(t-T_satellite)&lt;pas/2,"Satellite","")</f>
        <v/>
      </c>
      <c r="AB696" s="444"/>
      <c r="AC696" s="452" t="e">
        <f aca="false">IF(ABS(t-ROUND(t,0))&lt;0.001,t,NA())</f>
        <v>#N/A</v>
      </c>
      <c r="AD696" s="457" t="e">
        <f aca="false">IF(ABS(t-ROUND(t,0))&lt;0.001,pos_x,NA())</f>
        <v>#N/A</v>
      </c>
      <c r="AE696" s="458" t="e">
        <f aca="false">IF(t&lt;T_para, pos_z, NA())</f>
        <v>#N/A</v>
      </c>
      <c r="AF696" s="444"/>
      <c r="AG696" s="450" t="n">
        <f aca="false">IF(AND(L695&lt;L_rampe,Poussee&lt;Poids*SIN(M695)),0,(-W695+Poussee)/m-Poids*SIN(M695)/m)</f>
        <v>4.75164859041322</v>
      </c>
      <c r="AH696" s="449" t="n">
        <f aca="false">IF(AND(L695&lt;L_rampe,Poussee&lt;Poids*SIN(M695)), g*SIN(M695), (-W695+Poussee)/m)</f>
        <v>-4.92298445770457</v>
      </c>
    </row>
    <row r="697" customFormat="false" ht="12" hidden="false" customHeight="false" outlineLevel="0" collapsed="false">
      <c r="A697" s="448" t="n">
        <f aca="false">IF(B696+0.01&lt;=T_ini+ROUNDUP(Temps_fin_propu,0), 0.01, IF(K696&gt;0, 0.1, 0.0001))</f>
        <v>0.1</v>
      </c>
      <c r="B697" s="449" t="n">
        <f aca="false">B696+pas</f>
        <v>33.3000000000002</v>
      </c>
      <c r="C697" s="432"/>
      <c r="D697" s="450" t="n">
        <f aca="false">IF(AND(L696&lt;L_rampe,Poussee&lt;Poids*SIN(M696)),0,(-W696+Poussee)/m*COS(M696)-U696/m*SIN(M696))</f>
        <v>-0.815911633504531</v>
      </c>
      <c r="E697" s="451" t="n">
        <f aca="false">IF(AND(L696&lt;L_rampe,Poussee&lt;Poids*SIN(M696)),0,(-W696+Poussee)/m*SIN(M696)+U696/m*COS(M696)-Poids/m)</f>
        <v>-4.91138496320047</v>
      </c>
      <c r="F697" s="449" t="n">
        <f aca="false">SQRT(acc_x^2+acc_z^2)</f>
        <v>4.97869601908368</v>
      </c>
      <c r="G697" s="450" t="n">
        <f aca="false">G696+acc_x*pas</f>
        <v>20.8827763674776</v>
      </c>
      <c r="H697" s="451" t="n">
        <f aca="false">H696+acc_z*pas</f>
        <v>-126.358158656826</v>
      </c>
      <c r="I697" s="449" t="n">
        <f aca="false">SQRT(vit_x^2+vit_z^2)</f>
        <v>128.072146105067</v>
      </c>
      <c r="J697" s="450" t="n">
        <f aca="false">J696+0.5*(vit_x+G696)*pas*(K696&gt;=0)</f>
        <v>969.371438382601</v>
      </c>
      <c r="K697" s="451" t="n">
        <f aca="false">K696+0.5*(vit_z+H696)*pas</f>
        <v>303.932812234928</v>
      </c>
      <c r="L697" s="449" t="n">
        <f aca="false">SQRT(pos_x^2+pos_z^2)</f>
        <v>1015.90163889275</v>
      </c>
      <c r="M697" s="450" t="n">
        <f aca="false">IF(AND(L696&gt;L_rampe,G697&gt;0),ATAN2(G697,H697),$M$4)</f>
        <v>-1.40701023803545</v>
      </c>
      <c r="N697" s="449" t="n">
        <f aca="false">DEGREES(Beta)</f>
        <v>-80.6157483711284</v>
      </c>
      <c r="O697" s="438"/>
      <c r="P697" s="452" t="n">
        <f aca="false">MATCH(t-pas/2-T_ini,CdP_t)</f>
        <v>23</v>
      </c>
      <c r="Q697" s="449" t="n">
        <f aca="false">(INDEX(CdP,2,i_P+1)-INDEX(CdP,2,i_P+0))/(INDEX(CdP,1,i_P+1)-INDEX(CdP,1,i_P+0))*(t-pas/2-T_ini-INDEX(CdP,1,i_P+0))+INDEX(CdP,2,i_P+0)</f>
        <v>0</v>
      </c>
      <c r="R697" s="450" t="n">
        <f aca="false">Poussee/(g*ISP)</f>
        <v>0</v>
      </c>
      <c r="S697" s="451" t="n">
        <f aca="false">S696-Débit*pas</f>
        <v>8.652</v>
      </c>
      <c r="T697" s="449" t="n">
        <f aca="false">m*g</f>
        <v>84.87612</v>
      </c>
      <c r="U697" s="453" t="n">
        <f aca="false">IF(pos_xz&lt;L_rampe,Poids*COS(Beta),0)</f>
        <v>0</v>
      </c>
      <c r="V697" s="450" t="n">
        <f aca="false">Rho_moyen*(20000-Alt_rampe-pos_z)/(20000+Alt_rampe+pos_z)</f>
        <v>1.18832555880372</v>
      </c>
      <c r="W697" s="449" t="n">
        <f aca="false">1/2*Rho*Sref*Cx*vit_xz^2</f>
        <v>43.3392158495295</v>
      </c>
      <c r="X697" s="438"/>
      <c r="Y697" s="454" t="str">
        <f aca="false">IF(AND(pos_z&lt;=0,K696&gt;0),"Impact balistique","") &amp; IF(AND(H698&lt;0,vit_z&gt;=0),"Apogée","") &amp; IF(AND(Poussee=0,Q696&gt;0),"Fin de propulsion","") &amp; IF(AND(L698&gt;L_rampe,pos_xz&lt;=L_rampe),"Sortie de rampe","")</f>
        <v/>
      </c>
      <c r="Z697" s="455" t="str">
        <f aca="false">IF(ABS(t-T_para)&lt;pas/2,"Para","")</f>
        <v/>
      </c>
      <c r="AA697" s="456" t="str">
        <f aca="false">IF(ABS(t-T_satellite)&lt;pas/2,"Satellite","")</f>
        <v/>
      </c>
      <c r="AB697" s="444"/>
      <c r="AC697" s="452" t="e">
        <f aca="false">IF(ABS(t-ROUND(t,0))&lt;0.001,t,NA())</f>
        <v>#N/A</v>
      </c>
      <c r="AD697" s="457" t="e">
        <f aca="false">IF(ABS(t-ROUND(t,0))&lt;0.001,pos_x,NA())</f>
        <v>#N/A</v>
      </c>
      <c r="AE697" s="458" t="e">
        <f aca="false">IF(t&lt;T_para, pos_z, NA())</f>
        <v>#N/A</v>
      </c>
      <c r="AF697" s="444"/>
      <c r="AG697" s="450" t="n">
        <f aca="false">IF(AND(L696&lt;L_rampe,Poussee&lt;Poids*SIN(M696)),0,(-W696+Poussee)/m-Poids*SIN(M696)/m)</f>
        <v>4.71059308068596</v>
      </c>
      <c r="AH697" s="449" t="n">
        <f aca="false">IF(AND(L696&lt;L_rampe,Poussee&lt;Poids*SIN(M696)), g*SIN(M696), (-W696+Poussee)/m)</f>
        <v>-4.96609918068966</v>
      </c>
    </row>
    <row r="698" customFormat="false" ht="12" hidden="false" customHeight="false" outlineLevel="0" collapsed="false">
      <c r="A698" s="448" t="n">
        <f aca="false">IF(B697+0.01&lt;=T_ini+ROUNDUP(Temps_fin_propu,0), 0.01, IF(K697&gt;0, 0.1, 0.0001))</f>
        <v>0.1</v>
      </c>
      <c r="B698" s="449" t="n">
        <f aca="false">B697+pas</f>
        <v>33.4000000000002</v>
      </c>
      <c r="C698" s="432"/>
      <c r="D698" s="450" t="n">
        <f aca="false">IF(AND(L697&lt;L_rampe,Poussee&lt;Poids*SIN(M697)),0,(-W697+Poussee)/m*COS(M697)-U697/m*SIN(M697))</f>
        <v>-0.816766824198199</v>
      </c>
      <c r="E698" s="451" t="n">
        <f aca="false">IF(AND(L697&lt;L_rampe,Poussee&lt;Poids*SIN(M697)),0,(-W697+Poussee)/m*SIN(M697)+U697/m*COS(M697)-Poids/m)</f>
        <v>-4.86788166565834</v>
      </c>
      <c r="F698" s="449" t="n">
        <f aca="false">SQRT(acc_x^2+acc_z^2)</f>
        <v>4.93592746664327</v>
      </c>
      <c r="G698" s="450" t="n">
        <f aca="false">G697+acc_x*pas</f>
        <v>20.8010996850578</v>
      </c>
      <c r="H698" s="451" t="n">
        <f aca="false">H697+acc_z*pas</f>
        <v>-126.844946823392</v>
      </c>
      <c r="I698" s="449" t="n">
        <f aca="false">SQRT(vit_x^2+vit_z^2)</f>
        <v>128.539201346269</v>
      </c>
      <c r="J698" s="450" t="n">
        <f aca="false">J697+0.5*(vit_x+G697)*pas*(K697&gt;=0)</f>
        <v>971.455632185228</v>
      </c>
      <c r="K698" s="451" t="n">
        <f aca="false">K697+0.5*(vit_z+H697)*pas</f>
        <v>291.272656960917</v>
      </c>
      <c r="L698" s="449" t="n">
        <f aca="false">SQRT(pos_x^2+pos_z^2)</f>
        <v>1014.18233370409</v>
      </c>
      <c r="M698" s="450" t="n">
        <f aca="false">IF(AND(L697&gt;L_rampe,G698&gt;0),ATAN2(G698,H698),$M$4)</f>
        <v>-1.40825465829488</v>
      </c>
      <c r="N698" s="449" t="n">
        <f aca="false">DEGREES(Beta)</f>
        <v>-80.6870483999348</v>
      </c>
      <c r="O698" s="438"/>
      <c r="P698" s="452" t="n">
        <f aca="false">MATCH(t-pas/2-T_ini,CdP_t)</f>
        <v>23</v>
      </c>
      <c r="Q698" s="449" t="n">
        <f aca="false">(INDEX(CdP,2,i_P+1)-INDEX(CdP,2,i_P+0))/(INDEX(CdP,1,i_P+1)-INDEX(CdP,1,i_P+0))*(t-pas/2-T_ini-INDEX(CdP,1,i_P+0))+INDEX(CdP,2,i_P+0)</f>
        <v>0</v>
      </c>
      <c r="R698" s="450" t="n">
        <f aca="false">Poussee/(g*ISP)</f>
        <v>0</v>
      </c>
      <c r="S698" s="451" t="n">
        <f aca="false">S697-Débit*pas</f>
        <v>8.652</v>
      </c>
      <c r="T698" s="449" t="n">
        <f aca="false">m*g</f>
        <v>84.87612</v>
      </c>
      <c r="U698" s="453" t="n">
        <f aca="false">IF(pos_xz&lt;L_rampe,Poids*COS(Beta),0)</f>
        <v>0</v>
      </c>
      <c r="V698" s="450" t="n">
        <f aca="false">Rho_moyen*(20000-Alt_rampe-pos_z)/(20000+Alt_rampe+pos_z)</f>
        <v>1.18983128379287</v>
      </c>
      <c r="W698" s="449" t="n">
        <f aca="false">1/2*Rho*Sref*Cx*vit_xz^2</f>
        <v>43.7112086057638</v>
      </c>
      <c r="X698" s="438"/>
      <c r="Y698" s="454" t="str">
        <f aca="false">IF(AND(pos_z&lt;=0,K697&gt;0),"Impact balistique","") &amp; IF(AND(H699&lt;0,vit_z&gt;=0),"Apogée","") &amp; IF(AND(Poussee=0,Q697&gt;0),"Fin de propulsion","") &amp; IF(AND(L699&gt;L_rampe,pos_xz&lt;=L_rampe),"Sortie de rampe","")</f>
        <v/>
      </c>
      <c r="Z698" s="455" t="str">
        <f aca="false">IF(ABS(t-T_para)&lt;pas/2,"Para","")</f>
        <v/>
      </c>
      <c r="AA698" s="456" t="str">
        <f aca="false">IF(ABS(t-T_satellite)&lt;pas/2,"Satellite","")</f>
        <v/>
      </c>
      <c r="AB698" s="444"/>
      <c r="AC698" s="452" t="e">
        <f aca="false">IF(ABS(t-ROUND(t,0))&lt;0.001,t,NA())</f>
        <v>#N/A</v>
      </c>
      <c r="AD698" s="457" t="e">
        <f aca="false">IF(ABS(t-ROUND(t,0))&lt;0.001,pos_x,NA())</f>
        <v>#N/A</v>
      </c>
      <c r="AE698" s="458" t="e">
        <f aca="false">IF(t&lt;T_para, pos_z, NA())</f>
        <v>#N/A</v>
      </c>
      <c r="AF698" s="444"/>
      <c r="AG698" s="450" t="n">
        <f aca="false">IF(AND(L697&lt;L_rampe,Poussee&lt;Poids*SIN(M697)),0,(-W697+Poussee)/m-Poids*SIN(M697)/m)</f>
        <v>4.66955714482357</v>
      </c>
      <c r="AH698" s="449" t="n">
        <f aca="false">IF(AND(L697&lt;L_rampe,Poussee&lt;Poids*SIN(M697)), g*SIN(M697), (-W697+Poussee)/m)</f>
        <v>-5.00915578473527</v>
      </c>
    </row>
    <row r="699" customFormat="false" ht="12" hidden="false" customHeight="false" outlineLevel="0" collapsed="false">
      <c r="A699" s="448" t="n">
        <f aca="false">IF(B698+0.01&lt;=T_ini+ROUNDUP(Temps_fin_propu,0), 0.01, IF(K698&gt;0, 0.1, 0.0001))</f>
        <v>0.1</v>
      </c>
      <c r="B699" s="449" t="n">
        <f aca="false">B698+pas</f>
        <v>33.5000000000002</v>
      </c>
      <c r="C699" s="432"/>
      <c r="D699" s="450" t="n">
        <f aca="false">IF(AND(L698&lt;L_rampe,Poussee&lt;Poids*SIN(M698)),0,(-W698+Poussee)/m*COS(M698)-U698/m*SIN(M698))</f>
        <v>-0.817573868793153</v>
      </c>
      <c r="E699" s="451" t="n">
        <f aca="false">IF(AND(L698&lt;L_rampe,Poussee&lt;Poids*SIN(M698)),0,(-W698+Poussee)/m*SIN(M698)+U698/m*COS(M698)-Poids/m)</f>
        <v>-4.82444079969688</v>
      </c>
      <c r="F699" s="449" t="n">
        <f aca="false">SQRT(acc_x^2+acc_z^2)</f>
        <v>4.89322552726862</v>
      </c>
      <c r="G699" s="450" t="n">
        <f aca="false">G698+acc_x*pas</f>
        <v>20.7193422981785</v>
      </c>
      <c r="H699" s="451" t="n">
        <f aca="false">H698+acc_z*pas</f>
        <v>-127.327390903361</v>
      </c>
      <c r="I699" s="449" t="n">
        <f aca="false">SQRT(vit_x^2+vit_z^2)</f>
        <v>129.00215354608</v>
      </c>
      <c r="J699" s="450" t="n">
        <f aca="false">J698+0.5*(vit_x+G698)*pas*(K698&gt;=0)</f>
        <v>973.53165428439</v>
      </c>
      <c r="K699" s="451" t="n">
        <f aca="false">K698+0.5*(vit_z+H698)*pas</f>
        <v>278.564040074579</v>
      </c>
      <c r="L699" s="449" t="n">
        <f aca="false">SQRT(pos_x^2+pos_z^2)</f>
        <v>1012.60150420408</v>
      </c>
      <c r="M699" s="450" t="n">
        <f aca="false">IF(AND(L698&gt;L_rampe,G699&gt;0),ATAN2(G699,H699),$M$4)</f>
        <v>-1.40948527513748</v>
      </c>
      <c r="N699" s="449" t="n">
        <f aca="false">DEGREES(Beta)</f>
        <v>-80.7575575512131</v>
      </c>
      <c r="O699" s="438"/>
      <c r="P699" s="452" t="n">
        <f aca="false">MATCH(t-pas/2-T_ini,CdP_t)</f>
        <v>23</v>
      </c>
      <c r="Q699" s="449" t="n">
        <f aca="false">(INDEX(CdP,2,i_P+1)-INDEX(CdP,2,i_P+0))/(INDEX(CdP,1,i_P+1)-INDEX(CdP,1,i_P+0))*(t-pas/2-T_ini-INDEX(CdP,1,i_P+0))+INDEX(CdP,2,i_P+0)</f>
        <v>0</v>
      </c>
      <c r="R699" s="450" t="n">
        <f aca="false">Poussee/(g*ISP)</f>
        <v>0</v>
      </c>
      <c r="S699" s="451" t="n">
        <f aca="false">S698-Débit*pas</f>
        <v>8.652</v>
      </c>
      <c r="T699" s="449" t="n">
        <f aca="false">m*g</f>
        <v>84.87612</v>
      </c>
      <c r="U699" s="453" t="n">
        <f aca="false">IF(pos_xz&lt;L_rampe,Poids*COS(Beta),0)</f>
        <v>0</v>
      </c>
      <c r="V699" s="450" t="n">
        <f aca="false">Rho_moyen*(20000-Alt_rampe-pos_z)/(20000+Alt_rampe+pos_z)</f>
        <v>1.19134466341729</v>
      </c>
      <c r="W699" s="449" t="n">
        <f aca="false">1/2*Rho*Sref*Cx*vit_xz^2</f>
        <v>44.0826385910486</v>
      </c>
      <c r="X699" s="438"/>
      <c r="Y699" s="454" t="str">
        <f aca="false">IF(AND(pos_z&lt;=0,K698&gt;0),"Impact balistique","") &amp; IF(AND(H700&lt;0,vit_z&gt;=0),"Apogée","") &amp; IF(AND(Poussee=0,Q698&gt;0),"Fin de propulsion","") &amp; IF(AND(L700&gt;L_rampe,pos_xz&lt;=L_rampe),"Sortie de rampe","")</f>
        <v/>
      </c>
      <c r="Z699" s="455" t="str">
        <f aca="false">IF(ABS(t-T_para)&lt;pas/2,"Para","")</f>
        <v/>
      </c>
      <c r="AA699" s="456" t="str">
        <f aca="false">IF(ABS(t-T_satellite)&lt;pas/2,"Satellite","")</f>
        <v/>
      </c>
      <c r="AB699" s="444"/>
      <c r="AC699" s="452" t="e">
        <f aca="false">IF(ABS(t-ROUND(t,0))&lt;0.001,t,NA())</f>
        <v>#N/A</v>
      </c>
      <c r="AD699" s="457" t="e">
        <f aca="false">IF(ABS(t-ROUND(t,0))&lt;0.001,pos_x,NA())</f>
        <v>#N/A</v>
      </c>
      <c r="AE699" s="458" t="e">
        <f aca="false">IF(t&lt;T_para, pos_z, NA())</f>
        <v>#N/A</v>
      </c>
      <c r="AF699" s="444"/>
      <c r="AG699" s="450" t="n">
        <f aca="false">IF(AND(L698&lt;L_rampe,Poussee&lt;Poids*SIN(M698)),0,(-W698+Poussee)/m-Poids*SIN(M698)/m)</f>
        <v>4.62854518243632</v>
      </c>
      <c r="AH699" s="449" t="n">
        <f aca="false">IF(AND(L698&lt;L_rampe,Poussee&lt;Poids*SIN(M698)), g*SIN(M698), (-W698+Poussee)/m)</f>
        <v>-5.05215078661163</v>
      </c>
    </row>
    <row r="700" customFormat="false" ht="12" hidden="false" customHeight="false" outlineLevel="0" collapsed="false">
      <c r="A700" s="448" t="n">
        <f aca="false">IF(B699+0.01&lt;=T_ini+ROUNDUP(Temps_fin_propu,0), 0.01, IF(K699&gt;0, 0.1, 0.0001))</f>
        <v>0.1</v>
      </c>
      <c r="B700" s="449" t="n">
        <f aca="false">B699+pas</f>
        <v>33.6000000000002</v>
      </c>
      <c r="C700" s="432"/>
      <c r="D700" s="450" t="n">
        <f aca="false">IF(AND(L699&lt;L_rampe,Poussee&lt;Poids*SIN(M699)),0,(-W699+Poussee)/m*COS(M699)-U699/m*SIN(M699))</f>
        <v>-0.818333020460947</v>
      </c>
      <c r="E700" s="451" t="n">
        <f aca="false">IF(AND(L699&lt;L_rampe,Poussee&lt;Poids*SIN(M699)),0,(-W699+Poussee)/m*SIN(M699)+U699/m*COS(M699)-Poids/m)</f>
        <v>-4.78106583375864</v>
      </c>
      <c r="F700" s="449" t="n">
        <f aca="false">SQRT(acc_x^2+acc_z^2)</f>
        <v>4.85059372026878</v>
      </c>
      <c r="G700" s="450" t="n">
        <f aca="false">G699+acc_x*pas</f>
        <v>20.6375089961324</v>
      </c>
      <c r="H700" s="451" t="n">
        <f aca="false">H699+acc_z*pas</f>
        <v>-127.805497486737</v>
      </c>
      <c r="I700" s="449" t="n">
        <f aca="false">SQRT(vit_x^2+vit_z^2)</f>
        <v>129.461005578506</v>
      </c>
      <c r="J700" s="450" t="n">
        <f aca="false">J699+0.5*(vit_x+G699)*pas*(K699&gt;=0)</f>
        <v>975.599496849105</v>
      </c>
      <c r="K700" s="451" t="n">
        <f aca="false">K699+0.5*(vit_z+H699)*pas</f>
        <v>265.807395655074</v>
      </c>
      <c r="L700" s="449" t="n">
        <f aca="false">SQRT(pos_x^2+pos_z^2)</f>
        <v>1011.16168333119</v>
      </c>
      <c r="M700" s="450" t="n">
        <f aca="false">IF(AND(L699&gt;L_rampe,G700&gt;0),ATAN2(G700,H700),$M$4)</f>
        <v>-1.41070232716291</v>
      </c>
      <c r="N700" s="449" t="n">
        <f aca="false">DEGREES(Beta)</f>
        <v>-80.8272894957181</v>
      </c>
      <c r="O700" s="438"/>
      <c r="P700" s="452" t="n">
        <f aca="false">MATCH(t-pas/2-T_ini,CdP_t)</f>
        <v>23</v>
      </c>
      <c r="Q700" s="449" t="n">
        <f aca="false">(INDEX(CdP,2,i_P+1)-INDEX(CdP,2,i_P+0))/(INDEX(CdP,1,i_P+1)-INDEX(CdP,1,i_P+0))*(t-pas/2-T_ini-INDEX(CdP,1,i_P+0))+INDEX(CdP,2,i_P+0)</f>
        <v>0</v>
      </c>
      <c r="R700" s="450" t="n">
        <f aca="false">Poussee/(g*ISP)</f>
        <v>0</v>
      </c>
      <c r="S700" s="451" t="n">
        <f aca="false">S699-Débit*pas</f>
        <v>8.652</v>
      </c>
      <c r="T700" s="449" t="n">
        <f aca="false">m*g</f>
        <v>84.87612</v>
      </c>
      <c r="U700" s="453" t="n">
        <f aca="false">IF(pos_xz&lt;L_rampe,Poids*COS(Beta),0)</f>
        <v>0</v>
      </c>
      <c r="V700" s="450" t="n">
        <f aca="false">Rho_moyen*(20000-Alt_rampe-pos_z)/(20000+Alt_rampe+pos_z)</f>
        <v>1.19286567114545</v>
      </c>
      <c r="W700" s="449" t="n">
        <f aca="false">1/2*Rho*Sref*Cx*vit_xz^2</f>
        <v>44.4534763669365</v>
      </c>
      <c r="X700" s="438"/>
      <c r="Y700" s="454" t="str">
        <f aca="false">IF(AND(pos_z&lt;=0,K699&gt;0),"Impact balistique","") &amp; IF(AND(H701&lt;0,vit_z&gt;=0),"Apogée","") &amp; IF(AND(Poussee=0,Q699&gt;0),"Fin de propulsion","") &amp; IF(AND(L701&gt;L_rampe,pos_xz&lt;=L_rampe),"Sortie de rampe","")</f>
        <v/>
      </c>
      <c r="Z700" s="455" t="str">
        <f aca="false">IF(ABS(t-T_para)&lt;pas/2,"Para","")</f>
        <v/>
      </c>
      <c r="AA700" s="456" t="str">
        <f aca="false">IF(ABS(t-T_satellite)&lt;pas/2,"Satellite","")</f>
        <v/>
      </c>
      <c r="AB700" s="444"/>
      <c r="AC700" s="452" t="e">
        <f aca="false">IF(ABS(t-ROUND(t,0))&lt;0.001,t,NA())</f>
        <v>#N/A</v>
      </c>
      <c r="AD700" s="457" t="e">
        <f aca="false">IF(ABS(t-ROUND(t,0))&lt;0.001,pos_x,NA())</f>
        <v>#N/A</v>
      </c>
      <c r="AE700" s="458" t="e">
        <f aca="false">IF(t&lt;T_para, pos_z, NA())</f>
        <v>#N/A</v>
      </c>
      <c r="AF700" s="444"/>
      <c r="AG700" s="450" t="n">
        <f aca="false">IF(AND(L699&lt;L_rampe,Poussee&lt;Poids*SIN(M699)),0,(-W699+Poussee)/m-Poids*SIN(M699)/m)</f>
        <v>4.58756152604431</v>
      </c>
      <c r="AH700" s="449" t="n">
        <f aca="false">IF(AND(L699&lt;L_rampe,Poussee&lt;Poids*SIN(M699)), g*SIN(M699), (-W699+Poussee)/m)</f>
        <v>-5.09508074330196</v>
      </c>
    </row>
    <row r="701" customFormat="false" ht="12" hidden="false" customHeight="false" outlineLevel="0" collapsed="false">
      <c r="A701" s="448" t="n">
        <f aca="false">IF(B700+0.01&lt;=T_ini+ROUNDUP(Temps_fin_propu,0), 0.01, IF(K700&gt;0, 0.1, 0.0001))</f>
        <v>0.1</v>
      </c>
      <c r="B701" s="449" t="n">
        <f aca="false">B700+pas</f>
        <v>33.7000000000002</v>
      </c>
      <c r="C701" s="432"/>
      <c r="D701" s="450" t="n">
        <f aca="false">IF(AND(L700&lt;L_rampe,Poussee&lt;Poids*SIN(M700)),0,(-W700+Poussee)/m*COS(M700)-U700/m*SIN(M700))</f>
        <v>-0.819044537617454</v>
      </c>
      <c r="E701" s="451" t="n">
        <f aca="false">IF(AND(L700&lt;L_rampe,Poussee&lt;Poids*SIN(M700)),0,(-W700+Poussee)/m*SIN(M700)+U700/m*COS(M700)-Poids/m)</f>
        <v>-4.73776019559284</v>
      </c>
      <c r="F701" s="449" t="n">
        <f aca="false">SQRT(acc_x^2+acc_z^2)</f>
        <v>4.8080355266517</v>
      </c>
      <c r="G701" s="450" t="n">
        <f aca="false">G700+acc_x*pas</f>
        <v>20.5556045423706</v>
      </c>
      <c r="H701" s="451" t="n">
        <f aca="false">H700+acc_z*pas</f>
        <v>-128.279273506297</v>
      </c>
      <c r="I701" s="449" t="n">
        <f aca="false">SQRT(vit_x^2+vit_z^2)</f>
        <v>129.915760742897</v>
      </c>
      <c r="J701" s="450" t="n">
        <f aca="false">J700+0.5*(vit_x+G700)*pas*(K700&gt;=0)</f>
        <v>977.659152526031</v>
      </c>
      <c r="K701" s="451" t="n">
        <f aca="false">K700+0.5*(vit_z+H700)*pas</f>
        <v>253.003157105422</v>
      </c>
      <c r="L701" s="449" t="n">
        <f aca="false">SQRT(pos_x^2+pos_z^2)</f>
        <v>1009.86534549079</v>
      </c>
      <c r="M701" s="450" t="n">
        <f aca="false">IF(AND(L700&gt;L_rampe,G701&gt;0),ATAN2(G701,H701),$M$4)</f>
        <v>-1.41190604742509</v>
      </c>
      <c r="N701" s="449" t="n">
        <f aca="false">DEGREES(Beta)</f>
        <v>-80.8962575864555</v>
      </c>
      <c r="O701" s="438"/>
      <c r="P701" s="452" t="n">
        <f aca="false">MATCH(t-pas/2-T_ini,CdP_t)</f>
        <v>23</v>
      </c>
      <c r="Q701" s="449" t="n">
        <f aca="false">(INDEX(CdP,2,i_P+1)-INDEX(CdP,2,i_P+0))/(INDEX(CdP,1,i_P+1)-INDEX(CdP,1,i_P+0))*(t-pas/2-T_ini-INDEX(CdP,1,i_P+0))+INDEX(CdP,2,i_P+0)</f>
        <v>0</v>
      </c>
      <c r="R701" s="450" t="n">
        <f aca="false">Poussee/(g*ISP)</f>
        <v>0</v>
      </c>
      <c r="S701" s="451" t="n">
        <f aca="false">S700-Débit*pas</f>
        <v>8.652</v>
      </c>
      <c r="T701" s="449" t="n">
        <f aca="false">m*g</f>
        <v>84.87612</v>
      </c>
      <c r="U701" s="453" t="n">
        <f aca="false">IF(pos_xz&lt;L_rampe,Poids*COS(Beta),0)</f>
        <v>0</v>
      </c>
      <c r="V701" s="450" t="n">
        <f aca="false">Rho_moyen*(20000-Alt_rampe-pos_z)/(20000+Alt_rampe+pos_z)</f>
        <v>1.19439428043832</v>
      </c>
      <c r="W701" s="449" t="n">
        <f aca="false">1/2*Rho*Sref*Cx*vit_xz^2</f>
        <v>44.8236928480024</v>
      </c>
      <c r="X701" s="438"/>
      <c r="Y701" s="454" t="str">
        <f aca="false">IF(AND(pos_z&lt;=0,K700&gt;0),"Impact balistique","") &amp; IF(AND(H702&lt;0,vit_z&gt;=0),"Apogée","") &amp; IF(AND(Poussee=0,Q700&gt;0),"Fin de propulsion","") &amp; IF(AND(L702&gt;L_rampe,pos_xz&lt;=L_rampe),"Sortie de rampe","")</f>
        <v/>
      </c>
      <c r="Z701" s="455" t="str">
        <f aca="false">IF(ABS(t-T_para)&lt;pas/2,"Para","")</f>
        <v/>
      </c>
      <c r="AA701" s="456" t="str">
        <f aca="false">IF(ABS(t-T_satellite)&lt;pas/2,"Satellite","")</f>
        <v/>
      </c>
      <c r="AB701" s="444"/>
      <c r="AC701" s="452" t="e">
        <f aca="false">IF(ABS(t-ROUND(t,0))&lt;0.001,t,NA())</f>
        <v>#N/A</v>
      </c>
      <c r="AD701" s="457" t="e">
        <f aca="false">IF(ABS(t-ROUND(t,0))&lt;0.001,pos_x,NA())</f>
        <v>#N/A</v>
      </c>
      <c r="AE701" s="458" t="e">
        <f aca="false">IF(t&lt;T_para, pos_z, NA())</f>
        <v>#N/A</v>
      </c>
      <c r="AF701" s="444"/>
      <c r="AG701" s="450" t="n">
        <f aca="false">IF(AND(L700&lt;L_rampe,Poussee&lt;Poids*SIN(M700)),0,(-W700+Poussee)/m-Poids*SIN(M700)/m)</f>
        <v>4.54661044170831</v>
      </c>
      <c r="AH701" s="449" t="n">
        <f aca="false">IF(AND(L700&lt;L_rampe,Poussee&lt;Poids*SIN(M700)), g*SIN(M700), (-W700+Poussee)/m)</f>
        <v>-5.13794225230426</v>
      </c>
    </row>
    <row r="702" customFormat="false" ht="12" hidden="false" customHeight="false" outlineLevel="0" collapsed="false">
      <c r="A702" s="448" t="n">
        <f aca="false">IF(B701+0.01&lt;=T_ini+ROUNDUP(Temps_fin_propu,0), 0.01, IF(K701&gt;0, 0.1, 0.0001))</f>
        <v>0.1</v>
      </c>
      <c r="B702" s="449" t="n">
        <f aca="false">B701+pas</f>
        <v>33.8000000000002</v>
      </c>
      <c r="C702" s="432"/>
      <c r="D702" s="450" t="n">
        <f aca="false">IF(AND(L701&lt;L_rampe,Poussee&lt;Poids*SIN(M701)),0,(-W701+Poussee)/m*COS(M701)-U701/m*SIN(M701))</f>
        <v>-0.819708683801797</v>
      </c>
      <c r="E702" s="451" t="n">
        <f aca="false">IF(AND(L701&lt;L_rampe,Poussee&lt;Poids*SIN(M701)),0,(-W701+Poussee)/m*SIN(M701)+U701/m*COS(M701)-Poids/m)</f>
        <v>-4.69452727195879</v>
      </c>
      <c r="F702" s="449" t="n">
        <f aca="false">SQRT(acc_x^2+acc_z^2)</f>
        <v>4.76555438888959</v>
      </c>
      <c r="G702" s="450" t="n">
        <f aca="false">G701+acc_x*pas</f>
        <v>20.4736336739904</v>
      </c>
      <c r="H702" s="451" t="n">
        <f aca="false">H701+acc_z*pas</f>
        <v>-128.748726233492</v>
      </c>
      <c r="I702" s="449" t="n">
        <f aca="false">SQRT(vit_x^2+vit_z^2)</f>
        <v>130.366422757409</v>
      </c>
      <c r="J702" s="450" t="n">
        <f aca="false">J701+0.5*(vit_x+G701)*pas*(K701&gt;=0)</f>
        <v>979.710614436849</v>
      </c>
      <c r="K702" s="451" t="n">
        <f aca="false">K701+0.5*(vit_z+H701)*pas</f>
        <v>240.151757118433</v>
      </c>
      <c r="L702" s="449" t="n">
        <f aca="false">SQRT(pos_x^2+pos_z^2)</f>
        <v>1008.71490248102</v>
      </c>
      <c r="M702" s="450" t="n">
        <f aca="false">IF(AND(L701&gt;L_rampe,G702&gt;0),ATAN2(G702,H702),$M$4)</f>
        <v>-1.41309666358961</v>
      </c>
      <c r="N702" s="449" t="n">
        <f aca="false">DEGREES(Beta)</f>
        <v>-80.9644748677028</v>
      </c>
      <c r="O702" s="438"/>
      <c r="P702" s="452" t="n">
        <f aca="false">MATCH(t-pas/2-T_ini,CdP_t)</f>
        <v>23</v>
      </c>
      <c r="Q702" s="449" t="n">
        <f aca="false">(INDEX(CdP,2,i_P+1)-INDEX(CdP,2,i_P+0))/(INDEX(CdP,1,i_P+1)-INDEX(CdP,1,i_P+0))*(t-pas/2-T_ini-INDEX(CdP,1,i_P+0))+INDEX(CdP,2,i_P+0)</f>
        <v>0</v>
      </c>
      <c r="R702" s="450" t="n">
        <f aca="false">Poussee/(g*ISP)</f>
        <v>0</v>
      </c>
      <c r="S702" s="451" t="n">
        <f aca="false">S701-Débit*pas</f>
        <v>8.652</v>
      </c>
      <c r="T702" s="449" t="n">
        <f aca="false">m*g</f>
        <v>84.87612</v>
      </c>
      <c r="U702" s="453" t="n">
        <f aca="false">IF(pos_xz&lt;L_rampe,Poids*COS(Beta),0)</f>
        <v>0</v>
      </c>
      <c r="V702" s="450" t="n">
        <f aca="false">Rho_moyen*(20000-Alt_rampe-pos_z)/(20000+Alt_rampe+pos_z)</f>
        <v>1.19593046475142</v>
      </c>
      <c r="W702" s="449" t="n">
        <f aca="false">1/2*Rho*Sref*Cx*vit_xz^2</f>
        <v>45.1932593042105</v>
      </c>
      <c r="X702" s="438"/>
      <c r="Y702" s="454" t="str">
        <f aca="false">IF(AND(pos_z&lt;=0,K701&gt;0),"Impact balistique","") &amp; IF(AND(H703&lt;0,vit_z&gt;=0),"Apogée","") &amp; IF(AND(Poussee=0,Q701&gt;0),"Fin de propulsion","") &amp; IF(AND(L703&gt;L_rampe,pos_xz&lt;=L_rampe),"Sortie de rampe","")</f>
        <v/>
      </c>
      <c r="Z702" s="455" t="str">
        <f aca="false">IF(ABS(t-T_para)&lt;pas/2,"Para","")</f>
        <v/>
      </c>
      <c r="AA702" s="456" t="str">
        <f aca="false">IF(ABS(t-T_satellite)&lt;pas/2,"Satellite","")</f>
        <v/>
      </c>
      <c r="AB702" s="444"/>
      <c r="AC702" s="452" t="e">
        <f aca="false">IF(ABS(t-ROUND(t,0))&lt;0.001,t,NA())</f>
        <v>#N/A</v>
      </c>
      <c r="AD702" s="457" t="e">
        <f aca="false">IF(ABS(t-ROUND(t,0))&lt;0.001,pos_x,NA())</f>
        <v>#N/A</v>
      </c>
      <c r="AE702" s="458" t="e">
        <f aca="false">IF(t&lt;T_para, pos_z, NA())</f>
        <v>#N/A</v>
      </c>
      <c r="AF702" s="444"/>
      <c r="AG702" s="450" t="n">
        <f aca="false">IF(AND(L701&lt;L_rampe,Poussee&lt;Poids*SIN(M701)),0,(-W701+Poussee)/m-Poids*SIN(M701)/m)</f>
        <v>4.50569612963759</v>
      </c>
      <c r="AH702" s="449" t="n">
        <f aca="false">IF(AND(L701&lt;L_rampe,Poussee&lt;Poids*SIN(M701)), g*SIN(M701), (-W701+Poussee)/m)</f>
        <v>-5.18073195191891</v>
      </c>
    </row>
    <row r="703" customFormat="false" ht="12" hidden="false" customHeight="false" outlineLevel="0" collapsed="false">
      <c r="A703" s="448" t="n">
        <f aca="false">IF(B702+0.01&lt;=T_ini+ROUNDUP(Temps_fin_propu,0), 0.01, IF(K702&gt;0, 0.1, 0.0001))</f>
        <v>0.1</v>
      </c>
      <c r="B703" s="449" t="n">
        <f aca="false">B702+pas</f>
        <v>33.9000000000002</v>
      </c>
      <c r="C703" s="432"/>
      <c r="D703" s="450" t="n">
        <f aca="false">IF(AND(L702&lt;L_rampe,Poussee&lt;Poids*SIN(M702)),0,(-W702+Poussee)/m*COS(M702)-U702/m*SIN(M702))</f>
        <v>-0.820325727555858</v>
      </c>
      <c r="E703" s="451" t="n">
        <f aca="false">IF(AND(L702&lt;L_rampe,Poussee&lt;Poids*SIN(M702)),0,(-W702+Poussee)/m*SIN(M702)+U702/m*COS(M702)-Poids/m)</f>
        <v>-4.65137040834362</v>
      </c>
      <c r="F703" s="449" t="n">
        <f aca="false">SQRT(acc_x^2+acc_z^2)</f>
        <v>4.72315371070059</v>
      </c>
      <c r="G703" s="450" t="n">
        <f aca="false">G702+acc_x*pas</f>
        <v>20.3916011012348</v>
      </c>
      <c r="H703" s="451" t="n">
        <f aca="false">H702+acc_z*pas</f>
        <v>-129.213863274327</v>
      </c>
      <c r="I703" s="449" t="n">
        <f aca="false">SQRT(vit_x^2+vit_z^2)</f>
        <v>130.812995752518</v>
      </c>
      <c r="J703" s="450" t="n">
        <f aca="false">J702+0.5*(vit_x+G702)*pas*(K702&gt;=0)</f>
        <v>981.75387617561</v>
      </c>
      <c r="K703" s="451" t="n">
        <f aca="false">K702+0.5*(vit_z+H702)*pas</f>
        <v>227.253627643042</v>
      </c>
      <c r="L703" s="449" t="n">
        <f aca="false">SQRT(pos_x^2+pos_z^2)</f>
        <v>1007.71269946486</v>
      </c>
      <c r="M703" s="450" t="n">
        <f aca="false">IF(AND(L702&gt;L_rampe,G703&gt;0),ATAN2(G703,H703),$M$4)</f>
        <v>-1.41427439808592</v>
      </c>
      <c r="N703" s="449" t="n">
        <f aca="false">DEGREES(Beta)</f>
        <v>-81.0319540837282</v>
      </c>
      <c r="O703" s="438"/>
      <c r="P703" s="452" t="n">
        <f aca="false">MATCH(t-pas/2-T_ini,CdP_t)</f>
        <v>23</v>
      </c>
      <c r="Q703" s="449" t="n">
        <f aca="false">(INDEX(CdP,2,i_P+1)-INDEX(CdP,2,i_P+0))/(INDEX(CdP,1,i_P+1)-INDEX(CdP,1,i_P+0))*(t-pas/2-T_ini-INDEX(CdP,1,i_P+0))+INDEX(CdP,2,i_P+0)</f>
        <v>0</v>
      </c>
      <c r="R703" s="450" t="n">
        <f aca="false">Poussee/(g*ISP)</f>
        <v>0</v>
      </c>
      <c r="S703" s="451" t="n">
        <f aca="false">S702-Débit*pas</f>
        <v>8.652</v>
      </c>
      <c r="T703" s="449" t="n">
        <f aca="false">m*g</f>
        <v>84.87612</v>
      </c>
      <c r="U703" s="453" t="n">
        <f aca="false">IF(pos_xz&lt;L_rampe,Poids*COS(Beta),0)</f>
        <v>0</v>
      </c>
      <c r="V703" s="450" t="n">
        <f aca="false">Rho_moyen*(20000-Alt_rampe-pos_z)/(20000+Alt_rampe+pos_z)</f>
        <v>1.1974741975369</v>
      </c>
      <c r="W703" s="449" t="n">
        <f aca="false">1/2*Rho*Sref*Cx*vit_xz^2</f>
        <v>45.5621473631594</v>
      </c>
      <c r="X703" s="438"/>
      <c r="Y703" s="454" t="str">
        <f aca="false">IF(AND(pos_z&lt;=0,K702&gt;0),"Impact balistique","") &amp; IF(AND(H704&lt;0,vit_z&gt;=0),"Apogée","") &amp; IF(AND(Poussee=0,Q702&gt;0),"Fin de propulsion","") &amp; IF(AND(L704&gt;L_rampe,pos_xz&lt;=L_rampe),"Sortie de rampe","")</f>
        <v/>
      </c>
      <c r="Z703" s="455" t="str">
        <f aca="false">IF(ABS(t-T_para)&lt;pas/2,"Para","")</f>
        <v/>
      </c>
      <c r="AA703" s="456" t="str">
        <f aca="false">IF(ABS(t-T_satellite)&lt;pas/2,"Satellite","")</f>
        <v/>
      </c>
      <c r="AB703" s="444"/>
      <c r="AC703" s="452" t="e">
        <f aca="false">IF(ABS(t-ROUND(t,0))&lt;0.001,t,NA())</f>
        <v>#N/A</v>
      </c>
      <c r="AD703" s="457" t="e">
        <f aca="false">IF(ABS(t-ROUND(t,0))&lt;0.001,pos_x,NA())</f>
        <v>#N/A</v>
      </c>
      <c r="AE703" s="458" t="e">
        <f aca="false">IF(t&lt;T_para, pos_z, NA())</f>
        <v>#N/A</v>
      </c>
      <c r="AF703" s="444"/>
      <c r="AG703" s="450" t="n">
        <f aca="false">IF(AND(L702&lt;L_rampe,Poussee&lt;Poids*SIN(M702)),0,(-W702+Poussee)/m-Poids*SIN(M702)/m)</f>
        <v>4.46482272477628</v>
      </c>
      <c r="AH703" s="449" t="n">
        <f aca="false">IF(AND(L702&lt;L_rampe,Poussee&lt;Poids*SIN(M702)), g*SIN(M702), (-W702+Poussee)/m)</f>
        <v>-5.22344652152225</v>
      </c>
    </row>
    <row r="704" customFormat="false" ht="12" hidden="false" customHeight="false" outlineLevel="0" collapsed="false">
      <c r="A704" s="448" t="n">
        <f aca="false">IF(B703+0.01&lt;=T_ini+ROUNDUP(Temps_fin_propu,0), 0.01, IF(K703&gt;0, 0.1, 0.0001))</f>
        <v>0.1</v>
      </c>
      <c r="B704" s="449" t="n">
        <f aca="false">B703+pas</f>
        <v>34.0000000000002</v>
      </c>
      <c r="C704" s="432"/>
      <c r="D704" s="450" t="n">
        <f aca="false">IF(AND(L703&lt;L_rampe,Poussee&lt;Poids*SIN(M703)),0,(-W703+Poussee)/m*COS(M703)-U703/m*SIN(M703))</f>
        <v>-0.820895942304355</v>
      </c>
      <c r="E704" s="451" t="n">
        <f aca="false">IF(AND(L703&lt;L_rampe,Poussee&lt;Poids*SIN(M703)),0,(-W703+Poussee)/m*SIN(M703)+U703/m*COS(M703)-Poids/m)</f>
        <v>-4.60829290869459</v>
      </c>
      <c r="F704" s="449" t="n">
        <f aca="false">SQRT(acc_x^2+acc_z^2)</f>
        <v>4.68083685684693</v>
      </c>
      <c r="G704" s="450" t="n">
        <f aca="false">G703+acc_x*pas</f>
        <v>20.3095115070044</v>
      </c>
      <c r="H704" s="451" t="n">
        <f aca="false">H703+acc_z*pas</f>
        <v>-129.674692565196</v>
      </c>
      <c r="I704" s="449" t="n">
        <f aca="false">SQRT(vit_x^2+vit_z^2)</f>
        <v>131.255484264587</v>
      </c>
      <c r="J704" s="450" t="n">
        <f aca="false">J703+0.5*(vit_x+G703)*pas*(K703&gt;=0)</f>
        <v>983.788931806022</v>
      </c>
      <c r="K704" s="451" t="n">
        <f aca="false">K703+0.5*(vit_z+H703)*pas</f>
        <v>214.309199851066</v>
      </c>
      <c r="L704" s="449" t="n">
        <f aca="false">SQRT(pos_x^2+pos_z^2)</f>
        <v>1006.8610110064</v>
      </c>
      <c r="M704" s="450" t="n">
        <f aca="false">IF(AND(L703&gt;L_rampe,G704&gt;0),ATAN2(G704,H704),$M$4)</f>
        <v>-1.41543946825443</v>
      </c>
      <c r="N704" s="449" t="n">
        <f aca="false">DEGREES(Beta)</f>
        <v>-81.0987076872202</v>
      </c>
      <c r="O704" s="438"/>
      <c r="P704" s="452" t="n">
        <f aca="false">MATCH(t-pas/2-T_ini,CdP_t)</f>
        <v>23</v>
      </c>
      <c r="Q704" s="449" t="n">
        <f aca="false">(INDEX(CdP,2,i_P+1)-INDEX(CdP,2,i_P+0))/(INDEX(CdP,1,i_P+1)-INDEX(CdP,1,i_P+0))*(t-pas/2-T_ini-INDEX(CdP,1,i_P+0))+INDEX(CdP,2,i_P+0)</f>
        <v>0</v>
      </c>
      <c r="R704" s="450" t="n">
        <f aca="false">Poussee/(g*ISP)</f>
        <v>0</v>
      </c>
      <c r="S704" s="451" t="n">
        <f aca="false">S703-Débit*pas</f>
        <v>8.652</v>
      </c>
      <c r="T704" s="449" t="n">
        <f aca="false">m*g</f>
        <v>84.87612</v>
      </c>
      <c r="U704" s="453" t="n">
        <f aca="false">IF(pos_xz&lt;L_rampe,Poids*COS(Beta),0)</f>
        <v>0</v>
      </c>
      <c r="V704" s="450" t="n">
        <f aca="false">Rho_moyen*(20000-Alt_rampe-pos_z)/(20000+Alt_rampe+pos_z)</f>
        <v>1.19902545224553</v>
      </c>
      <c r="W704" s="449" t="n">
        <f aca="false">1/2*Rho*Sref*Cx*vit_xz^2</f>
        <v>45.9303290122071</v>
      </c>
      <c r="X704" s="438"/>
      <c r="Y704" s="454" t="str">
        <f aca="false">IF(AND(pos_z&lt;=0,K703&gt;0),"Impact balistique","") &amp; IF(AND(H705&lt;0,vit_z&gt;=0),"Apogée","") &amp; IF(AND(Poussee=0,Q703&gt;0),"Fin de propulsion","") &amp; IF(AND(L705&gt;L_rampe,pos_xz&lt;=L_rampe),"Sortie de rampe","")</f>
        <v/>
      </c>
      <c r="Z704" s="455" t="str">
        <f aca="false">IF(ABS(t-T_para)&lt;pas/2,"Para","")</f>
        <v/>
      </c>
      <c r="AA704" s="456" t="str">
        <f aca="false">IF(ABS(t-T_satellite)&lt;pas/2,"Satellite","")</f>
        <v/>
      </c>
      <c r="AB704" s="444"/>
      <c r="AC704" s="452" t="n">
        <f aca="false">IF(ABS(t-ROUND(t,0))&lt;0.001,t,NA())</f>
        <v>34.0000000000002</v>
      </c>
      <c r="AD704" s="457" t="n">
        <f aca="false">IF(ABS(t-ROUND(t,0))&lt;0.001,pos_x,NA())</f>
        <v>983.788931806022</v>
      </c>
      <c r="AE704" s="458" t="e">
        <f aca="false">IF(t&lt;T_para, pos_z, NA())</f>
        <v>#N/A</v>
      </c>
      <c r="AF704" s="444"/>
      <c r="AG704" s="450" t="n">
        <f aca="false">IF(AND(L703&lt;L_rampe,Poussee&lt;Poids*SIN(M703)),0,(-W703+Poussee)/m-Poids*SIN(M703)/m)</f>
        <v>4.42399429736996</v>
      </c>
      <c r="AH704" s="449" t="n">
        <f aca="false">IF(AND(L703&lt;L_rampe,Poussee&lt;Poids*SIN(M703)), g*SIN(M703), (-W703+Poussee)/m)</f>
        <v>-5.2660826818261</v>
      </c>
    </row>
    <row r="705" customFormat="false" ht="12" hidden="false" customHeight="false" outlineLevel="0" collapsed="false">
      <c r="A705" s="448" t="n">
        <f aca="false">IF(B704+0.01&lt;=T_ini+ROUNDUP(Temps_fin_propu,0), 0.01, IF(K704&gt;0, 0.1, 0.0001))</f>
        <v>0.1</v>
      </c>
      <c r="B705" s="449" t="n">
        <f aca="false">B704+pas</f>
        <v>34.1000000000002</v>
      </c>
      <c r="C705" s="432"/>
      <c r="D705" s="450" t="n">
        <f aca="false">IF(AND(L704&lt;L_rampe,Poussee&lt;Poids*SIN(M704)),0,(-W704+Poussee)/m*COS(M704)-U704/m*SIN(M704))</f>
        <v>-0.821419606235514</v>
      </c>
      <c r="E705" s="451" t="n">
        <f aca="false">IF(AND(L704&lt;L_rampe,Poussee&lt;Poids*SIN(M704)),0,(-W704+Poussee)/m*SIN(M704)+U704/m*COS(M704)-Poids/m)</f>
        <v>-4.5652980351655</v>
      </c>
      <c r="F705" s="449" t="n">
        <f aca="false">SQRT(acc_x^2+acc_z^2)</f>
        <v>4.63860715294948</v>
      </c>
      <c r="G705" s="450" t="n">
        <f aca="false">G704+acc_x*pas</f>
        <v>20.2273695463809</v>
      </c>
      <c r="H705" s="451" t="n">
        <f aca="false">H704+acc_z*pas</f>
        <v>-130.131222368713</v>
      </c>
      <c r="I705" s="449" t="n">
        <f aca="false">SQRT(vit_x^2+vit_z^2)</f>
        <v>131.693893229493</v>
      </c>
      <c r="J705" s="450" t="n">
        <f aca="false">J704+0.5*(vit_x+G704)*pas*(K704&gt;=0)</f>
        <v>985.815775858691</v>
      </c>
      <c r="K705" s="451" t="n">
        <f aca="false">K704+0.5*(vit_z+H704)*pas</f>
        <v>201.31890410437</v>
      </c>
      <c r="L705" s="449" t="n">
        <f aca="false">SQRT(pos_x^2+pos_z^2)</f>
        <v>1006.16203718967</v>
      </c>
      <c r="M705" s="450" t="n">
        <f aca="false">IF(AND(L704&gt;L_rampe,G705&gt;0),ATAN2(G705,H705),$M$4)</f>
        <v>-1.41659208648879</v>
      </c>
      <c r="N705" s="449" t="n">
        <f aca="false">DEGREES(Beta)</f>
        <v>-81.1647478474389</v>
      </c>
      <c r="O705" s="438"/>
      <c r="P705" s="452" t="n">
        <f aca="false">MATCH(t-pas/2-T_ini,CdP_t)</f>
        <v>23</v>
      </c>
      <c r="Q705" s="449" t="n">
        <f aca="false">(INDEX(CdP,2,i_P+1)-INDEX(CdP,2,i_P+0))/(INDEX(CdP,1,i_P+1)-INDEX(CdP,1,i_P+0))*(t-pas/2-T_ini-INDEX(CdP,1,i_P+0))+INDEX(CdP,2,i_P+0)</f>
        <v>0</v>
      </c>
      <c r="R705" s="450" t="n">
        <f aca="false">Poussee/(g*ISP)</f>
        <v>0</v>
      </c>
      <c r="S705" s="451" t="n">
        <f aca="false">S704-Débit*pas</f>
        <v>8.652</v>
      </c>
      <c r="T705" s="449" t="n">
        <f aca="false">m*g</f>
        <v>84.87612</v>
      </c>
      <c r="U705" s="453" t="n">
        <f aca="false">IF(pos_xz&lt;L_rampe,Poids*COS(Beta),0)</f>
        <v>0</v>
      </c>
      <c r="V705" s="450" t="n">
        <f aca="false">Rho_moyen*(20000-Alt_rampe-pos_z)/(20000+Alt_rampe+pos_z)</f>
        <v>1.20058420232872</v>
      </c>
      <c r="W705" s="449" t="n">
        <f aca="false">1/2*Rho*Sref*Cx*vit_xz^2</f>
        <v>46.2977766004753</v>
      </c>
      <c r="X705" s="438"/>
      <c r="Y705" s="454" t="str">
        <f aca="false">IF(AND(pos_z&lt;=0,K704&gt;0),"Impact balistique","") &amp; IF(AND(H706&lt;0,vit_z&gt;=0),"Apogée","") &amp; IF(AND(Poussee=0,Q704&gt;0),"Fin de propulsion","") &amp; IF(AND(L706&gt;L_rampe,pos_xz&lt;=L_rampe),"Sortie de rampe","")</f>
        <v/>
      </c>
      <c r="Z705" s="455" t="str">
        <f aca="false">IF(ABS(t-T_para)&lt;pas/2,"Para","")</f>
        <v/>
      </c>
      <c r="AA705" s="456" t="str">
        <f aca="false">IF(ABS(t-T_satellite)&lt;pas/2,"Satellite","")</f>
        <v/>
      </c>
      <c r="AB705" s="444"/>
      <c r="AC705" s="452" t="e">
        <f aca="false">IF(ABS(t-ROUND(t,0))&lt;0.001,t,NA())</f>
        <v>#N/A</v>
      </c>
      <c r="AD705" s="457" t="e">
        <f aca="false">IF(ABS(t-ROUND(t,0))&lt;0.001,pos_x,NA())</f>
        <v>#N/A</v>
      </c>
      <c r="AE705" s="458" t="e">
        <f aca="false">IF(t&lt;T_para, pos_z, NA())</f>
        <v>#N/A</v>
      </c>
      <c r="AF705" s="444"/>
      <c r="AG705" s="450" t="n">
        <f aca="false">IF(AND(L704&lt;L_rampe,Poussee&lt;Poids*SIN(M704)),0,(-W704+Poussee)/m-Poids*SIN(M704)/m)</f>
        <v>4.38321485351362</v>
      </c>
      <c r="AH705" s="449" t="n">
        <f aca="false">IF(AND(L704&lt;L_rampe,Poussee&lt;Poids*SIN(M704)), g*SIN(M704), (-W704+Poussee)/m)</f>
        <v>-5.30863719512333</v>
      </c>
    </row>
    <row r="706" customFormat="false" ht="12" hidden="false" customHeight="false" outlineLevel="0" collapsed="false">
      <c r="A706" s="448" t="n">
        <f aca="false">IF(B705+0.01&lt;=T_ini+ROUNDUP(Temps_fin_propu,0), 0.01, IF(K705&gt;0, 0.1, 0.0001))</f>
        <v>0.1</v>
      </c>
      <c r="B706" s="449" t="n">
        <f aca="false">B705+pas</f>
        <v>34.2000000000002</v>
      </c>
      <c r="C706" s="432"/>
      <c r="D706" s="450" t="n">
        <f aca="false">IF(AND(L705&lt;L_rampe,Poussee&lt;Poids*SIN(M705)),0,(-W705+Poussee)/m*COS(M705)-U705/m*SIN(M705))</f>
        <v>-0.821897002182327</v>
      </c>
      <c r="E706" s="451" t="n">
        <f aca="false">IF(AND(L705&lt;L_rampe,Poussee&lt;Poids*SIN(M705)),0,(-W705+Poussee)/m*SIN(M705)+U705/m*COS(M705)-Poids/m)</f>
        <v>-4.52238900787753</v>
      </c>
      <c r="F706" s="449" t="n">
        <f aca="false">SQRT(acc_x^2+acc_z^2)</f>
        <v>4.59646788531888</v>
      </c>
      <c r="G706" s="450" t="n">
        <f aca="false">G705+acc_x*pas</f>
        <v>20.1451798461626</v>
      </c>
      <c r="H706" s="451" t="n">
        <f aca="false">H705+acc_z*pas</f>
        <v>-130.583461269501</v>
      </c>
      <c r="I706" s="449" t="n">
        <f aca="false">SQRT(vit_x^2+vit_z^2)</f>
        <v>132.128227976301</v>
      </c>
      <c r="J706" s="450" t="n">
        <f aca="false">J705+0.5*(vit_x+G705)*pas*(K705&gt;=0)</f>
        <v>987.834403328318</v>
      </c>
      <c r="K706" s="451" t="n">
        <f aca="false">K705+0.5*(vit_z+H705)*pas</f>
        <v>188.28316992246</v>
      </c>
      <c r="L706" s="449" t="n">
        <f aca="false">SQRT(pos_x^2+pos_z^2)</f>
        <v>1005.61789983824</v>
      </c>
      <c r="M706" s="450" t="n">
        <f aca="false">IF(AND(L705&gt;L_rampe,G706&gt;0),ATAN2(G706,H706),$M$4)</f>
        <v>-1.41773246037348</v>
      </c>
      <c r="N706" s="449" t="n">
        <f aca="false">DEGREES(Beta)</f>
        <v>-81.2300864580989</v>
      </c>
      <c r="O706" s="438"/>
      <c r="P706" s="452" t="n">
        <f aca="false">MATCH(t-pas/2-T_ini,CdP_t)</f>
        <v>23</v>
      </c>
      <c r="Q706" s="449" t="n">
        <f aca="false">(INDEX(CdP,2,i_P+1)-INDEX(CdP,2,i_P+0))/(INDEX(CdP,1,i_P+1)-INDEX(CdP,1,i_P+0))*(t-pas/2-T_ini-INDEX(CdP,1,i_P+0))+INDEX(CdP,2,i_P+0)</f>
        <v>0</v>
      </c>
      <c r="R706" s="450" t="n">
        <f aca="false">Poussee/(g*ISP)</f>
        <v>0</v>
      </c>
      <c r="S706" s="451" t="n">
        <f aca="false">S705-Débit*pas</f>
        <v>8.652</v>
      </c>
      <c r="T706" s="449" t="n">
        <f aca="false">m*g</f>
        <v>84.87612</v>
      </c>
      <c r="U706" s="453" t="n">
        <f aca="false">IF(pos_xz&lt;L_rampe,Poids*COS(Beta),0)</f>
        <v>0</v>
      </c>
      <c r="V706" s="450" t="n">
        <f aca="false">Rho_moyen*(20000-Alt_rampe-pos_z)/(20000+Alt_rampe+pos_z)</f>
        <v>1.20215042124051</v>
      </c>
      <c r="W706" s="449" t="n">
        <f aca="false">1/2*Rho*Sref*Cx*vit_xz^2</f>
        <v>46.664462840735</v>
      </c>
      <c r="X706" s="438"/>
      <c r="Y706" s="454" t="str">
        <f aca="false">IF(AND(pos_z&lt;=0,K705&gt;0),"Impact balistique","") &amp; IF(AND(H707&lt;0,vit_z&gt;=0),"Apogée","") &amp; IF(AND(Poussee=0,Q705&gt;0),"Fin de propulsion","") &amp; IF(AND(L707&gt;L_rampe,pos_xz&lt;=L_rampe),"Sortie de rampe","")</f>
        <v/>
      </c>
      <c r="Z706" s="455" t="str">
        <f aca="false">IF(ABS(t-T_para)&lt;pas/2,"Para","")</f>
        <v/>
      </c>
      <c r="AA706" s="456" t="str">
        <f aca="false">IF(ABS(t-T_satellite)&lt;pas/2,"Satellite","")</f>
        <v/>
      </c>
      <c r="AB706" s="444"/>
      <c r="AC706" s="452" t="e">
        <f aca="false">IF(ABS(t-ROUND(t,0))&lt;0.001,t,NA())</f>
        <v>#N/A</v>
      </c>
      <c r="AD706" s="457" t="e">
        <f aca="false">IF(ABS(t-ROUND(t,0))&lt;0.001,pos_x,NA())</f>
        <v>#N/A</v>
      </c>
      <c r="AE706" s="458" t="e">
        <f aca="false">IF(t&lt;T_para, pos_z, NA())</f>
        <v>#N/A</v>
      </c>
      <c r="AF706" s="444"/>
      <c r="AG706" s="450" t="n">
        <f aca="false">IF(AND(L705&lt;L_rampe,Poussee&lt;Poids*SIN(M705)),0,(-W705+Poussee)/m-Poids*SIN(M705)/m)</f>
        <v>4.34248833568278</v>
      </c>
      <c r="AH706" s="449" t="n">
        <f aca="false">IF(AND(L705&lt;L_rampe,Poussee&lt;Poids*SIN(M705)), g*SIN(M705), (-W705+Poussee)/m)</f>
        <v>-5.35110686551957</v>
      </c>
    </row>
    <row r="707" customFormat="false" ht="12" hidden="false" customHeight="false" outlineLevel="0" collapsed="false">
      <c r="A707" s="448" t="n">
        <f aca="false">IF(B706+0.01&lt;=T_ini+ROUNDUP(Temps_fin_propu,0), 0.01, IF(K706&gt;0, 0.1, 0.0001))</f>
        <v>0.1</v>
      </c>
      <c r="B707" s="449" t="n">
        <f aca="false">B706+pas</f>
        <v>34.3000000000002</v>
      </c>
      <c r="C707" s="432"/>
      <c r="D707" s="450" t="n">
        <f aca="false">IF(AND(L706&lt;L_rampe,Poussee&lt;Poids*SIN(M706)),0,(-W706+Poussee)/m*COS(M706)-U706/m*SIN(M706))</f>
        <v>-0.822328417504423</v>
      </c>
      <c r="E707" s="451" t="n">
        <f aca="false">IF(AND(L706&lt;L_rampe,Poussee&lt;Poids*SIN(M706)),0,(-W706+Poussee)/m*SIN(M706)+U706/m*COS(M706)-Poids/m)</f>
        <v>-4.47956900469403</v>
      </c>
      <c r="F707" s="449" t="n">
        <f aca="false">SQRT(acc_x^2+acc_z^2)</f>
        <v>4.5544223008029</v>
      </c>
      <c r="G707" s="450" t="n">
        <f aca="false">G706+acc_x*pas</f>
        <v>20.0629470044122</v>
      </c>
      <c r="H707" s="451" t="n">
        <f aca="false">H706+acc_z*pas</f>
        <v>-131.03141816997</v>
      </c>
      <c r="I707" s="449" t="n">
        <f aca="false">SQRT(vit_x^2+vit_z^2)</f>
        <v>132.558494220987</v>
      </c>
      <c r="J707" s="450" t="n">
        <f aca="false">J706+0.5*(vit_x+G706)*pas*(K706&gt;=0)</f>
        <v>989.844809670847</v>
      </c>
      <c r="K707" s="451" t="n">
        <f aca="false">K706+0.5*(vit_z+H706)*pas</f>
        <v>175.202425950486</v>
      </c>
      <c r="L707" s="449" t="n">
        <f aca="false">SQRT(pos_x^2+pos_z^2)</f>
        <v>1005.23063885421</v>
      </c>
      <c r="M707" s="450" t="n">
        <f aca="false">IF(AND(L706&gt;L_rampe,G707&gt;0),ATAN2(G707,H707),$M$4)</f>
        <v>-1.4188607928169</v>
      </c>
      <c r="N707" s="449" t="n">
        <f aca="false">DEGREES(Beta)</f>
        <v>-81.294735144994</v>
      </c>
      <c r="O707" s="438"/>
      <c r="P707" s="452" t="n">
        <f aca="false">MATCH(t-pas/2-T_ini,CdP_t)</f>
        <v>23</v>
      </c>
      <c r="Q707" s="449" t="n">
        <f aca="false">(INDEX(CdP,2,i_P+1)-INDEX(CdP,2,i_P+0))/(INDEX(CdP,1,i_P+1)-INDEX(CdP,1,i_P+0))*(t-pas/2-T_ini-INDEX(CdP,1,i_P+0))+INDEX(CdP,2,i_P+0)</f>
        <v>0</v>
      </c>
      <c r="R707" s="450" t="n">
        <f aca="false">Poussee/(g*ISP)</f>
        <v>0</v>
      </c>
      <c r="S707" s="451" t="n">
        <f aca="false">S706-Débit*pas</f>
        <v>8.652</v>
      </c>
      <c r="T707" s="449" t="n">
        <f aca="false">m*g</f>
        <v>84.87612</v>
      </c>
      <c r="U707" s="453" t="n">
        <f aca="false">IF(pos_xz&lt;L_rampe,Poids*COS(Beta),0)</f>
        <v>0</v>
      </c>
      <c r="V707" s="450" t="n">
        <f aca="false">Rho_moyen*(20000-Alt_rampe-pos_z)/(20000+Alt_rampe+pos_z)</f>
        <v>1.20372408243961</v>
      </c>
      <c r="W707" s="449" t="n">
        <f aca="false">1/2*Rho*Sref*Cx*vit_xz^2</f>
        <v>47.0303608111727</v>
      </c>
      <c r="X707" s="438"/>
      <c r="Y707" s="454" t="str">
        <f aca="false">IF(AND(pos_z&lt;=0,K706&gt;0),"Impact balistique","") &amp; IF(AND(H708&lt;0,vit_z&gt;=0),"Apogée","") &amp; IF(AND(Poussee=0,Q706&gt;0),"Fin de propulsion","") &amp; IF(AND(L708&gt;L_rampe,pos_xz&lt;=L_rampe),"Sortie de rampe","")</f>
        <v/>
      </c>
      <c r="Z707" s="455" t="str">
        <f aca="false">IF(ABS(t-T_para)&lt;pas/2,"Para","")</f>
        <v/>
      </c>
      <c r="AA707" s="456" t="str">
        <f aca="false">IF(ABS(t-T_satellite)&lt;pas/2,"Satellite","")</f>
        <v/>
      </c>
      <c r="AB707" s="444"/>
      <c r="AC707" s="452" t="e">
        <f aca="false">IF(ABS(t-ROUND(t,0))&lt;0.001,t,NA())</f>
        <v>#N/A</v>
      </c>
      <c r="AD707" s="457" t="e">
        <f aca="false">IF(ABS(t-ROUND(t,0))&lt;0.001,pos_x,NA())</f>
        <v>#N/A</v>
      </c>
      <c r="AE707" s="458" t="e">
        <f aca="false">IF(t&lt;T_para, pos_z, NA())</f>
        <v>#N/A</v>
      </c>
      <c r="AF707" s="444"/>
      <c r="AG707" s="450" t="n">
        <f aca="false">IF(AND(L706&lt;L_rampe,Poussee&lt;Poids*SIN(M706)),0,(-W706+Poussee)/m-Poids*SIN(M706)/m)</f>
        <v>4.30181862324854</v>
      </c>
      <c r="AH707" s="449" t="n">
        <f aca="false">IF(AND(L706&lt;L_rampe,Poussee&lt;Poids*SIN(M706)), g*SIN(M706), (-W706+Poussee)/m)</f>
        <v>-5.39348853915107</v>
      </c>
    </row>
    <row r="708" customFormat="false" ht="12" hidden="false" customHeight="false" outlineLevel="0" collapsed="false">
      <c r="A708" s="448" t="n">
        <f aca="false">IF(B707+0.01&lt;=T_ini+ROUNDUP(Temps_fin_propu,0), 0.01, IF(K707&gt;0, 0.1, 0.0001))</f>
        <v>0.1</v>
      </c>
      <c r="B708" s="449" t="n">
        <f aca="false">B707+pas</f>
        <v>34.4000000000002</v>
      </c>
      <c r="C708" s="432"/>
      <c r="D708" s="450" t="n">
        <f aca="false">IF(AND(L707&lt;L_rampe,Poussee&lt;Poids*SIN(M707)),0,(-W707+Poussee)/m*COS(M707)-U707/m*SIN(M707))</f>
        <v>-0.82271414397056</v>
      </c>
      <c r="E708" s="451" t="n">
        <f aca="false">IF(AND(L707&lt;L_rampe,Poussee&lt;Poids*SIN(M707)),0,(-W707+Poussee)/m*SIN(M707)+U707/m*COS(M707)-Poids/m)</f>
        <v>-4.4368411610095</v>
      </c>
      <c r="F708" s="449" t="n">
        <f aca="false">SQRT(acc_x^2+acc_z^2)</f>
        <v>4.5124736066505</v>
      </c>
      <c r="G708" s="450" t="n">
        <f aca="false">G707+acc_x*pas</f>
        <v>19.9806755900151</v>
      </c>
      <c r="H708" s="451" t="n">
        <f aca="false">H707+acc_z*pas</f>
        <v>-131.475102286071</v>
      </c>
      <c r="I708" s="449" t="n">
        <f aca="false">SQRT(vit_x^2+vit_z^2)</f>
        <v>132.984698060214</v>
      </c>
      <c r="J708" s="450" t="n">
        <f aca="false">J707+0.5*(vit_x+G707)*pas*(K707&gt;=0)</f>
        <v>991.846990800569</v>
      </c>
      <c r="K708" s="451" t="n">
        <f aca="false">K707+0.5*(vit_z+H707)*pas</f>
        <v>162.077099927684</v>
      </c>
      <c r="L708" s="449" t="n">
        <f aca="false">SQRT(pos_x^2+pos_z^2)</f>
        <v>1005.00220869464</v>
      </c>
      <c r="M708" s="450" t="n">
        <f aca="false">IF(AND(L707&gt;L_rampe,G708&gt;0),ATAN2(G708,H708),$M$4)</f>
        <v>-1.41997728218006</v>
      </c>
      <c r="N708" s="449" t="n">
        <f aca="false">DEGREES(Beta)</f>
        <v>-81.3587052733747</v>
      </c>
      <c r="O708" s="438"/>
      <c r="P708" s="452" t="n">
        <f aca="false">MATCH(t-pas/2-T_ini,CdP_t)</f>
        <v>23</v>
      </c>
      <c r="Q708" s="449" t="n">
        <f aca="false">(INDEX(CdP,2,i_P+1)-INDEX(CdP,2,i_P+0))/(INDEX(CdP,1,i_P+1)-INDEX(CdP,1,i_P+0))*(t-pas/2-T_ini-INDEX(CdP,1,i_P+0))+INDEX(CdP,2,i_P+0)</f>
        <v>0</v>
      </c>
      <c r="R708" s="450" t="n">
        <f aca="false">Poussee/(g*ISP)</f>
        <v>0</v>
      </c>
      <c r="S708" s="451" t="n">
        <f aca="false">S707-Débit*pas</f>
        <v>8.652</v>
      </c>
      <c r="T708" s="449" t="n">
        <f aca="false">m*g</f>
        <v>84.87612</v>
      </c>
      <c r="U708" s="453" t="n">
        <f aca="false">IF(pos_xz&lt;L_rampe,Poids*COS(Beta),0)</f>
        <v>0</v>
      </c>
      <c r="V708" s="450" t="n">
        <f aca="false">Rho_moyen*(20000-Alt_rampe-pos_z)/(20000+Alt_rampe+pos_z)</f>
        <v>1.20530515939133</v>
      </c>
      <c r="W708" s="449" t="n">
        <f aca="false">1/2*Rho*Sref*Cx*vit_xz^2</f>
        <v>47.3954439570392</v>
      </c>
      <c r="X708" s="438"/>
      <c r="Y708" s="454" t="str">
        <f aca="false">IF(AND(pos_z&lt;=0,K707&gt;0),"Impact balistique","") &amp; IF(AND(H709&lt;0,vit_z&gt;=0),"Apogée","") &amp; IF(AND(Poussee=0,Q707&gt;0),"Fin de propulsion","") &amp; IF(AND(L709&gt;L_rampe,pos_xz&lt;=L_rampe),"Sortie de rampe","")</f>
        <v/>
      </c>
      <c r="Z708" s="455" t="str">
        <f aca="false">IF(ABS(t-T_para)&lt;pas/2,"Para","")</f>
        <v/>
      </c>
      <c r="AA708" s="456" t="str">
        <f aca="false">IF(ABS(t-T_satellite)&lt;pas/2,"Satellite","")</f>
        <v/>
      </c>
      <c r="AB708" s="444"/>
      <c r="AC708" s="452" t="e">
        <f aca="false">IF(ABS(t-ROUND(t,0))&lt;0.001,t,NA())</f>
        <v>#N/A</v>
      </c>
      <c r="AD708" s="457" t="e">
        <f aca="false">IF(ABS(t-ROUND(t,0))&lt;0.001,pos_x,NA())</f>
        <v>#N/A</v>
      </c>
      <c r="AE708" s="458" t="e">
        <f aca="false">IF(t&lt;T_para, pos_z, NA())</f>
        <v>#N/A</v>
      </c>
      <c r="AF708" s="444"/>
      <c r="AG708" s="450" t="n">
        <f aca="false">IF(AND(L707&lt;L_rampe,Poussee&lt;Poids*SIN(M707)),0,(-W707+Poussee)/m-Poids*SIN(M707)/m)</f>
        <v>4.26120953297824</v>
      </c>
      <c r="AH708" s="449" t="n">
        <f aca="false">IF(AND(L707&lt;L_rampe,Poussee&lt;Poids*SIN(M707)), g*SIN(M707), (-W707+Poussee)/m)</f>
        <v>-5.4357791043889</v>
      </c>
    </row>
    <row r="709" customFormat="false" ht="12" hidden="false" customHeight="false" outlineLevel="0" collapsed="false">
      <c r="A709" s="448" t="n">
        <f aca="false">IF(B708+0.01&lt;=T_ini+ROUNDUP(Temps_fin_propu,0), 0.01, IF(K708&gt;0, 0.1, 0.0001))</f>
        <v>0.1</v>
      </c>
      <c r="B709" s="449" t="n">
        <f aca="false">B708+pas</f>
        <v>34.5000000000002</v>
      </c>
      <c r="C709" s="432"/>
      <c r="D709" s="450" t="n">
        <f aca="false">IF(AND(L708&lt;L_rampe,Poussee&lt;Poids*SIN(M708)),0,(-W708+Poussee)/m*COS(M708)-U708/m*SIN(M708))</f>
        <v>-0.823054477641748</v>
      </c>
      <c r="E709" s="451" t="n">
        <f aca="false">IF(AND(L708&lt;L_rampe,Poussee&lt;Poids*SIN(M708)),0,(-W708+Poussee)/m*SIN(M708)+U708/m*COS(M708)-Poids/m)</f>
        <v>-4.3942085695524</v>
      </c>
      <c r="F709" s="449" t="n">
        <f aca="false">SQRT(acc_x^2+acc_z^2)</f>
        <v>4.47062497039216</v>
      </c>
      <c r="G709" s="450" t="n">
        <f aca="false">G708+acc_x*pas</f>
        <v>19.898370142251</v>
      </c>
      <c r="H709" s="451" t="n">
        <f aca="false">H708+acc_z*pas</f>
        <v>-131.914523143026</v>
      </c>
      <c r="I709" s="449" t="n">
        <f aca="false">SQRT(vit_x^2+vit_z^2)</f>
        <v>133.406845965153</v>
      </c>
      <c r="J709" s="450" t="n">
        <f aca="false">J708+0.5*(vit_x+G708)*pas*(K708&gt;=0)</f>
        <v>993.840943087182</v>
      </c>
      <c r="K709" s="451" t="n">
        <f aca="false">K708+0.5*(vit_z+H708)*pas</f>
        <v>148.907618656229</v>
      </c>
      <c r="L709" s="449" t="n">
        <f aca="false">SQRT(pos_x^2+pos_z^2)</f>
        <v>1004.93447500336</v>
      </c>
      <c r="M709" s="450" t="n">
        <f aca="false">IF(AND(L708&gt;L_rampe,G709&gt;0),ATAN2(G709,H709),$M$4)</f>
        <v>-1.42108212240125</v>
      </c>
      <c r="N709" s="449" t="n">
        <f aca="false">DEGREES(Beta)</f>
        <v>-81.4220079550851</v>
      </c>
      <c r="O709" s="438"/>
      <c r="P709" s="452" t="n">
        <f aca="false">MATCH(t-pas/2-T_ini,CdP_t)</f>
        <v>23</v>
      </c>
      <c r="Q709" s="449" t="n">
        <f aca="false">(INDEX(CdP,2,i_P+1)-INDEX(CdP,2,i_P+0))/(INDEX(CdP,1,i_P+1)-INDEX(CdP,1,i_P+0))*(t-pas/2-T_ini-INDEX(CdP,1,i_P+0))+INDEX(CdP,2,i_P+0)</f>
        <v>0</v>
      </c>
      <c r="R709" s="450" t="n">
        <f aca="false">Poussee/(g*ISP)</f>
        <v>0</v>
      </c>
      <c r="S709" s="451" t="n">
        <f aca="false">S708-Débit*pas</f>
        <v>8.652</v>
      </c>
      <c r="T709" s="449" t="n">
        <f aca="false">m*g</f>
        <v>84.87612</v>
      </c>
      <c r="U709" s="453" t="n">
        <f aca="false">IF(pos_xz&lt;L_rampe,Poids*COS(Beta),0)</f>
        <v>0</v>
      </c>
      <c r="V709" s="450" t="n">
        <f aca="false">Rho_moyen*(20000-Alt_rampe-pos_z)/(20000+Alt_rampe+pos_z)</f>
        <v>1.20689362556956</v>
      </c>
      <c r="W709" s="449" t="n">
        <f aca="false">1/2*Rho*Sref*Cx*vit_xz^2</f>
        <v>47.7596860921807</v>
      </c>
      <c r="X709" s="438"/>
      <c r="Y709" s="454" t="str">
        <f aca="false">IF(AND(pos_z&lt;=0,K708&gt;0),"Impact balistique","") &amp; IF(AND(H710&lt;0,vit_z&gt;=0),"Apogée","") &amp; IF(AND(Poussee=0,Q708&gt;0),"Fin de propulsion","") &amp; IF(AND(L710&gt;L_rampe,pos_xz&lt;=L_rampe),"Sortie de rampe","")</f>
        <v/>
      </c>
      <c r="Z709" s="455" t="str">
        <f aca="false">IF(ABS(t-T_para)&lt;pas/2,"Para","")</f>
        <v/>
      </c>
      <c r="AA709" s="456" t="str">
        <f aca="false">IF(ABS(t-T_satellite)&lt;pas/2,"Satellite","")</f>
        <v/>
      </c>
      <c r="AB709" s="444"/>
      <c r="AC709" s="452" t="e">
        <f aca="false">IF(ABS(t-ROUND(t,0))&lt;0.001,t,NA())</f>
        <v>#N/A</v>
      </c>
      <c r="AD709" s="457" t="e">
        <f aca="false">IF(ABS(t-ROUND(t,0))&lt;0.001,pos_x,NA())</f>
        <v>#N/A</v>
      </c>
      <c r="AE709" s="458" t="e">
        <f aca="false">IF(t&lt;T_para, pos_z, NA())</f>
        <v>#N/A</v>
      </c>
      <c r="AF709" s="444"/>
      <c r="AG709" s="450" t="n">
        <f aca="false">IF(AND(L708&lt;L_rampe,Poussee&lt;Poids*SIN(M708)),0,(-W708+Poussee)/m-Poids*SIN(M708)/m)</f>
        <v>4.22066481952247</v>
      </c>
      <c r="AH709" s="449" t="n">
        <f aca="false">IF(AND(L708&lt;L_rampe,Poussee&lt;Poids*SIN(M708)), g*SIN(M708), (-W708+Poussee)/m)</f>
        <v>-5.47797549202949</v>
      </c>
    </row>
    <row r="710" customFormat="false" ht="12" hidden="false" customHeight="false" outlineLevel="0" collapsed="false">
      <c r="A710" s="448" t="n">
        <f aca="false">IF(B709+0.01&lt;=T_ini+ROUNDUP(Temps_fin_propu,0), 0.01, IF(K709&gt;0, 0.1, 0.0001))</f>
        <v>0.1</v>
      </c>
      <c r="B710" s="449" t="n">
        <f aca="false">B709+pas</f>
        <v>34.6000000000002</v>
      </c>
      <c r="C710" s="432"/>
      <c r="D710" s="450" t="n">
        <f aca="false">IF(AND(L709&lt;L_rampe,Poussee&lt;Poids*SIN(M709)),0,(-W709+Poussee)/m*COS(M709)-U709/m*SIN(M709))</f>
        <v>-0.823349718755005</v>
      </c>
      <c r="E710" s="451" t="n">
        <f aca="false">IF(AND(L709&lt;L_rampe,Poussee&lt;Poids*SIN(M709)),0,(-W709+Poussee)/m*SIN(M709)+U709/m*COS(M709)-Poids/m)</f>
        <v>-4.3516742802019</v>
      </c>
      <c r="F710" s="449" t="n">
        <f aca="false">SQRT(acc_x^2+acc_z^2)</f>
        <v>4.42887951973686</v>
      </c>
      <c r="G710" s="450" t="n">
        <f aca="false">G709+acc_x*pas</f>
        <v>19.8160351703755</v>
      </c>
      <c r="H710" s="451" t="n">
        <f aca="false">H709+acc_z*pas</f>
        <v>-132.349690571046</v>
      </c>
      <c r="I710" s="449" t="n">
        <f aca="false">SQRT(vit_x^2+vit_z^2)</f>
        <v>133.824944775349</v>
      </c>
      <c r="J710" s="450" t="n">
        <f aca="false">J709+0.5*(vit_x+G709)*pas*(K709&gt;=0)</f>
        <v>995.826663352813</v>
      </c>
      <c r="K710" s="451" t="n">
        <f aca="false">K709+0.5*(vit_z+H709)*pas</f>
        <v>135.694407970526</v>
      </c>
      <c r="L710" s="449" t="n">
        <f aca="false">SQRT(pos_x^2+pos_z^2)</f>
        <v>1005.0292114157</v>
      </c>
      <c r="M710" s="450" t="n">
        <f aca="false">IF(AND(L709&gt;L_rampe,G710&gt;0),ATAN2(G710,H710),$M$4)</f>
        <v>-1.42217550311652</v>
      </c>
      <c r="N710" s="449" t="n">
        <f aca="false">DEGREES(Beta)</f>
        <v>-81.4846540554713</v>
      </c>
      <c r="O710" s="438"/>
      <c r="P710" s="452" t="n">
        <f aca="false">MATCH(t-pas/2-T_ini,CdP_t)</f>
        <v>23</v>
      </c>
      <c r="Q710" s="449" t="n">
        <f aca="false">(INDEX(CdP,2,i_P+1)-INDEX(CdP,2,i_P+0))/(INDEX(CdP,1,i_P+1)-INDEX(CdP,1,i_P+0))*(t-pas/2-T_ini-INDEX(CdP,1,i_P+0))+INDEX(CdP,2,i_P+0)</f>
        <v>0</v>
      </c>
      <c r="R710" s="450" t="n">
        <f aca="false">Poussee/(g*ISP)</f>
        <v>0</v>
      </c>
      <c r="S710" s="451" t="n">
        <f aca="false">S709-Débit*pas</f>
        <v>8.652</v>
      </c>
      <c r="T710" s="449" t="n">
        <f aca="false">m*g</f>
        <v>84.87612</v>
      </c>
      <c r="U710" s="453" t="n">
        <f aca="false">IF(pos_xz&lt;L_rampe,Poids*COS(Beta),0)</f>
        <v>0</v>
      </c>
      <c r="V710" s="450" t="n">
        <f aca="false">Rho_moyen*(20000-Alt_rampe-pos_z)/(20000+Alt_rampe+pos_z)</f>
        <v>1.20848945445874</v>
      </c>
      <c r="W710" s="449" t="n">
        <f aca="false">1/2*Rho*Sref*Cx*vit_xz^2</f>
        <v>48.1230614004548</v>
      </c>
      <c r="X710" s="438"/>
      <c r="Y710" s="454" t="str">
        <f aca="false">IF(AND(pos_z&lt;=0,K709&gt;0),"Impact balistique","") &amp; IF(AND(H711&lt;0,vit_z&gt;=0),"Apogée","") &amp; IF(AND(Poussee=0,Q709&gt;0),"Fin de propulsion","") &amp; IF(AND(L711&gt;L_rampe,pos_xz&lt;=L_rampe),"Sortie de rampe","")</f>
        <v/>
      </c>
      <c r="Z710" s="455" t="str">
        <f aca="false">IF(ABS(t-T_para)&lt;pas/2,"Para","")</f>
        <v/>
      </c>
      <c r="AA710" s="456" t="str">
        <f aca="false">IF(ABS(t-T_satellite)&lt;pas/2,"Satellite","")</f>
        <v/>
      </c>
      <c r="AB710" s="444"/>
      <c r="AC710" s="452" t="e">
        <f aca="false">IF(ABS(t-ROUND(t,0))&lt;0.001,t,NA())</f>
        <v>#N/A</v>
      </c>
      <c r="AD710" s="457" t="e">
        <f aca="false">IF(ABS(t-ROUND(t,0))&lt;0.001,pos_x,NA())</f>
        <v>#N/A</v>
      </c>
      <c r="AE710" s="458" t="e">
        <f aca="false">IF(t&lt;T_para, pos_z, NA())</f>
        <v>#N/A</v>
      </c>
      <c r="AF710" s="444"/>
      <c r="AG710" s="450" t="n">
        <f aca="false">IF(AND(L709&lt;L_rampe,Poussee&lt;Poids*SIN(M709)),0,(-W709+Poussee)/m-Poids*SIN(M709)/m)</f>
        <v>4.18018817588992</v>
      </c>
      <c r="AH710" s="449" t="n">
        <f aca="false">IF(AND(L709&lt;L_rampe,Poussee&lt;Poids*SIN(M709)), g*SIN(M709), (-W709+Poussee)/m)</f>
        <v>-5.52007467547165</v>
      </c>
    </row>
    <row r="711" customFormat="false" ht="12" hidden="false" customHeight="false" outlineLevel="0" collapsed="false">
      <c r="A711" s="448" t="n">
        <f aca="false">IF(B710+0.01&lt;=T_ini+ROUNDUP(Temps_fin_propu,0), 0.01, IF(K710&gt;0, 0.1, 0.0001))</f>
        <v>0.1</v>
      </c>
      <c r="B711" s="449" t="n">
        <f aca="false">B710+pas</f>
        <v>34.7000000000002</v>
      </c>
      <c r="C711" s="432"/>
      <c r="D711" s="450" t="n">
        <f aca="false">IF(AND(L710&lt;L_rampe,Poussee&lt;Poids*SIN(M710)),0,(-W710+Poussee)/m*COS(M710)-U710/m*SIN(M710))</f>
        <v>-0.823600171607784</v>
      </c>
      <c r="E711" s="451" t="n">
        <f aca="false">IF(AND(L710&lt;L_rampe,Poussee&lt;Poids*SIN(M710)),0,(-W710+Poussee)/m*SIN(M710)+U710/m*COS(M710)-Poids/m)</f>
        <v>-4.30924129981823</v>
      </c>
      <c r="F711" s="449" t="n">
        <f aca="false">SQRT(acc_x^2+acc_z^2)</f>
        <v>4.3872403424854</v>
      </c>
      <c r="G711" s="450" t="n">
        <f aca="false">G710+acc_x*pas</f>
        <v>19.7336751532147</v>
      </c>
      <c r="H711" s="451" t="n">
        <f aca="false">H710+acc_z*pas</f>
        <v>-132.780614701028</v>
      </c>
      <c r="I711" s="449" t="n">
        <f aca="false">SQRT(vit_x^2+vit_z^2)</f>
        <v>134.239001692636</v>
      </c>
      <c r="J711" s="450" t="n">
        <f aca="false">J710+0.5*(vit_x+G710)*pas*(K710&gt;=0)</f>
        <v>997.804148868993</v>
      </c>
      <c r="K711" s="451" t="n">
        <f aca="false">K710+0.5*(vit_z+H710)*pas</f>
        <v>122.437892706922</v>
      </c>
      <c r="L711" s="449" t="n">
        <f aca="false">SQRT(pos_x^2+pos_z^2)</f>
        <v>1005.28809655277</v>
      </c>
      <c r="M711" s="450" t="n">
        <f aca="false">IF(AND(L710&gt;L_rampe,G711&gt;0),ATAN2(G711,H711),$M$4)</f>
        <v>-1.42325760977643</v>
      </c>
      <c r="N711" s="449" t="n">
        <f aca="false">DEGREES(Beta)</f>
        <v>-81.5466542000667</v>
      </c>
      <c r="O711" s="438"/>
      <c r="P711" s="452" t="n">
        <f aca="false">MATCH(t-pas/2-T_ini,CdP_t)</f>
        <v>23</v>
      </c>
      <c r="Q711" s="449" t="n">
        <f aca="false">(INDEX(CdP,2,i_P+1)-INDEX(CdP,2,i_P+0))/(INDEX(CdP,1,i_P+1)-INDEX(CdP,1,i_P+0))*(t-pas/2-T_ini-INDEX(CdP,1,i_P+0))+INDEX(CdP,2,i_P+0)</f>
        <v>0</v>
      </c>
      <c r="R711" s="450" t="n">
        <f aca="false">Poussee/(g*ISP)</f>
        <v>0</v>
      </c>
      <c r="S711" s="451" t="n">
        <f aca="false">S710-Débit*pas</f>
        <v>8.652</v>
      </c>
      <c r="T711" s="449" t="n">
        <f aca="false">m*g</f>
        <v>84.87612</v>
      </c>
      <c r="U711" s="453" t="n">
        <f aca="false">IF(pos_xz&lt;L_rampe,Poids*COS(Beta),0)</f>
        <v>0</v>
      </c>
      <c r="V711" s="450" t="n">
        <f aca="false">Rho_moyen*(20000-Alt_rampe-pos_z)/(20000+Alt_rampe+pos_z)</f>
        <v>1.21009261955577</v>
      </c>
      <c r="W711" s="449" t="n">
        <f aca="false">1/2*Rho*Sref*Cx*vit_xz^2</f>
        <v>48.4855444370295</v>
      </c>
      <c r="X711" s="438"/>
      <c r="Y711" s="454" t="str">
        <f aca="false">IF(AND(pos_z&lt;=0,K710&gt;0),"Impact balistique","") &amp; IF(AND(H712&lt;0,vit_z&gt;=0),"Apogée","") &amp; IF(AND(Poussee=0,Q710&gt;0),"Fin de propulsion","") &amp; IF(AND(L712&gt;L_rampe,pos_xz&lt;=L_rampe),"Sortie de rampe","")</f>
        <v/>
      </c>
      <c r="Z711" s="455" t="str">
        <f aca="false">IF(ABS(t-T_para)&lt;pas/2,"Para","")</f>
        <v/>
      </c>
      <c r="AA711" s="456" t="str">
        <f aca="false">IF(ABS(t-T_satellite)&lt;pas/2,"Satellite","")</f>
        <v/>
      </c>
      <c r="AB711" s="444"/>
      <c r="AC711" s="452" t="e">
        <f aca="false">IF(ABS(t-ROUND(t,0))&lt;0.001,t,NA())</f>
        <v>#N/A</v>
      </c>
      <c r="AD711" s="457" t="e">
        <f aca="false">IF(ABS(t-ROUND(t,0))&lt;0.001,pos_x,NA())</f>
        <v>#N/A</v>
      </c>
      <c r="AE711" s="458" t="e">
        <f aca="false">IF(t&lt;T_para, pos_z, NA())</f>
        <v>#N/A</v>
      </c>
      <c r="AF711" s="444"/>
      <c r="AG711" s="450" t="n">
        <f aca="false">IF(AND(L710&lt;L_rampe,Poussee&lt;Poids*SIN(M710)),0,(-W710+Poussee)/m-Poids*SIN(M710)/m)</f>
        <v>4.13978323391064</v>
      </c>
      <c r="AH711" s="449" t="n">
        <f aca="false">IF(AND(L710&lt;L_rampe,Poussee&lt;Poids*SIN(M710)), g*SIN(M710), (-W710+Poussee)/m)</f>
        <v>-5.56207367088012</v>
      </c>
    </row>
    <row r="712" customFormat="false" ht="12" hidden="false" customHeight="false" outlineLevel="0" collapsed="false">
      <c r="A712" s="448" t="n">
        <f aca="false">IF(B711+0.01&lt;=T_ini+ROUNDUP(Temps_fin_propu,0), 0.01, IF(K711&gt;0, 0.1, 0.0001))</f>
        <v>0.1</v>
      </c>
      <c r="B712" s="449" t="n">
        <f aca="false">B711+pas</f>
        <v>34.8000000000002</v>
      </c>
      <c r="C712" s="432"/>
      <c r="D712" s="450" t="n">
        <f aca="false">IF(AND(L711&lt;L_rampe,Poussee&lt;Poids*SIN(M711)),0,(-W711+Poussee)/m*COS(M711)-U711/m*SIN(M711))</f>
        <v>-0.82380614444306</v>
      </c>
      <c r="E712" s="451" t="n">
        <f aca="false">IF(AND(L711&lt;L_rampe,Poussee&lt;Poids*SIN(M711)),0,(-W711+Poussee)/m*SIN(M711)+U711/m*COS(M711)-Poids/m)</f>
        <v>-4.26691259208682</v>
      </c>
      <c r="F712" s="449" t="n">
        <f aca="false">SQRT(acc_x^2+acc_z^2)</f>
        <v>4.34571048646032</v>
      </c>
      <c r="G712" s="450" t="n">
        <f aca="false">G711+acc_x*pas</f>
        <v>19.6512945387704</v>
      </c>
      <c r="H712" s="451" t="n">
        <f aca="false">H711+acc_z*pas</f>
        <v>-133.207305960237</v>
      </c>
      <c r="I712" s="449" t="n">
        <f aca="false">SQRT(vit_x^2+vit_z^2)</f>
        <v>134.64902427509</v>
      </c>
      <c r="J712" s="450" t="n">
        <f aca="false">J711+0.5*(vit_x+G711)*pas*(K711&gt;=0)</f>
        <v>999.773397353592</v>
      </c>
      <c r="K712" s="451" t="n">
        <f aca="false">K711+0.5*(vit_z+H711)*pas</f>
        <v>109.138496673859</v>
      </c>
      <c r="L712" s="449" t="n">
        <f aca="false">SQRT(pos_x^2+pos_z^2)</f>
        <v>1005.71271122134</v>
      </c>
      <c r="M712" s="450" t="n">
        <f aca="false">IF(AND(L711&gt;L_rampe,G712&gt;0),ATAN2(G712,H712),$M$4)</f>
        <v>-1.42432862375895</v>
      </c>
      <c r="N712" s="449" t="n">
        <f aca="false">DEGREES(Beta)</f>
        <v>-81.6080187810649</v>
      </c>
      <c r="O712" s="438"/>
      <c r="P712" s="452" t="n">
        <f aca="false">MATCH(t-pas/2-T_ini,CdP_t)</f>
        <v>23</v>
      </c>
      <c r="Q712" s="449" t="n">
        <f aca="false">(INDEX(CdP,2,i_P+1)-INDEX(CdP,2,i_P+0))/(INDEX(CdP,1,i_P+1)-INDEX(CdP,1,i_P+0))*(t-pas/2-T_ini-INDEX(CdP,1,i_P+0))+INDEX(CdP,2,i_P+0)</f>
        <v>0</v>
      </c>
      <c r="R712" s="450" t="n">
        <f aca="false">Poussee/(g*ISP)</f>
        <v>0</v>
      </c>
      <c r="S712" s="451" t="n">
        <f aca="false">S711-Débit*pas</f>
        <v>8.652</v>
      </c>
      <c r="T712" s="449" t="n">
        <f aca="false">m*g</f>
        <v>84.87612</v>
      </c>
      <c r="U712" s="453" t="n">
        <f aca="false">IF(pos_xz&lt;L_rampe,Poids*COS(Beta),0)</f>
        <v>0</v>
      </c>
      <c r="V712" s="450" t="n">
        <f aca="false">Rho_moyen*(20000-Alt_rampe-pos_z)/(20000+Alt_rampe+pos_z)</f>
        <v>1.21170309437199</v>
      </c>
      <c r="W712" s="449" t="n">
        <f aca="false">1/2*Rho*Sref*Cx*vit_xz^2</f>
        <v>48.8471101295692</v>
      </c>
      <c r="X712" s="438"/>
      <c r="Y712" s="454" t="str">
        <f aca="false">IF(AND(pos_z&lt;=0,K711&gt;0),"Impact balistique","") &amp; IF(AND(H713&lt;0,vit_z&gt;=0),"Apogée","") &amp; IF(AND(Poussee=0,Q711&gt;0),"Fin de propulsion","") &amp; IF(AND(L713&gt;L_rampe,pos_xz&lt;=L_rampe),"Sortie de rampe","")</f>
        <v/>
      </c>
      <c r="Z712" s="455" t="str">
        <f aca="false">IF(ABS(t-T_para)&lt;pas/2,"Para","")</f>
        <v/>
      </c>
      <c r="AA712" s="456" t="str">
        <f aca="false">IF(ABS(t-T_satellite)&lt;pas/2,"Satellite","")</f>
        <v/>
      </c>
      <c r="AB712" s="444"/>
      <c r="AC712" s="452" t="e">
        <f aca="false">IF(ABS(t-ROUND(t,0))&lt;0.001,t,NA())</f>
        <v>#N/A</v>
      </c>
      <c r="AD712" s="457" t="e">
        <f aca="false">IF(ABS(t-ROUND(t,0))&lt;0.001,pos_x,NA())</f>
        <v>#N/A</v>
      </c>
      <c r="AE712" s="458" t="e">
        <f aca="false">IF(t&lt;T_para, pos_z, NA())</f>
        <v>#N/A</v>
      </c>
      <c r="AF712" s="444"/>
      <c r="AG712" s="450" t="n">
        <f aca="false">IF(AND(L711&lt;L_rampe,Poussee&lt;Poids*SIN(M711)),0,(-W711+Poussee)/m-Poids*SIN(M711)/m)</f>
        <v>4.09945356468911</v>
      </c>
      <c r="AH712" s="449" t="n">
        <f aca="false">IF(AND(L711&lt;L_rampe,Poussee&lt;Poids*SIN(M711)), g*SIN(M711), (-W711+Poussee)/m)</f>
        <v>-5.60396953733582</v>
      </c>
    </row>
    <row r="713" customFormat="false" ht="12" hidden="false" customHeight="false" outlineLevel="0" collapsed="false">
      <c r="A713" s="448" t="n">
        <f aca="false">IF(B712+0.01&lt;=T_ini+ROUNDUP(Temps_fin_propu,0), 0.01, IF(K712&gt;0, 0.1, 0.0001))</f>
        <v>0.1</v>
      </c>
      <c r="B713" s="449" t="n">
        <f aca="false">B712+pas</f>
        <v>34.9000000000002</v>
      </c>
      <c r="C713" s="432"/>
      <c r="D713" s="450" t="n">
        <f aca="false">IF(AND(L712&lt;L_rampe,Poussee&lt;Poids*SIN(M712)),0,(-W712+Poussee)/m*COS(M712)-U712/m*SIN(M712))</f>
        <v>-0.823967949335107</v>
      </c>
      <c r="E713" s="451" t="n">
        <f aca="false">IF(AND(L712&lt;L_rampe,Poussee&lt;Poids*SIN(M712)),0,(-W712+Poussee)/m*SIN(M712)+U712/m*COS(M712)-Poids/m)</f>
        <v>-4.2246910773758</v>
      </c>
      <c r="F713" s="449" t="n">
        <f aca="false">SQRT(acc_x^2+acc_z^2)</f>
        <v>4.30429295945225</v>
      </c>
      <c r="G713" s="450" t="n">
        <f aca="false">G712+acc_x*pas</f>
        <v>19.5688977438369</v>
      </c>
      <c r="H713" s="451" t="n">
        <f aca="false">H712+acc_z*pas</f>
        <v>-133.629775067974</v>
      </c>
      <c r="I713" s="449" t="n">
        <f aca="false">SQRT(vit_x^2+vit_z^2)</f>
        <v>135.055020431031</v>
      </c>
      <c r="J713" s="450" t="n">
        <f aca="false">J712+0.5*(vit_x+G712)*pas*(K712&gt;=0)</f>
        <v>1001.73440696772</v>
      </c>
      <c r="K713" s="451" t="n">
        <f aca="false">K712+0.5*(vit_z+H712)*pas</f>
        <v>95.7966426224482</v>
      </c>
      <c r="L713" s="449" t="n">
        <f aca="false">SQRT(pos_x^2+pos_z^2)</f>
        <v>1006.30453583431</v>
      </c>
      <c r="M713" s="450" t="n">
        <f aca="false">IF(AND(L712&gt;L_rampe,G713&gt;0),ATAN2(G713,H713),$M$4)</f>
        <v>-1.42538872247893</v>
      </c>
      <c r="N713" s="449" t="n">
        <f aca="false">DEGREES(Beta)</f>
        <v>-81.6687579635867</v>
      </c>
      <c r="O713" s="438"/>
      <c r="P713" s="452" t="n">
        <f aca="false">MATCH(t-pas/2-T_ini,CdP_t)</f>
        <v>23</v>
      </c>
      <c r="Q713" s="449" t="n">
        <f aca="false">(INDEX(CdP,2,i_P+1)-INDEX(CdP,2,i_P+0))/(INDEX(CdP,1,i_P+1)-INDEX(CdP,1,i_P+0))*(t-pas/2-T_ini-INDEX(CdP,1,i_P+0))+INDEX(CdP,2,i_P+0)</f>
        <v>0</v>
      </c>
      <c r="R713" s="450" t="n">
        <f aca="false">Poussee/(g*ISP)</f>
        <v>0</v>
      </c>
      <c r="S713" s="451" t="n">
        <f aca="false">S712-Débit*pas</f>
        <v>8.652</v>
      </c>
      <c r="T713" s="449" t="n">
        <f aca="false">m*g</f>
        <v>84.87612</v>
      </c>
      <c r="U713" s="453" t="n">
        <f aca="false">IF(pos_xz&lt;L_rampe,Poids*COS(Beta),0)</f>
        <v>0</v>
      </c>
      <c r="V713" s="450" t="n">
        <f aca="false">Rho_moyen*(20000-Alt_rampe-pos_z)/(20000+Alt_rampe+pos_z)</f>
        <v>1.21332085243502</v>
      </c>
      <c r="W713" s="449" t="n">
        <f aca="false">1/2*Rho*Sref*Cx*vit_xz^2</f>
        <v>49.2077337793066</v>
      </c>
      <c r="X713" s="438"/>
      <c r="Y713" s="454" t="str">
        <f aca="false">IF(AND(pos_z&lt;=0,K712&gt;0),"Impact balistique","") &amp; IF(AND(H714&lt;0,vit_z&gt;=0),"Apogée","") &amp; IF(AND(Poussee=0,Q712&gt;0),"Fin de propulsion","") &amp; IF(AND(L714&gt;L_rampe,pos_xz&lt;=L_rampe),"Sortie de rampe","")</f>
        <v/>
      </c>
      <c r="Z713" s="455" t="str">
        <f aca="false">IF(ABS(t-T_para)&lt;pas/2,"Para","")</f>
        <v/>
      </c>
      <c r="AA713" s="456" t="str">
        <f aca="false">IF(ABS(t-T_satellite)&lt;pas/2,"Satellite","")</f>
        <v/>
      </c>
      <c r="AB713" s="444"/>
      <c r="AC713" s="452" t="e">
        <f aca="false">IF(ABS(t-ROUND(t,0))&lt;0.001,t,NA())</f>
        <v>#N/A</v>
      </c>
      <c r="AD713" s="457" t="e">
        <f aca="false">IF(ABS(t-ROUND(t,0))&lt;0.001,pos_x,NA())</f>
        <v>#N/A</v>
      </c>
      <c r="AE713" s="458" t="e">
        <f aca="false">IF(t&lt;T_para, pos_z, NA())</f>
        <v>#N/A</v>
      </c>
      <c r="AF713" s="444"/>
      <c r="AG713" s="450" t="n">
        <f aca="false">IF(AND(L712&lt;L_rampe,Poussee&lt;Poids*SIN(M712)),0,(-W712+Poussee)/m-Poids*SIN(M712)/m)</f>
        <v>4.05920267904761</v>
      </c>
      <c r="AH713" s="449" t="n">
        <f aca="false">IF(AND(L712&lt;L_rampe,Poussee&lt;Poids*SIN(M712)), g*SIN(M712), (-W712+Poussee)/m)</f>
        <v>-5.64575937697287</v>
      </c>
    </row>
    <row r="714" customFormat="false" ht="12" hidden="false" customHeight="false" outlineLevel="0" collapsed="false">
      <c r="A714" s="448" t="n">
        <f aca="false">IF(B713+0.01&lt;=T_ini+ROUNDUP(Temps_fin_propu,0), 0.01, IF(K713&gt;0, 0.1, 0.0001))</f>
        <v>0.1</v>
      </c>
      <c r="B714" s="449" t="n">
        <f aca="false">B713+pas</f>
        <v>35.0000000000002</v>
      </c>
      <c r="C714" s="432"/>
      <c r="D714" s="450" t="n">
        <f aca="false">IF(AND(L713&lt;L_rampe,Poussee&lt;Poids*SIN(M713)),0,(-W713+Poussee)/m*COS(M713)-U713/m*SIN(M713))</f>
        <v>-0.824085902075961</v>
      </c>
      <c r="E714" s="451" t="n">
        <f aca="false">IF(AND(L713&lt;L_rampe,Poussee&lt;Poids*SIN(M713)),0,(-W713+Poussee)/m*SIN(M713)+U713/m*COS(M713)-Poids/m)</f>
        <v>-4.18257963260694</v>
      </c>
      <c r="F714" s="449" t="n">
        <f aca="false">SQRT(acc_x^2+acc_z^2)</f>
        <v>4.26299072918283</v>
      </c>
      <c r="G714" s="450" t="n">
        <f aca="false">G713+acc_x*pas</f>
        <v>19.4864891536293</v>
      </c>
      <c r="H714" s="451" t="n">
        <f aca="false">H713+acc_z*pas</f>
        <v>-134.048033031235</v>
      </c>
      <c r="I714" s="449" t="n">
        <f aca="false">SQRT(vit_x^2+vit_z^2)</f>
        <v>135.456998413067</v>
      </c>
      <c r="J714" s="450" t="n">
        <f aca="false">J713+0.5*(vit_x+G713)*pas*(K713&gt;=0)</f>
        <v>1003.6871763126</v>
      </c>
      <c r="K714" s="451" t="n">
        <f aca="false">K713+0.5*(vit_z+H713)*pas</f>
        <v>82.4127522174877</v>
      </c>
      <c r="L714" s="449" t="n">
        <f aca="false">SQRT(pos_x^2+pos_z^2)</f>
        <v>1007.06494806562</v>
      </c>
      <c r="M714" s="450" t="n">
        <f aca="false">IF(AND(L713&gt;L_rampe,G714&gt;0),ATAN2(G714,H714),$M$4)</f>
        <v>-1.42643807949391</v>
      </c>
      <c r="N714" s="449" t="n">
        <f aca="false">DEGREES(Beta)</f>
        <v>-81.7288816917479</v>
      </c>
      <c r="O714" s="438"/>
      <c r="P714" s="452" t="n">
        <f aca="false">MATCH(t-pas/2-T_ini,CdP_t)</f>
        <v>23</v>
      </c>
      <c r="Q714" s="449" t="n">
        <f aca="false">(INDEX(CdP,2,i_P+1)-INDEX(CdP,2,i_P+0))/(INDEX(CdP,1,i_P+1)-INDEX(CdP,1,i_P+0))*(t-pas/2-T_ini-INDEX(CdP,1,i_P+0))+INDEX(CdP,2,i_P+0)</f>
        <v>0</v>
      </c>
      <c r="R714" s="450" t="n">
        <f aca="false">Poussee/(g*ISP)</f>
        <v>0</v>
      </c>
      <c r="S714" s="451" t="n">
        <f aca="false">S713-Débit*pas</f>
        <v>8.652</v>
      </c>
      <c r="T714" s="449" t="n">
        <f aca="false">m*g</f>
        <v>84.87612</v>
      </c>
      <c r="U714" s="453" t="n">
        <f aca="false">IF(pos_xz&lt;L_rampe,Poids*COS(Beta),0)</f>
        <v>0</v>
      </c>
      <c r="V714" s="450" t="n">
        <f aca="false">Rho_moyen*(20000-Alt_rampe-pos_z)/(20000+Alt_rampe+pos_z)</f>
        <v>1.21494586729074</v>
      </c>
      <c r="W714" s="449" t="n">
        <f aca="false">1/2*Rho*Sref*Cx*vit_xz^2</f>
        <v>49.5673910620019</v>
      </c>
      <c r="X714" s="438"/>
      <c r="Y714" s="454" t="str">
        <f aca="false">IF(AND(pos_z&lt;=0,K713&gt;0),"Impact balistique","") &amp; IF(AND(H715&lt;0,vit_z&gt;=0),"Apogée","") &amp; IF(AND(Poussee=0,Q713&gt;0),"Fin de propulsion","") &amp; IF(AND(L715&gt;L_rampe,pos_xz&lt;=L_rampe),"Sortie de rampe","")</f>
        <v/>
      </c>
      <c r="Z714" s="455" t="str">
        <f aca="false">IF(ABS(t-T_para)&lt;pas/2,"Para","")</f>
        <v/>
      </c>
      <c r="AA714" s="456" t="str">
        <f aca="false">IF(ABS(t-T_satellite)&lt;pas/2,"Satellite","")</f>
        <v/>
      </c>
      <c r="AB714" s="444"/>
      <c r="AC714" s="452" t="n">
        <f aca="false">IF(ABS(t-ROUND(t,0))&lt;0.001,t,NA())</f>
        <v>35.0000000000002</v>
      </c>
      <c r="AD714" s="457" t="n">
        <f aca="false">IF(ABS(t-ROUND(t,0))&lt;0.001,pos_x,NA())</f>
        <v>1003.6871763126</v>
      </c>
      <c r="AE714" s="458" t="e">
        <f aca="false">IF(t&lt;T_para, pos_z, NA())</f>
        <v>#N/A</v>
      </c>
      <c r="AF714" s="444"/>
      <c r="AG714" s="450" t="n">
        <f aca="false">IF(AND(L713&lt;L_rampe,Poussee&lt;Poids*SIN(M713)),0,(-W713+Poussee)/m-Poids*SIN(M713)/m)</f>
        <v>4.0190340279611</v>
      </c>
      <c r="AH714" s="449" t="n">
        <f aca="false">IF(AND(L713&lt;L_rampe,Poussee&lt;Poids*SIN(M713)), g*SIN(M713), (-W713+Poussee)/m)</f>
        <v>-5.68744033510248</v>
      </c>
    </row>
    <row r="715" customFormat="false" ht="12" hidden="false" customHeight="false" outlineLevel="0" collapsed="false">
      <c r="A715" s="448" t="n">
        <f aca="false">IF(B714+0.01&lt;=T_ini+ROUNDUP(Temps_fin_propu,0), 0.01, IF(K714&gt;0, 0.1, 0.0001))</f>
        <v>0.1</v>
      </c>
      <c r="B715" s="449" t="n">
        <f aca="false">B714+pas</f>
        <v>35.1000000000002</v>
      </c>
      <c r="C715" s="432"/>
      <c r="D715" s="450" t="n">
        <f aca="false">IF(AND(L714&lt;L_rampe,Poussee&lt;Poids*SIN(M714)),0,(-W714+Poussee)/m*COS(M714)-U714/m*SIN(M714))</f>
        <v>-0.824160322062616</v>
      </c>
      <c r="E715" s="451" t="n">
        <f aca="false">IF(AND(L714&lt;L_rampe,Poussee&lt;Poids*SIN(M714)),0,(-W714+Poussee)/m*SIN(M714)+U714/m*COS(M714)-Poids/m)</f>
        <v>-4.14058109113991</v>
      </c>
      <c r="F715" s="449" t="n">
        <f aca="false">SQRT(acc_x^2+acc_z^2)</f>
        <v>4.2218067232842</v>
      </c>
      <c r="G715" s="450" t="n">
        <f aca="false">G714+acc_x*pas</f>
        <v>19.404073121423</v>
      </c>
      <c r="H715" s="451" t="n">
        <f aca="false">H714+acc_z*pas</f>
        <v>-134.462091140349</v>
      </c>
      <c r="I715" s="449" t="n">
        <f aca="false">SQRT(vit_x^2+vit_z^2)</f>
        <v>135.854966812175</v>
      </c>
      <c r="J715" s="450" t="n">
        <f aca="false">J714+0.5*(vit_x+G714)*pas*(K714&gt;=0)</f>
        <v>1005.63170442635</v>
      </c>
      <c r="K715" s="451" t="n">
        <f aca="false">K714+0.5*(vit_z+H714)*pas</f>
        <v>68.9872460089085</v>
      </c>
      <c r="L715" s="449" t="n">
        <f aca="false">SQRT(pos_x^2+pos_z^2)</f>
        <v>1007.99522075223</v>
      </c>
      <c r="M715" s="450" t="n">
        <f aca="false">IF(AND(L714&gt;L_rampe,G715&gt;0),ATAN2(G715,H715),$M$4)</f>
        <v>-1.42747686460682</v>
      </c>
      <c r="N715" s="449" t="n">
        <f aca="false">DEGREES(Beta)</f>
        <v>-81.7883996945382</v>
      </c>
      <c r="O715" s="438"/>
      <c r="P715" s="452" t="n">
        <f aca="false">MATCH(t-pas/2-T_ini,CdP_t)</f>
        <v>23</v>
      </c>
      <c r="Q715" s="449" t="n">
        <f aca="false">(INDEX(CdP,2,i_P+1)-INDEX(CdP,2,i_P+0))/(INDEX(CdP,1,i_P+1)-INDEX(CdP,1,i_P+0))*(t-pas/2-T_ini-INDEX(CdP,1,i_P+0))+INDEX(CdP,2,i_P+0)</f>
        <v>0</v>
      </c>
      <c r="R715" s="450" t="n">
        <f aca="false">Poussee/(g*ISP)</f>
        <v>0</v>
      </c>
      <c r="S715" s="451" t="n">
        <f aca="false">S714-Débit*pas</f>
        <v>8.652</v>
      </c>
      <c r="T715" s="449" t="n">
        <f aca="false">m*g</f>
        <v>84.87612</v>
      </c>
      <c r="U715" s="453" t="n">
        <f aca="false">IF(pos_xz&lt;L_rampe,Poids*COS(Beta),0)</f>
        <v>0</v>
      </c>
      <c r="V715" s="450" t="n">
        <f aca="false">Rho_moyen*(20000-Alt_rampe-pos_z)/(20000+Alt_rampe+pos_z)</f>
        <v>1.21657811250513</v>
      </c>
      <c r="W715" s="449" t="n">
        <f aca="false">1/2*Rho*Sref*Cx*vit_xz^2</f>
        <v>49.9260580287912</v>
      </c>
      <c r="X715" s="438"/>
      <c r="Y715" s="454" t="str">
        <f aca="false">IF(AND(pos_z&lt;=0,K714&gt;0),"Impact balistique","") &amp; IF(AND(H716&lt;0,vit_z&gt;=0),"Apogée","") &amp; IF(AND(Poussee=0,Q714&gt;0),"Fin de propulsion","") &amp; IF(AND(L716&gt;L_rampe,pos_xz&lt;=L_rampe),"Sortie de rampe","")</f>
        <v/>
      </c>
      <c r="Z715" s="455" t="str">
        <f aca="false">IF(ABS(t-T_para)&lt;pas/2,"Para","")</f>
        <v/>
      </c>
      <c r="AA715" s="456" t="str">
        <f aca="false">IF(ABS(t-T_satellite)&lt;pas/2,"Satellite","")</f>
        <v/>
      </c>
      <c r="AB715" s="444"/>
      <c r="AC715" s="452" t="e">
        <f aca="false">IF(ABS(t-ROUND(t,0))&lt;0.001,t,NA())</f>
        <v>#N/A</v>
      </c>
      <c r="AD715" s="457" t="e">
        <f aca="false">IF(ABS(t-ROUND(t,0))&lt;0.001,pos_x,NA())</f>
        <v>#N/A</v>
      </c>
      <c r="AE715" s="458" t="e">
        <f aca="false">IF(t&lt;T_para, pos_z, NA())</f>
        <v>#N/A</v>
      </c>
      <c r="AF715" s="444"/>
      <c r="AG715" s="450" t="n">
        <f aca="false">IF(AND(L714&lt;L_rampe,Poussee&lt;Poids*SIN(M714)),0,(-W714+Poussee)/m-Poids*SIN(M714)/m)</f>
        <v>3.97895100298422</v>
      </c>
      <c r="AH715" s="449" t="n">
        <f aca="false">IF(AND(L714&lt;L_rampe,Poussee&lt;Poids*SIN(M714)), g*SIN(M714), (-W714+Poussee)/m)</f>
        <v>-5.72900960032384</v>
      </c>
    </row>
    <row r="716" customFormat="false" ht="12" hidden="false" customHeight="false" outlineLevel="0" collapsed="false">
      <c r="A716" s="448" t="n">
        <f aca="false">IF(B715+0.01&lt;=T_ini+ROUNDUP(Temps_fin_propu,0), 0.01, IF(K715&gt;0, 0.1, 0.0001))</f>
        <v>0.1</v>
      </c>
      <c r="B716" s="449" t="n">
        <f aca="false">B715+pas</f>
        <v>35.2000000000002</v>
      </c>
      <c r="C716" s="432"/>
      <c r="D716" s="450" t="n">
        <f aca="false">IF(AND(L715&lt;L_rampe,Poussee&lt;Poids*SIN(M715)),0,(-W715+Poussee)/m*COS(M715)-U715/m*SIN(M715))</f>
        <v>-0.82419153218492</v>
      </c>
      <c r="E716" s="451" t="n">
        <f aca="false">IF(AND(L715&lt;L_rampe,Poussee&lt;Poids*SIN(M715)),0,(-W715+Poussee)/m*SIN(M715)+U715/m*COS(M715)-Poids/m)</f>
        <v>-4.09869824266951</v>
      </c>
      <c r="F716" s="449" t="n">
        <f aca="false">SQRT(acc_x^2+acc_z^2)</f>
        <v>4.18074382929491</v>
      </c>
      <c r="G716" s="450" t="n">
        <f aca="false">G715+acc_x*pas</f>
        <v>19.3216539682045</v>
      </c>
      <c r="H716" s="451" t="n">
        <f aca="false">H715+acc_z*pas</f>
        <v>-134.871960964616</v>
      </c>
      <c r="I716" s="449" t="n">
        <f aca="false">SQRT(vit_x^2+vit_z^2)</f>
        <v>136.248934551827</v>
      </c>
      <c r="J716" s="450" t="n">
        <f aca="false">J715+0.5*(vit_x+G715)*pas*(K715&gt;=0)</f>
        <v>1007.56799078083</v>
      </c>
      <c r="K716" s="451" t="n">
        <f aca="false">K715+0.5*(vit_z+H715)*pas</f>
        <v>55.5205434036603</v>
      </c>
      <c r="L716" s="449" t="n">
        <f aca="false">SQRT(pos_x^2+pos_z^2)</f>
        <v>1009.09652005443</v>
      </c>
      <c r="M716" s="450" t="n">
        <f aca="false">IF(AND(L715&gt;L_rampe,G716&gt;0),ATAN2(G716,H716),$M$4)</f>
        <v>-1.42850524396523</v>
      </c>
      <c r="N716" s="449" t="n">
        <f aca="false">DEGREES(Beta)</f>
        <v>-81.8473214915137</v>
      </c>
      <c r="O716" s="438"/>
      <c r="P716" s="452" t="n">
        <f aca="false">MATCH(t-pas/2-T_ini,CdP_t)</f>
        <v>23</v>
      </c>
      <c r="Q716" s="449" t="n">
        <f aca="false">(INDEX(CdP,2,i_P+1)-INDEX(CdP,2,i_P+0))/(INDEX(CdP,1,i_P+1)-INDEX(CdP,1,i_P+0))*(t-pas/2-T_ini-INDEX(CdP,1,i_P+0))+INDEX(CdP,2,i_P+0)</f>
        <v>0</v>
      </c>
      <c r="R716" s="450" t="n">
        <f aca="false">Poussee/(g*ISP)</f>
        <v>0</v>
      </c>
      <c r="S716" s="451" t="n">
        <f aca="false">S715-Débit*pas</f>
        <v>8.652</v>
      </c>
      <c r="T716" s="449" t="n">
        <f aca="false">m*g</f>
        <v>84.87612</v>
      </c>
      <c r="U716" s="453" t="n">
        <f aca="false">IF(pos_xz&lt;L_rampe,Poids*COS(Beta),0)</f>
        <v>0</v>
      </c>
      <c r="V716" s="450" t="n">
        <f aca="false">Rho_moyen*(20000-Alt_rampe-pos_z)/(20000+Alt_rampe+pos_z)</f>
        <v>1.21821756166615</v>
      </c>
      <c r="W716" s="449" t="n">
        <f aca="false">1/2*Rho*Sref*Cx*vit_xz^2</f>
        <v>50.2837111069242</v>
      </c>
      <c r="X716" s="438"/>
      <c r="Y716" s="454" t="str">
        <f aca="false">IF(AND(pos_z&lt;=0,K715&gt;0),"Impact balistique","") &amp; IF(AND(H717&lt;0,vit_z&gt;=0),"Apogée","") &amp; IF(AND(Poussee=0,Q715&gt;0),"Fin de propulsion","") &amp; IF(AND(L717&gt;L_rampe,pos_xz&lt;=L_rampe),"Sortie de rampe","")</f>
        <v/>
      </c>
      <c r="Z716" s="455" t="str">
        <f aca="false">IF(ABS(t-T_para)&lt;pas/2,"Para","")</f>
        <v/>
      </c>
      <c r="AA716" s="456" t="str">
        <f aca="false">IF(ABS(t-T_satellite)&lt;pas/2,"Satellite","")</f>
        <v/>
      </c>
      <c r="AB716" s="444"/>
      <c r="AC716" s="452" t="e">
        <f aca="false">IF(ABS(t-ROUND(t,0))&lt;0.001,t,NA())</f>
        <v>#N/A</v>
      </c>
      <c r="AD716" s="457" t="e">
        <f aca="false">IF(ABS(t-ROUND(t,0))&lt;0.001,pos_x,NA())</f>
        <v>#N/A</v>
      </c>
      <c r="AE716" s="458" t="e">
        <f aca="false">IF(t&lt;T_para, pos_z, NA())</f>
        <v>#N/A</v>
      </c>
      <c r="AF716" s="444"/>
      <c r="AG716" s="450" t="n">
        <f aca="false">IF(AND(L715&lt;L_rampe,Poussee&lt;Poids*SIN(M715)),0,(-W715+Poussee)/m-Poids*SIN(M715)/m)</f>
        <v>3.93895693667113</v>
      </c>
      <c r="AH716" s="449" t="n">
        <f aca="false">IF(AND(L715&lt;L_rampe,Poussee&lt;Poids*SIN(M715)), g*SIN(M715), (-W715+Poussee)/m)</f>
        <v>-5.77046440462219</v>
      </c>
    </row>
    <row r="717" customFormat="false" ht="12" hidden="false" customHeight="false" outlineLevel="0" collapsed="false">
      <c r="A717" s="448" t="n">
        <f aca="false">IF(B716+0.01&lt;=T_ini+ROUNDUP(Temps_fin_propu,0), 0.01, IF(K716&gt;0, 0.1, 0.0001))</f>
        <v>0.1</v>
      </c>
      <c r="B717" s="449" t="n">
        <f aca="false">B716+pas</f>
        <v>35.3000000000002</v>
      </c>
      <c r="C717" s="432"/>
      <c r="D717" s="450" t="n">
        <f aca="false">IF(AND(L716&lt;L_rampe,Poussee&lt;Poids*SIN(M716)),0,(-W716+Poussee)/m*COS(M716)-U716/m*SIN(M716))</f>
        <v>-0.824179858714234</v>
      </c>
      <c r="E717" s="451" t="n">
        <f aca="false">IF(AND(L716&lt;L_rampe,Poussee&lt;Poids*SIN(M716)),0,(-W716+Poussee)/m*SIN(M716)+U716/m*COS(M716)-Poids/m)</f>
        <v>-4.0569338331361</v>
      </c>
      <c r="F717" s="449" t="n">
        <f aca="false">SQRT(acc_x^2+acc_z^2)</f>
        <v>4.13980489467252</v>
      </c>
      <c r="G717" s="450" t="n">
        <f aca="false">G716+acc_x*pas</f>
        <v>19.2392359823331</v>
      </c>
      <c r="H717" s="451" t="n">
        <f aca="false">H716+acc_z*pas</f>
        <v>-135.27765434793</v>
      </c>
      <c r="I717" s="449" t="n">
        <f aca="false">SQRT(vit_x^2+vit_z^2)</f>
        <v>136.638910882156</v>
      </c>
      <c r="J717" s="450" t="n">
        <f aca="false">J716+0.5*(vit_x+G716)*pas*(K716&gt;=0)</f>
        <v>1009.49603527836</v>
      </c>
      <c r="K717" s="451" t="n">
        <f aca="false">K716+0.5*(vit_z+H716)*pas</f>
        <v>42.013062638033</v>
      </c>
      <c r="L717" s="449" t="n">
        <f aca="false">SQRT(pos_x^2+pos_z^2)</f>
        <v>1010.36990388419</v>
      </c>
      <c r="M717" s="450" t="n">
        <f aca="false">IF(AND(L716&gt;L_rampe,G717&gt;0),ATAN2(G717,H717),$M$4)</f>
        <v>-1.42952338015773</v>
      </c>
      <c r="N717" s="449" t="n">
        <f aca="false">DEGREES(Beta)</f>
        <v>-81.9056563983137</v>
      </c>
      <c r="O717" s="438"/>
      <c r="P717" s="452" t="n">
        <f aca="false">MATCH(t-pas/2-T_ini,CdP_t)</f>
        <v>23</v>
      </c>
      <c r="Q717" s="449" t="n">
        <f aca="false">(INDEX(CdP,2,i_P+1)-INDEX(CdP,2,i_P+0))/(INDEX(CdP,1,i_P+1)-INDEX(CdP,1,i_P+0))*(t-pas/2-T_ini-INDEX(CdP,1,i_P+0))+INDEX(CdP,2,i_P+0)</f>
        <v>0</v>
      </c>
      <c r="R717" s="450" t="n">
        <f aca="false">Poussee/(g*ISP)</f>
        <v>0</v>
      </c>
      <c r="S717" s="451" t="n">
        <f aca="false">S716-Débit*pas</f>
        <v>8.652</v>
      </c>
      <c r="T717" s="449" t="n">
        <f aca="false">m*g</f>
        <v>84.87612</v>
      </c>
      <c r="U717" s="453" t="n">
        <f aca="false">IF(pos_xz&lt;L_rampe,Poids*COS(Beta),0)</f>
        <v>0</v>
      </c>
      <c r="V717" s="450" t="n">
        <f aca="false">Rho_moyen*(20000-Alt_rampe-pos_z)/(20000+Alt_rampe+pos_z)</f>
        <v>1.21986418838559</v>
      </c>
      <c r="W717" s="449" t="n">
        <f aca="false">1/2*Rho*Sref*Cx*vit_xz^2</f>
        <v>50.6403271003927</v>
      </c>
      <c r="X717" s="438"/>
      <c r="Y717" s="454" t="str">
        <f aca="false">IF(AND(pos_z&lt;=0,K716&gt;0),"Impact balistique","") &amp; IF(AND(H718&lt;0,vit_z&gt;=0),"Apogée","") &amp; IF(AND(Poussee=0,Q716&gt;0),"Fin de propulsion","") &amp; IF(AND(L718&gt;L_rampe,pos_xz&lt;=L_rampe),"Sortie de rampe","")</f>
        <v/>
      </c>
      <c r="Z717" s="455" t="str">
        <f aca="false">IF(ABS(t-T_para)&lt;pas/2,"Para","")</f>
        <v/>
      </c>
      <c r="AA717" s="456" t="str">
        <f aca="false">IF(ABS(t-T_satellite)&lt;pas/2,"Satellite","")</f>
        <v/>
      </c>
      <c r="AB717" s="444"/>
      <c r="AC717" s="452" t="e">
        <f aca="false">IF(ABS(t-ROUND(t,0))&lt;0.001,t,NA())</f>
        <v>#N/A</v>
      </c>
      <c r="AD717" s="457" t="e">
        <f aca="false">IF(ABS(t-ROUND(t,0))&lt;0.001,pos_x,NA())</f>
        <v>#N/A</v>
      </c>
      <c r="AE717" s="458" t="e">
        <f aca="false">IF(t&lt;T_para, pos_z, NA())</f>
        <v>#N/A</v>
      </c>
      <c r="AF717" s="444"/>
      <c r="AG717" s="450" t="n">
        <f aca="false">IF(AND(L716&lt;L_rampe,Poussee&lt;Poids*SIN(M716)),0,(-W716+Poussee)/m-Poids*SIN(M716)/m)</f>
        <v>3.89905510298906</v>
      </c>
      <c r="AH717" s="449" t="n">
        <f aca="false">IF(AND(L716&lt;L_rampe,Poussee&lt;Poids*SIN(M716)), g*SIN(M716), (-W716+Poussee)/m)</f>
        <v>-5.81180202345403</v>
      </c>
    </row>
    <row r="718" customFormat="false" ht="12" hidden="false" customHeight="false" outlineLevel="0" collapsed="false">
      <c r="A718" s="448" t="n">
        <f aca="false">IF(B717+0.01&lt;=T_ini+ROUNDUP(Temps_fin_propu,0), 0.01, IF(K717&gt;0, 0.1, 0.0001))</f>
        <v>0.1</v>
      </c>
      <c r="B718" s="449" t="n">
        <f aca="false">B717+pas</f>
        <v>35.4000000000002</v>
      </c>
      <c r="C718" s="432"/>
      <c r="D718" s="450" t="n">
        <f aca="false">IF(AND(L717&lt;L_rampe,Poussee&lt;Poids*SIN(M717)),0,(-W717+Poussee)/m*COS(M717)-U717/m*SIN(M717))</f>
        <v>-0.824125631192839</v>
      </c>
      <c r="E718" s="451" t="n">
        <f aca="false">IF(AND(L717&lt;L_rampe,Poussee&lt;Poids*SIN(M717)),0,(-W717+Poussee)/m*SIN(M717)+U717/m*COS(M717)-Poids/m)</f>
        <v>-4.01529056464879</v>
      </c>
      <c r="F718" s="449" t="n">
        <f aca="false">SQRT(acc_x^2+acc_z^2)</f>
        <v>4.09899272682284</v>
      </c>
      <c r="G718" s="450" t="n">
        <f aca="false">G717+acc_x*pas</f>
        <v>19.1568234192138</v>
      </c>
      <c r="H718" s="451" t="n">
        <f aca="false">H717+acc_z*pas</f>
        <v>-135.679183404395</v>
      </c>
      <c r="I718" s="449" t="n">
        <f aca="false">SQRT(vit_x^2+vit_z^2)</f>
        <v>137.024905374163</v>
      </c>
      <c r="J718" s="450" t="n">
        <f aca="false">J717+0.5*(vit_x+G717)*pas*(K717&gt;=0)</f>
        <v>1011.41583824843</v>
      </c>
      <c r="K718" s="451" t="n">
        <f aca="false">K717+0.5*(vit_z+H717)*pas</f>
        <v>28.4652207504168</v>
      </c>
      <c r="L718" s="449" t="n">
        <f aca="false">SQRT(pos_x^2+pos_z^2)</f>
        <v>1011.8163206097</v>
      </c>
      <c r="M718" s="450" t="n">
        <f aca="false">IF(AND(L717&gt;L_rampe,G718&gt;0),ATAN2(G718,H718),$M$4)</f>
        <v>-1.43053143230717</v>
      </c>
      <c r="N718" s="449" t="n">
        <f aca="false">DEGREES(Beta)</f>
        <v>-81.9634135320054</v>
      </c>
      <c r="O718" s="438"/>
      <c r="P718" s="452" t="n">
        <f aca="false">MATCH(t-pas/2-T_ini,CdP_t)</f>
        <v>23</v>
      </c>
      <c r="Q718" s="449" t="n">
        <f aca="false">(INDEX(CdP,2,i_P+1)-INDEX(CdP,2,i_P+0))/(INDEX(CdP,1,i_P+1)-INDEX(CdP,1,i_P+0))*(t-pas/2-T_ini-INDEX(CdP,1,i_P+0))+INDEX(CdP,2,i_P+0)</f>
        <v>0</v>
      </c>
      <c r="R718" s="450" t="n">
        <f aca="false">Poussee/(g*ISP)</f>
        <v>0</v>
      </c>
      <c r="S718" s="451" t="n">
        <f aca="false">S717-Débit*pas</f>
        <v>8.652</v>
      </c>
      <c r="T718" s="449" t="n">
        <f aca="false">m*g</f>
        <v>84.87612</v>
      </c>
      <c r="U718" s="453" t="n">
        <f aca="false">IF(pos_xz&lt;L_rampe,Poids*COS(Beta),0)</f>
        <v>0</v>
      </c>
      <c r="V718" s="450" t="n">
        <f aca="false">Rho_moyen*(20000-Alt_rampe-pos_z)/(20000+Alt_rampe+pos_z)</f>
        <v>1.22151796630097</v>
      </c>
      <c r="W718" s="449" t="n">
        <f aca="false">1/2*Rho*Sref*Cx*vit_xz^2</f>
        <v>50.9958831904509</v>
      </c>
      <c r="X718" s="438"/>
      <c r="Y718" s="454" t="str">
        <f aca="false">IF(AND(pos_z&lt;=0,K717&gt;0),"Impact balistique","") &amp; IF(AND(H719&lt;0,vit_z&gt;=0),"Apogée","") &amp; IF(AND(Poussee=0,Q717&gt;0),"Fin de propulsion","") &amp; IF(AND(L719&gt;L_rampe,pos_xz&lt;=L_rampe),"Sortie de rampe","")</f>
        <v/>
      </c>
      <c r="Z718" s="455" t="str">
        <f aca="false">IF(ABS(t-T_para)&lt;pas/2,"Para","")</f>
        <v/>
      </c>
      <c r="AA718" s="456" t="str">
        <f aca="false">IF(ABS(t-T_satellite)&lt;pas/2,"Satellite","")</f>
        <v/>
      </c>
      <c r="AB718" s="444"/>
      <c r="AC718" s="452" t="e">
        <f aca="false">IF(ABS(t-ROUND(t,0))&lt;0.001,t,NA())</f>
        <v>#N/A</v>
      </c>
      <c r="AD718" s="457" t="e">
        <f aca="false">IF(ABS(t-ROUND(t,0))&lt;0.001,pos_x,NA())</f>
        <v>#N/A</v>
      </c>
      <c r="AE718" s="458" t="e">
        <f aca="false">IF(t&lt;T_para, pos_z, NA())</f>
        <v>#N/A</v>
      </c>
      <c r="AF718" s="444"/>
      <c r="AG718" s="450" t="n">
        <f aca="false">IF(AND(L717&lt;L_rampe,Poussee&lt;Poids*SIN(M717)),0,(-W717+Poussee)/m-Poids*SIN(M717)/m)</f>
        <v>3.85924871772611</v>
      </c>
      <c r="AH718" s="449" t="n">
        <f aca="false">IF(AND(L717&lt;L_rampe,Poussee&lt;Poids*SIN(M717)), g*SIN(M717), (-W717+Poussee)/m)</f>
        <v>-5.85301977581977</v>
      </c>
    </row>
    <row r="719" customFormat="false" ht="12" hidden="false" customHeight="false" outlineLevel="0" collapsed="false">
      <c r="A719" s="448" t="n">
        <f aca="false">IF(B718+0.01&lt;=T_ini+ROUNDUP(Temps_fin_propu,0), 0.01, IF(K718&gt;0, 0.1, 0.0001))</f>
        <v>0.1</v>
      </c>
      <c r="B719" s="449" t="n">
        <f aca="false">B718+pas</f>
        <v>35.5000000000002</v>
      </c>
      <c r="C719" s="432"/>
      <c r="D719" s="450" t="n">
        <f aca="false">IF(AND(L718&lt;L_rampe,Poussee&lt;Poids*SIN(M718)),0,(-W718+Poussee)/m*COS(M718)-U718/m*SIN(M718))</f>
        <v>-0.824029182324105</v>
      </c>
      <c r="E719" s="451" t="n">
        <f aca="false">IF(AND(L718&lt;L_rampe,Poussee&lt;Poids*SIN(M718)),0,(-W718+Poussee)/m*SIN(M718)+U718/m*COS(M718)-Poids/m)</f>
        <v>-3.97377109542132</v>
      </c>
      <c r="F719" s="449" t="n">
        <f aca="false">SQRT(acc_x^2+acc_z^2)</f>
        <v>4.05831009314563</v>
      </c>
      <c r="G719" s="450" t="n">
        <f aca="false">G718+acc_x*pas</f>
        <v>19.0744205009814</v>
      </c>
      <c r="H719" s="451" t="n">
        <f aca="false">H718+acc_z*pas</f>
        <v>-136.076560513937</v>
      </c>
      <c r="I719" s="449" t="n">
        <f aca="false">SQRT(vit_x^2+vit_z^2)</f>
        <v>137.406927913957</v>
      </c>
      <c r="J719" s="450" t="n">
        <f aca="false">J718+0.5*(vit_x+G718)*pas*(K718&gt;=0)</f>
        <v>1013.32740044444</v>
      </c>
      <c r="K719" s="451" t="n">
        <f aca="false">K718+0.5*(vit_z+H718)*pas</f>
        <v>14.8774335545002</v>
      </c>
      <c r="L719" s="449" t="n">
        <f aca="false">SQRT(pos_x^2+pos_z^2)</f>
        <v>1013.43660804249</v>
      </c>
      <c r="M719" s="450" t="n">
        <f aca="false">IF(AND(L718&gt;L_rampe,G719&gt;0),ATAN2(G719,H719),$M$4)</f>
        <v>-1.43152955616105</v>
      </c>
      <c r="N719" s="449" t="n">
        <f aca="false">DEGREES(Beta)</f>
        <v>-82.0206018162641</v>
      </c>
      <c r="O719" s="438"/>
      <c r="P719" s="452" t="n">
        <f aca="false">MATCH(t-pas/2-T_ini,CdP_t)</f>
        <v>23</v>
      </c>
      <c r="Q719" s="449" t="n">
        <f aca="false">(INDEX(CdP,2,i_P+1)-INDEX(CdP,2,i_P+0))/(INDEX(CdP,1,i_P+1)-INDEX(CdP,1,i_P+0))*(t-pas/2-T_ini-INDEX(CdP,1,i_P+0))+INDEX(CdP,2,i_P+0)</f>
        <v>0</v>
      </c>
      <c r="R719" s="450" t="n">
        <f aca="false">Poussee/(g*ISP)</f>
        <v>0</v>
      </c>
      <c r="S719" s="451" t="n">
        <f aca="false">S718-Débit*pas</f>
        <v>8.652</v>
      </c>
      <c r="T719" s="449" t="n">
        <f aca="false">m*g</f>
        <v>84.87612</v>
      </c>
      <c r="U719" s="453" t="n">
        <f aca="false">IF(pos_xz&lt;L_rampe,Poids*COS(Beta),0)</f>
        <v>0</v>
      </c>
      <c r="V719" s="450" t="n">
        <f aca="false">Rho_moyen*(20000-Alt_rampe-pos_z)/(20000+Alt_rampe+pos_z)</f>
        <v>1.22317886907729</v>
      </c>
      <c r="W719" s="449" t="n">
        <f aca="false">1/2*Rho*Sref*Cx*vit_xz^2</f>
        <v>51.3503569360291</v>
      </c>
      <c r="X719" s="438"/>
      <c r="Y719" s="454" t="str">
        <f aca="false">IF(AND(pos_z&lt;=0,K718&gt;0),"Impact balistique","") &amp; IF(AND(H720&lt;0,vit_z&gt;=0),"Apogée","") &amp; IF(AND(Poussee=0,Q718&gt;0),"Fin de propulsion","") &amp; IF(AND(L720&gt;L_rampe,pos_xz&lt;=L_rampe),"Sortie de rampe","")</f>
        <v/>
      </c>
      <c r="Z719" s="455" t="str">
        <f aca="false">IF(ABS(t-T_para)&lt;pas/2,"Para","")</f>
        <v/>
      </c>
      <c r="AA719" s="456" t="str">
        <f aca="false">IF(ABS(t-T_satellite)&lt;pas/2,"Satellite","")</f>
        <v/>
      </c>
      <c r="AB719" s="444"/>
      <c r="AC719" s="452" t="e">
        <f aca="false">IF(ABS(t-ROUND(t,0))&lt;0.001,t,NA())</f>
        <v>#N/A</v>
      </c>
      <c r="AD719" s="457" t="e">
        <f aca="false">IF(ABS(t-ROUND(t,0))&lt;0.001,pos_x,NA())</f>
        <v>#N/A</v>
      </c>
      <c r="AE719" s="458" t="e">
        <f aca="false">IF(t&lt;T_para, pos_z, NA())</f>
        <v>#N/A</v>
      </c>
      <c r="AF719" s="444"/>
      <c r="AG719" s="450" t="n">
        <f aca="false">IF(AND(L718&lt;L_rampe,Poussee&lt;Poids*SIN(M718)),0,(-W718+Poussee)/m-Poids*SIN(M718)/m)</f>
        <v>3.81954093889398</v>
      </c>
      <c r="AH719" s="449" t="n">
        <f aca="false">IF(AND(L718&lt;L_rampe,Poussee&lt;Poids*SIN(M718)), g*SIN(M718), (-W718+Poussee)/m)</f>
        <v>-5.89411502432396</v>
      </c>
    </row>
    <row r="720" customFormat="false" ht="12" hidden="false" customHeight="false" outlineLevel="0" collapsed="false">
      <c r="A720" s="448" t="n">
        <f aca="false">IF(B719+0.01&lt;=T_ini+ROUNDUP(Temps_fin_propu,0), 0.01, IF(K719&gt;0, 0.1, 0.0001))</f>
        <v>0.1</v>
      </c>
      <c r="B720" s="449" t="n">
        <f aca="false">B719+pas</f>
        <v>35.6000000000002</v>
      </c>
      <c r="C720" s="432"/>
      <c r="D720" s="450" t="n">
        <f aca="false">IF(AND(L719&lt;L_rampe,Poussee&lt;Poids*SIN(M719)),0,(-W719+Poussee)/m*COS(M719)-U719/m*SIN(M719))</f>
        <v>-0.823890847863463</v>
      </c>
      <c r="E720" s="451" t="n">
        <f aca="false">IF(AND(L719&lt;L_rampe,Poussee&lt;Poids*SIN(M719)),0,(-W719+Poussee)/m*SIN(M719)+U719/m*COS(M719)-Poids/m)</f>
        <v>-3.93237803972064</v>
      </c>
      <c r="F720" s="449" t="n">
        <f aca="false">SQRT(acc_x^2+acc_z^2)</f>
        <v>4.01775972109711</v>
      </c>
      <c r="G720" s="450" t="n">
        <f aca="false">G719+acc_x*pas</f>
        <v>18.992031416195</v>
      </c>
      <c r="H720" s="451" t="n">
        <f aca="false">H719+acc_z*pas</f>
        <v>-136.469798317909</v>
      </c>
      <c r="I720" s="449" t="n">
        <f aca="false">SQRT(vit_x^2+vit_z^2)</f>
        <v>137.784988697044</v>
      </c>
      <c r="J720" s="450" t="n">
        <f aca="false">J719+0.5*(vit_x+G719)*pas*(K719&gt;=0)</f>
        <v>1015.2307230403</v>
      </c>
      <c r="K720" s="451" t="n">
        <f aca="false">K719+0.5*(vit_z+H719)*pas</f>
        <v>1.25011561290793</v>
      </c>
      <c r="L720" s="449" t="n">
        <f aca="false">SQRT(pos_x^2+pos_z^2)</f>
        <v>1015.23149271187</v>
      </c>
      <c r="M720" s="450" t="n">
        <f aca="false">IF(AND(L719&gt;L_rampe,G720&gt;0),ATAN2(G720,H720),$M$4)</f>
        <v>-1.43251790417919</v>
      </c>
      <c r="N720" s="449" t="n">
        <f aca="false">DEGREES(Beta)</f>
        <v>-82.0772299863938</v>
      </c>
      <c r="O720" s="438"/>
      <c r="P720" s="452" t="n">
        <f aca="false">MATCH(t-pas/2-T_ini,CdP_t)</f>
        <v>23</v>
      </c>
      <c r="Q720" s="449" t="n">
        <f aca="false">(INDEX(CdP,2,i_P+1)-INDEX(CdP,2,i_P+0))/(INDEX(CdP,1,i_P+1)-INDEX(CdP,1,i_P+0))*(t-pas/2-T_ini-INDEX(CdP,1,i_P+0))+INDEX(CdP,2,i_P+0)</f>
        <v>0</v>
      </c>
      <c r="R720" s="450" t="n">
        <f aca="false">Poussee/(g*ISP)</f>
        <v>0</v>
      </c>
      <c r="S720" s="451" t="n">
        <f aca="false">S719-Débit*pas</f>
        <v>8.652</v>
      </c>
      <c r="T720" s="449" t="n">
        <f aca="false">m*g</f>
        <v>84.87612</v>
      </c>
      <c r="U720" s="453" t="n">
        <f aca="false">IF(pos_xz&lt;L_rampe,Poids*COS(Beta),0)</f>
        <v>0</v>
      </c>
      <c r="V720" s="450" t="n">
        <f aca="false">Rho_moyen*(20000-Alt_rampe-pos_z)/(20000+Alt_rampe+pos_z)</f>
        <v>1.2248468704089</v>
      </c>
      <c r="W720" s="449" t="n">
        <f aca="false">1/2*Rho*Sref*Cx*vit_xz^2</f>
        <v>51.7037262740413</v>
      </c>
      <c r="X720" s="438"/>
      <c r="Y720" s="454" t="str">
        <f aca="false">IF(AND(pos_z&lt;=0,K719&gt;0),"Impact balistique","") &amp; IF(AND(H721&lt;0,vit_z&gt;=0),"Apogée","") &amp; IF(AND(Poussee=0,Q719&gt;0),"Fin de propulsion","") &amp; IF(AND(L721&gt;L_rampe,pos_xz&lt;=L_rampe),"Sortie de rampe","")</f>
        <v/>
      </c>
      <c r="Z720" s="455" t="str">
        <f aca="false">IF(ABS(t-T_para)&lt;pas/2,"Para","")</f>
        <v/>
      </c>
      <c r="AA720" s="456" t="str">
        <f aca="false">IF(ABS(t-T_satellite)&lt;pas/2,"Satellite","")</f>
        <v/>
      </c>
      <c r="AB720" s="444"/>
      <c r="AC720" s="452" t="e">
        <f aca="false">IF(ABS(t-ROUND(t,0))&lt;0.001,t,NA())</f>
        <v>#N/A</v>
      </c>
      <c r="AD720" s="457" t="e">
        <f aca="false">IF(ABS(t-ROUND(t,0))&lt;0.001,pos_x,NA())</f>
        <v>#N/A</v>
      </c>
      <c r="AE720" s="458" t="e">
        <f aca="false">IF(t&lt;T_para, pos_z, NA())</f>
        <v>#N/A</v>
      </c>
      <c r="AF720" s="444"/>
      <c r="AG720" s="450" t="n">
        <f aca="false">IF(AND(L719&lt;L_rampe,Poussee&lt;Poids*SIN(M719)),0,(-W719+Poussee)/m-Poids*SIN(M719)/m)</f>
        <v>3.77993486712621</v>
      </c>
      <c r="AH720" s="449" t="n">
        <f aca="false">IF(AND(L719&lt;L_rampe,Poussee&lt;Poids*SIN(M719)), g*SIN(M719), (-W719+Poussee)/m)</f>
        <v>-5.93508517522296</v>
      </c>
    </row>
    <row r="721" customFormat="false" ht="12" hidden="false" customHeight="false" outlineLevel="0" collapsed="false">
      <c r="A721" s="448" t="n">
        <f aca="false">IF(B720+0.01&lt;=T_ini+ROUNDUP(Temps_fin_propu,0), 0.01, IF(K720&gt;0, 0.1, 0.0001))</f>
        <v>0.1</v>
      </c>
      <c r="B721" s="449" t="n">
        <f aca="false">B720+pas</f>
        <v>35.7000000000002</v>
      </c>
      <c r="C721" s="432"/>
      <c r="D721" s="450" t="n">
        <f aca="false">IF(AND(L720&lt;L_rampe,Poussee&lt;Poids*SIN(M720)),0,(-W720+Poussee)/m*COS(M720)-U720/m*SIN(M720))</f>
        <v>-0.823710966510163</v>
      </c>
      <c r="E721" s="451" t="n">
        <f aca="false">IF(AND(L720&lt;L_rampe,Poussee&lt;Poids*SIN(M720)),0,(-W720+Poussee)/m*SIN(M720)+U720/m*COS(M720)-Poids/m)</f>
        <v>-3.89111396782784</v>
      </c>
      <c r="F721" s="449" t="n">
        <f aca="false">SQRT(acc_x^2+acc_z^2)</f>
        <v>3.97734429826914</v>
      </c>
      <c r="G721" s="450" t="n">
        <f aca="false">G720+acc_x*pas</f>
        <v>18.909660319544</v>
      </c>
      <c r="H721" s="451" t="n">
        <f aca="false">H720+acc_z*pas</f>
        <v>-136.858909714692</v>
      </c>
      <c r="I721" s="449" t="n">
        <f aca="false">SQRT(vit_x^2+vit_z^2)</f>
        <v>138.159098222646</v>
      </c>
      <c r="J721" s="450" t="n">
        <f aca="false">J720+0.5*(vit_x+G720)*pas*(K720&gt;=0)</f>
        <v>1017.12580762709</v>
      </c>
      <c r="K721" s="451" t="n">
        <f aca="false">K720+0.5*(vit_z+H720)*pas</f>
        <v>-12.4163197887221</v>
      </c>
      <c r="L721" s="449" t="n">
        <f aca="false">SQRT(pos_x^2+pos_z^2)</f>
        <v>1017.20158942962</v>
      </c>
      <c r="M721" s="450" t="n">
        <f aca="false">IF(AND(L720&gt;L_rampe,G721&gt;0),ATAN2(G721,H721),$M$4)</f>
        <v>-1.43349662561867</v>
      </c>
      <c r="N721" s="449" t="n">
        <f aca="false">DEGREES(Beta)</f>
        <v>-82.1333065941947</v>
      </c>
      <c r="O721" s="438"/>
      <c r="P721" s="452" t="n">
        <f aca="false">MATCH(t-pas/2-T_ini,CdP_t)</f>
        <v>23</v>
      </c>
      <c r="Q721" s="449" t="n">
        <f aca="false">(INDEX(CdP,2,i_P+1)-INDEX(CdP,2,i_P+0))/(INDEX(CdP,1,i_P+1)-INDEX(CdP,1,i_P+0))*(t-pas/2-T_ini-INDEX(CdP,1,i_P+0))+INDEX(CdP,2,i_P+0)</f>
        <v>0</v>
      </c>
      <c r="R721" s="450" t="n">
        <f aca="false">Poussee/(g*ISP)</f>
        <v>0</v>
      </c>
      <c r="S721" s="451" t="n">
        <f aca="false">S720-Débit*pas</f>
        <v>8.652</v>
      </c>
      <c r="T721" s="449" t="n">
        <f aca="false">m*g</f>
        <v>84.87612</v>
      </c>
      <c r="U721" s="453" t="n">
        <f aca="false">IF(pos_xz&lt;L_rampe,Poids*COS(Beta),0)</f>
        <v>0</v>
      </c>
      <c r="V721" s="450" t="n">
        <f aca="false">Rho_moyen*(20000-Alt_rampe-pos_z)/(20000+Alt_rampe+pos_z)</f>
        <v>1.2265219440213</v>
      </c>
      <c r="W721" s="449" t="n">
        <f aca="false">1/2*Rho*Sref*Cx*vit_xz^2</f>
        <v>52.055969519589</v>
      </c>
      <c r="X721" s="438"/>
      <c r="Y721" s="454" t="str">
        <f aca="false">IF(AND(pos_z&lt;=0,K720&gt;0),"Impact balistique","") &amp; IF(AND(H722&lt;0,vit_z&gt;=0),"Apogée","") &amp; IF(AND(Poussee=0,Q720&gt;0),"Fin de propulsion","") &amp; IF(AND(L722&gt;L_rampe,pos_xz&lt;=L_rampe),"Sortie de rampe","")</f>
        <v>Impact balistique</v>
      </c>
      <c r="Z721" s="455" t="str">
        <f aca="false">IF(ABS(t-T_para)&lt;pas/2,"Para","")</f>
        <v/>
      </c>
      <c r="AA721" s="456" t="str">
        <f aca="false">IF(ABS(t-T_satellite)&lt;pas/2,"Satellite","")</f>
        <v/>
      </c>
      <c r="AB721" s="444"/>
      <c r="AC721" s="452" t="e">
        <f aca="false">IF(ABS(t-ROUND(t,0))&lt;0.001,t,NA())</f>
        <v>#N/A</v>
      </c>
      <c r="AD721" s="457" t="e">
        <f aca="false">IF(ABS(t-ROUND(t,0))&lt;0.001,pos_x,NA())</f>
        <v>#N/A</v>
      </c>
      <c r="AE721" s="458" t="e">
        <f aca="false">IF(t&lt;T_para, pos_z, NA())</f>
        <v>#N/A</v>
      </c>
      <c r="AF721" s="444"/>
      <c r="AG721" s="450" t="n">
        <f aca="false">IF(AND(L720&lt;L_rampe,Poussee&lt;Poids*SIN(M720)),0,(-W720+Poussee)/m-Poids*SIN(M720)/m)</f>
        <v>3.74043354607247</v>
      </c>
      <c r="AH721" s="449" t="n">
        <f aca="false">IF(AND(L720&lt;L_rampe,Poussee&lt;Poids*SIN(M720)), g*SIN(M720), (-W720+Poussee)/m)</f>
        <v>-5.97592767846062</v>
      </c>
    </row>
    <row r="722" customFormat="false" ht="12" hidden="false" customHeight="false" outlineLevel="0" collapsed="false">
      <c r="A722" s="448" t="n">
        <f aca="false">IF(B721+0.01&lt;=T_ini+ROUNDUP(Temps_fin_propu,0), 0.01, IF(K721&gt;0, 0.1, 0.0001))</f>
        <v>0.0001</v>
      </c>
      <c r="B722" s="449" t="n">
        <f aca="false">B721+pas</f>
        <v>35.7001000000002</v>
      </c>
      <c r="C722" s="432"/>
      <c r="D722" s="450" t="n">
        <f aca="false">IF(AND(L721&lt;L_rampe,Poussee&lt;Poids*SIN(M721)),0,(-W721+Poussee)/m*COS(M721)-U721/m*SIN(M721))</f>
        <v>-0.823489879799855</v>
      </c>
      <c r="E722" s="451" t="n">
        <f aca="false">IF(AND(L721&lt;L_rampe,Poussee&lt;Poids*SIN(M721)),0,(-W721+Poussee)/m*SIN(M721)+U721/m*COS(M721)-Poids/m)</f>
        <v>-3.84998140601141</v>
      </c>
      <c r="F722" s="449" t="n">
        <f aca="false">SQRT(acc_x^2+acc_z^2)</f>
        <v>3.93706647248511</v>
      </c>
      <c r="G722" s="450" t="n">
        <f aca="false">G721+acc_x*pas</f>
        <v>18.909577970556</v>
      </c>
      <c r="H722" s="451" t="n">
        <f aca="false">H721+acc_z*pas</f>
        <v>-136.859294712832</v>
      </c>
      <c r="I722" s="449" t="n">
        <f aca="false">SQRT(vit_x^2+vit_z^2)</f>
        <v>138.159468326707</v>
      </c>
      <c r="J722" s="450" t="n">
        <f aca="false">J721+0.5*(vit_x+G721)*pas*(K721&gt;=0)</f>
        <v>1017.12580762709</v>
      </c>
      <c r="K722" s="451" t="n">
        <f aca="false">K721+0.5*(vit_z+H721)*pas</f>
        <v>-12.4300056989435</v>
      </c>
      <c r="L722" s="449" t="n">
        <f aca="false">SQRT(pos_x^2+pos_z^2)</f>
        <v>1017.20175657671</v>
      </c>
      <c r="M722" s="450" t="n">
        <f aca="false">IF(AND(L721&gt;L_rampe,G722&gt;0),ATAN2(G722,H722),$M$4)</f>
        <v>-1.43349759745379</v>
      </c>
      <c r="N722" s="449" t="n">
        <f aca="false">DEGREES(Beta)</f>
        <v>-82.1333622762457</v>
      </c>
      <c r="O722" s="438"/>
      <c r="P722" s="452" t="n">
        <f aca="false">MATCH(t-pas/2-T_ini,CdP_t)</f>
        <v>23</v>
      </c>
      <c r="Q722" s="449" t="n">
        <f aca="false">(INDEX(CdP,2,i_P+1)-INDEX(CdP,2,i_P+0))/(INDEX(CdP,1,i_P+1)-INDEX(CdP,1,i_P+0))*(t-pas/2-T_ini-INDEX(CdP,1,i_P+0))+INDEX(CdP,2,i_P+0)</f>
        <v>0</v>
      </c>
      <c r="R722" s="450" t="n">
        <f aca="false">Poussee/(g*ISP)</f>
        <v>0</v>
      </c>
      <c r="S722" s="451" t="n">
        <f aca="false">S721-Débit*pas</f>
        <v>8.652</v>
      </c>
      <c r="T722" s="449" t="n">
        <f aca="false">m*g</f>
        <v>84.87612</v>
      </c>
      <c r="U722" s="453" t="n">
        <f aca="false">IF(pos_xz&lt;L_rampe,Poids*COS(Beta),0)</f>
        <v>0</v>
      </c>
      <c r="V722" s="450" t="n">
        <f aca="false">Rho_moyen*(20000-Alt_rampe-pos_z)/(20000+Alt_rampe+pos_z)</f>
        <v>1.22652362263002</v>
      </c>
      <c r="W722" s="449" t="n">
        <f aca="false">1/2*Rho*Sref*Cx*vit_xz^2</f>
        <v>52.0563196614296</v>
      </c>
      <c r="X722" s="438"/>
      <c r="Y722" s="454" t="str">
        <f aca="false">IF(AND(pos_z&lt;=0,K721&gt;0),"Impact balistique","") &amp; IF(AND(H723&lt;0,vit_z&gt;=0),"Apogée","") &amp; IF(AND(Poussee=0,Q721&gt;0),"Fin de propulsion","") &amp; IF(AND(L723&gt;L_rampe,pos_xz&lt;=L_rampe),"Sortie de rampe","")</f>
        <v/>
      </c>
      <c r="Z722" s="455" t="str">
        <f aca="false">IF(ABS(t-T_para)&lt;pas/2,"Para","")</f>
        <v/>
      </c>
      <c r="AA722" s="456" t="str">
        <f aca="false">IF(ABS(t-T_satellite)&lt;pas/2,"Satellite","")</f>
        <v/>
      </c>
      <c r="AB722" s="444"/>
      <c r="AC722" s="452" t="e">
        <f aca="false">IF(ABS(t-ROUND(t,0))&lt;0.001,t,NA())</f>
        <v>#N/A</v>
      </c>
      <c r="AD722" s="457" t="e">
        <f aca="false">IF(ABS(t-ROUND(t,0))&lt;0.001,pos_x,NA())</f>
        <v>#N/A</v>
      </c>
      <c r="AE722" s="458" t="e">
        <f aca="false">IF(t&lt;T_para, pos_z, NA())</f>
        <v>#N/A</v>
      </c>
      <c r="AF722" s="444"/>
      <c r="AG722" s="450" t="n">
        <f aca="false">IF(AND(L721&lt;L_rampe,Poussee&lt;Poids*SIN(M721)),0,(-W721+Poussee)/m-Poids*SIN(M721)/m)</f>
        <v>3.70103996278942</v>
      </c>
      <c r="AH722" s="449" t="n">
        <f aca="false">IF(AND(L721&lt;L_rampe,Poussee&lt;Poids*SIN(M721)), g*SIN(M721), (-W721+Poussee)/m)</f>
        <v>-6.01664002769175</v>
      </c>
    </row>
    <row r="723" customFormat="false" ht="12" hidden="false" customHeight="false" outlineLevel="0" collapsed="false">
      <c r="A723" s="448" t="n">
        <f aca="false">IF(B722+0.01&lt;=T_ini+ROUNDUP(Temps_fin_propu,0), 0.01, IF(K722&gt;0, 0.1, 0.0001))</f>
        <v>0.0001</v>
      </c>
      <c r="B723" s="449" t="n">
        <f aca="false">B722+pas</f>
        <v>35.7002000000002</v>
      </c>
      <c r="C723" s="432"/>
      <c r="D723" s="450" t="n">
        <f aca="false">IF(AND(L722&lt;L_rampe,Poussee&lt;Poids*SIN(M722)),0,(-W722+Poussee)/m*COS(M722)-U722/m*SIN(M722))</f>
        <v>-0.823489626609838</v>
      </c>
      <c r="E723" s="451" t="n">
        <f aca="false">IF(AND(L722&lt;L_rampe,Poussee&lt;Poids*SIN(M722)),0,(-W722+Poussee)/m*SIN(M722)+U722/m*COS(M722)-Poids/m)</f>
        <v>-3.84994051709437</v>
      </c>
      <c r="F723" s="449" t="n">
        <f aca="false">SQRT(acc_x^2+acc_z^2)</f>
        <v>3.93702643505208</v>
      </c>
      <c r="G723" s="450" t="n">
        <f aca="false">G722+acc_x*pas</f>
        <v>18.9094956215934</v>
      </c>
      <c r="H723" s="451" t="n">
        <f aca="false">H722+acc_z*pas</f>
        <v>-136.859679706884</v>
      </c>
      <c r="I723" s="449" t="n">
        <f aca="false">SQRT(vit_x^2+vit_z^2)</f>
        <v>138.159838426852</v>
      </c>
      <c r="J723" s="450" t="n">
        <f aca="false">J722+0.5*(vit_x+G722)*pas*(K722&gt;=0)</f>
        <v>1017.12580762709</v>
      </c>
      <c r="K723" s="451" t="n">
        <f aca="false">K722+0.5*(vit_z+H722)*pas</f>
        <v>-12.4436916476644</v>
      </c>
      <c r="L723" s="449" t="n">
        <f aca="false">SQRT(pos_x^2+pos_z^2)</f>
        <v>1017.20192390837</v>
      </c>
      <c r="M723" s="450" t="n">
        <f aca="false">IF(AND(L722&gt;L_rampe,G723&gt;0),ATAN2(G723,H723),$M$4)</f>
        <v>-1.43349856927948</v>
      </c>
      <c r="N723" s="449" t="n">
        <f aca="false">DEGREES(Beta)</f>
        <v>-82.133417957756</v>
      </c>
      <c r="O723" s="438"/>
      <c r="P723" s="452" t="n">
        <f aca="false">MATCH(t-pas/2-T_ini,CdP_t)</f>
        <v>23</v>
      </c>
      <c r="Q723" s="449" t="n">
        <f aca="false">(INDEX(CdP,2,i_P+1)-INDEX(CdP,2,i_P+0))/(INDEX(CdP,1,i_P+1)-INDEX(CdP,1,i_P+0))*(t-pas/2-T_ini-INDEX(CdP,1,i_P+0))+INDEX(CdP,2,i_P+0)</f>
        <v>0</v>
      </c>
      <c r="R723" s="450" t="n">
        <f aca="false">Poussee/(g*ISP)</f>
        <v>0</v>
      </c>
      <c r="S723" s="451" t="n">
        <f aca="false">S722-Débit*pas</f>
        <v>8.652</v>
      </c>
      <c r="T723" s="449" t="n">
        <f aca="false">m*g</f>
        <v>84.87612</v>
      </c>
      <c r="U723" s="453" t="n">
        <f aca="false">IF(pos_xz&lt;L_rampe,Poids*COS(Beta),0)</f>
        <v>0</v>
      </c>
      <c r="V723" s="450" t="n">
        <f aca="false">Rho_moyen*(20000-Alt_rampe-pos_z)/(20000+Alt_rampe+pos_z)</f>
        <v>1.22652530124576</v>
      </c>
      <c r="W723" s="449" t="n">
        <f aca="false">1/2*Rho*Sref*Cx*vit_xz^2</f>
        <v>52.0566698021274</v>
      </c>
      <c r="X723" s="438"/>
      <c r="Y723" s="454" t="str">
        <f aca="false">IF(AND(pos_z&lt;=0,K722&gt;0),"Impact balistique","") &amp; IF(AND(H724&lt;0,vit_z&gt;=0),"Apogée","") &amp; IF(AND(Poussee=0,Q722&gt;0),"Fin de propulsion","") &amp; IF(AND(L724&gt;L_rampe,pos_xz&lt;=L_rampe),"Sortie de rampe","")</f>
        <v/>
      </c>
      <c r="Z723" s="455" t="str">
        <f aca="false">IF(ABS(t-T_para)&lt;pas/2,"Para","")</f>
        <v/>
      </c>
      <c r="AA723" s="456" t="str">
        <f aca="false">IF(ABS(t-T_satellite)&lt;pas/2,"Satellite","")</f>
        <v/>
      </c>
      <c r="AB723" s="444"/>
      <c r="AC723" s="452" t="e">
        <f aca="false">IF(ABS(t-ROUND(t,0))&lt;0.001,t,NA())</f>
        <v>#N/A</v>
      </c>
      <c r="AD723" s="457" t="e">
        <f aca="false">IF(ABS(t-ROUND(t,0))&lt;0.001,pos_x,NA())</f>
        <v>#N/A</v>
      </c>
      <c r="AE723" s="458" t="e">
        <f aca="false">IF(t&lt;T_para, pos_z, NA())</f>
        <v>#N/A</v>
      </c>
      <c r="AF723" s="444"/>
      <c r="AG723" s="450" t="n">
        <f aca="false">IF(AND(L722&lt;L_rampe,Poussee&lt;Poids*SIN(M722)),0,(-W722+Poussee)/m-Poids*SIN(M722)/m)</f>
        <v>3.70100079818219</v>
      </c>
      <c r="AH723" s="449" t="n">
        <f aca="false">IF(AND(L722&lt;L_rampe,Poussee&lt;Poids*SIN(M722)), g*SIN(M722), (-W722+Poussee)/m)</f>
        <v>-6.01668049716015</v>
      </c>
    </row>
    <row r="724" customFormat="false" ht="12" hidden="false" customHeight="false" outlineLevel="0" collapsed="false">
      <c r="A724" s="448" t="n">
        <f aca="false">IF(B723+0.01&lt;=T_ini+ROUNDUP(Temps_fin_propu,0), 0.01, IF(K723&gt;0, 0.1, 0.0001))</f>
        <v>0.0001</v>
      </c>
      <c r="B724" s="449" t="n">
        <f aca="false">B723+pas</f>
        <v>35.7003000000002</v>
      </c>
      <c r="C724" s="432"/>
      <c r="D724" s="450" t="n">
        <f aca="false">IF(AND(L723&lt;L_rampe,Poussee&lt;Poids*SIN(M723)),0,(-W723+Poussee)/m*COS(M723)-U723/m*SIN(M723))</f>
        <v>-0.823489373379301</v>
      </c>
      <c r="E724" s="451" t="n">
        <f aca="false">IF(AND(L723&lt;L_rampe,Poussee&lt;Poids*SIN(M723)),0,(-W723+Poussee)/m*SIN(M723)+U723/m*COS(M723)-Poids/m)</f>
        <v>-3.84989962831083</v>
      </c>
      <c r="F724" s="449" t="n">
        <f aca="false">SQRT(acc_x^2+acc_z^2)</f>
        <v>3.93698639775863</v>
      </c>
      <c r="G724" s="450" t="n">
        <f aca="false">G723+acc_x*pas</f>
        <v>18.9094132726561</v>
      </c>
      <c r="H724" s="451" t="n">
        <f aca="false">H723+acc_z*pas</f>
        <v>-136.860064696847</v>
      </c>
      <c r="I724" s="449" t="n">
        <f aca="false">SQRT(vit_x^2+vit_z^2)</f>
        <v>138.160208523081</v>
      </c>
      <c r="J724" s="450" t="n">
        <f aca="false">J723+0.5*(vit_x+G723)*pas*(K723&gt;=0)</f>
        <v>1017.12580762709</v>
      </c>
      <c r="K724" s="451" t="n">
        <f aca="false">K723+0.5*(vit_z+H723)*pas</f>
        <v>-12.4573776348846</v>
      </c>
      <c r="L724" s="449" t="n">
        <f aca="false">SQRT(pos_x^2+pos_z^2)</f>
        <v>1017.20209142461</v>
      </c>
      <c r="M724" s="450" t="n">
        <f aca="false">IF(AND(L723&gt;L_rampe,G724&gt;0),ATAN2(G724,H724),$M$4)</f>
        <v>-1.43349954109573</v>
      </c>
      <c r="N724" s="449" t="n">
        <f aca="false">DEGREES(Beta)</f>
        <v>-82.1334736387254</v>
      </c>
      <c r="O724" s="438"/>
      <c r="P724" s="452" t="n">
        <f aca="false">MATCH(t-pas/2-T_ini,CdP_t)</f>
        <v>23</v>
      </c>
      <c r="Q724" s="449" t="n">
        <f aca="false">(INDEX(CdP,2,i_P+1)-INDEX(CdP,2,i_P+0))/(INDEX(CdP,1,i_P+1)-INDEX(CdP,1,i_P+0))*(t-pas/2-T_ini-INDEX(CdP,1,i_P+0))+INDEX(CdP,2,i_P+0)</f>
        <v>0</v>
      </c>
      <c r="R724" s="450" t="n">
        <f aca="false">Poussee/(g*ISP)</f>
        <v>0</v>
      </c>
      <c r="S724" s="451" t="n">
        <f aca="false">S723-Débit*pas</f>
        <v>8.652</v>
      </c>
      <c r="T724" s="449" t="n">
        <f aca="false">m*g</f>
        <v>84.87612</v>
      </c>
      <c r="U724" s="453" t="n">
        <f aca="false">IF(pos_xz&lt;L_rampe,Poids*COS(Beta),0)</f>
        <v>0</v>
      </c>
      <c r="V724" s="450" t="n">
        <f aca="false">Rho_moyen*(20000-Alt_rampe-pos_z)/(20000+Alt_rampe+pos_z)</f>
        <v>1.22652697986852</v>
      </c>
      <c r="W724" s="449" t="n">
        <f aca="false">1/2*Rho*Sref*Cx*vit_xz^2</f>
        <v>52.0570199416822</v>
      </c>
      <c r="X724" s="438"/>
      <c r="Y724" s="454" t="str">
        <f aca="false">IF(AND(pos_z&lt;=0,K723&gt;0),"Impact balistique","") &amp; IF(AND(H725&lt;0,vit_z&gt;=0),"Apogée","") &amp; IF(AND(Poussee=0,Q723&gt;0),"Fin de propulsion","") &amp; IF(AND(L725&gt;L_rampe,pos_xz&lt;=L_rampe),"Sortie de rampe","")</f>
        <v/>
      </c>
      <c r="Z724" s="455" t="str">
        <f aca="false">IF(ABS(t-T_para)&lt;pas/2,"Para","")</f>
        <v/>
      </c>
      <c r="AA724" s="456" t="str">
        <f aca="false">IF(ABS(t-T_satellite)&lt;pas/2,"Satellite","")</f>
        <v/>
      </c>
      <c r="AB724" s="444"/>
      <c r="AC724" s="452" t="e">
        <f aca="false">IF(ABS(t-ROUND(t,0))&lt;0.001,t,NA())</f>
        <v>#N/A</v>
      </c>
      <c r="AD724" s="457" t="e">
        <f aca="false">IF(ABS(t-ROUND(t,0))&lt;0.001,pos_x,NA())</f>
        <v>#N/A</v>
      </c>
      <c r="AE724" s="458" t="e">
        <f aca="false">IF(t&lt;T_para, pos_z, NA())</f>
        <v>#N/A</v>
      </c>
      <c r="AF724" s="444"/>
      <c r="AG724" s="450" t="n">
        <f aca="false">IF(AND(L723&lt;L_rampe,Poussee&lt;Poids*SIN(M723)),0,(-W723+Poussee)/m-Poids*SIN(M723)/m)</f>
        <v>3.7009616336852</v>
      </c>
      <c r="AH724" s="449" t="n">
        <f aca="false">IF(AND(L723&lt;L_rampe,Poussee&lt;Poids*SIN(M723)), g*SIN(M723), (-W723+Poussee)/m)</f>
        <v>-6.01672096649646</v>
      </c>
    </row>
    <row r="725" customFormat="false" ht="12" hidden="false" customHeight="false" outlineLevel="0" collapsed="false">
      <c r="A725" s="448" t="n">
        <f aca="false">IF(B724+0.01&lt;=T_ini+ROUNDUP(Temps_fin_propu,0), 0.01, IF(K724&gt;0, 0.1, 0.0001))</f>
        <v>0.0001</v>
      </c>
      <c r="B725" s="449" t="n">
        <f aca="false">B724+pas</f>
        <v>35.7004000000002</v>
      </c>
      <c r="C725" s="432"/>
      <c r="D725" s="450" t="n">
        <f aca="false">IF(AND(L724&lt;L_rampe,Poussee&lt;Poids*SIN(M724)),0,(-W724+Poussee)/m*COS(M724)-U724/m*SIN(M724))</f>
        <v>-0.823489120108246</v>
      </c>
      <c r="E725" s="451" t="n">
        <f aca="false">IF(AND(L724&lt;L_rampe,Poussee&lt;Poids*SIN(M724)),0,(-W724+Poussee)/m*SIN(M724)+U724/m*COS(M724)-Poids/m)</f>
        <v>-3.84985873966076</v>
      </c>
      <c r="F725" s="449" t="n">
        <f aca="false">SQRT(acc_x^2+acc_z^2)</f>
        <v>3.93694636060475</v>
      </c>
      <c r="G725" s="450" t="n">
        <f aca="false">G724+acc_x*pas</f>
        <v>18.909330923744</v>
      </c>
      <c r="H725" s="451" t="n">
        <f aca="false">H724+acc_z*pas</f>
        <v>-136.860449682721</v>
      </c>
      <c r="I725" s="449" t="n">
        <f aca="false">SQRT(vit_x^2+vit_z^2)</f>
        <v>138.160578615393</v>
      </c>
      <c r="J725" s="450" t="n">
        <f aca="false">J724+0.5*(vit_x+G724)*pas*(K724&gt;=0)</f>
        <v>1017.12580762709</v>
      </c>
      <c r="K725" s="451" t="n">
        <f aca="false">K724+0.5*(vit_z+H724)*pas</f>
        <v>-12.4710636606036</v>
      </c>
      <c r="L725" s="449" t="n">
        <f aca="false">SQRT(pos_x^2+pos_z^2)</f>
        <v>1017.20225912543</v>
      </c>
      <c r="M725" s="450" t="n">
        <f aca="false">IF(AND(L724&gt;L_rampe,G725&gt;0),ATAN2(G725,H725),$M$4)</f>
        <v>-1.43350051290253</v>
      </c>
      <c r="N725" s="449" t="n">
        <f aca="false">DEGREES(Beta)</f>
        <v>-82.1335293191541</v>
      </c>
      <c r="O725" s="438"/>
      <c r="P725" s="452" t="n">
        <f aca="false">MATCH(t-pas/2-T_ini,CdP_t)</f>
        <v>23</v>
      </c>
      <c r="Q725" s="449" t="n">
        <f aca="false">(INDEX(CdP,2,i_P+1)-INDEX(CdP,2,i_P+0))/(INDEX(CdP,1,i_P+1)-INDEX(CdP,1,i_P+0))*(t-pas/2-T_ini-INDEX(CdP,1,i_P+0))+INDEX(CdP,2,i_P+0)</f>
        <v>0</v>
      </c>
      <c r="R725" s="450" t="n">
        <f aca="false">Poussee/(g*ISP)</f>
        <v>0</v>
      </c>
      <c r="S725" s="451" t="n">
        <f aca="false">S724-Débit*pas</f>
        <v>8.652</v>
      </c>
      <c r="T725" s="449" t="n">
        <f aca="false">m*g</f>
        <v>84.87612</v>
      </c>
      <c r="U725" s="453" t="n">
        <f aca="false">IF(pos_xz&lt;L_rampe,Poids*COS(Beta),0)</f>
        <v>0</v>
      </c>
      <c r="V725" s="450" t="n">
        <f aca="false">Rho_moyen*(20000-Alt_rampe-pos_z)/(20000+Alt_rampe+pos_z)</f>
        <v>1.2265286584983</v>
      </c>
      <c r="W725" s="449" t="n">
        <f aca="false">1/2*Rho*Sref*Cx*vit_xz^2</f>
        <v>52.0573700800943</v>
      </c>
      <c r="X725" s="438"/>
      <c r="Y725" s="454" t="str">
        <f aca="false">IF(AND(pos_z&lt;=0,K724&gt;0),"Impact balistique","") &amp; IF(AND(H726&lt;0,vit_z&gt;=0),"Apogée","") &amp; IF(AND(Poussee=0,Q724&gt;0),"Fin de propulsion","") &amp; IF(AND(L726&gt;L_rampe,pos_xz&lt;=L_rampe),"Sortie de rampe","")</f>
        <v/>
      </c>
      <c r="Z725" s="455" t="str">
        <f aca="false">IF(ABS(t-T_para)&lt;pas/2,"Para","")</f>
        <v/>
      </c>
      <c r="AA725" s="456" t="str">
        <f aca="false">IF(ABS(t-T_satellite)&lt;pas/2,"Satellite","")</f>
        <v/>
      </c>
      <c r="AB725" s="444"/>
      <c r="AC725" s="452" t="e">
        <f aca="false">IF(ABS(t-ROUND(t,0))&lt;0.001,t,NA())</f>
        <v>#N/A</v>
      </c>
      <c r="AD725" s="457" t="e">
        <f aca="false">IF(ABS(t-ROUND(t,0))&lt;0.001,pos_x,NA())</f>
        <v>#N/A</v>
      </c>
      <c r="AE725" s="458" t="e">
        <f aca="false">IF(t&lt;T_para, pos_z, NA())</f>
        <v>#N/A</v>
      </c>
      <c r="AF725" s="444"/>
      <c r="AG725" s="450" t="n">
        <f aca="false">IF(AND(L724&lt;L_rampe,Poussee&lt;Poids*SIN(M724)),0,(-W724+Poussee)/m-Poids*SIN(M724)/m)</f>
        <v>3.70092246929846</v>
      </c>
      <c r="AH725" s="449" t="n">
        <f aca="false">IF(AND(L724&lt;L_rampe,Poussee&lt;Poids*SIN(M724)), g*SIN(M724), (-W724+Poussee)/m)</f>
        <v>-6.01676143570068</v>
      </c>
    </row>
    <row r="726" customFormat="false" ht="12" hidden="false" customHeight="false" outlineLevel="0" collapsed="false">
      <c r="A726" s="448" t="n">
        <f aca="false">IF(B725+0.01&lt;=T_ini+ROUNDUP(Temps_fin_propu,0), 0.01, IF(K725&gt;0, 0.1, 0.0001))</f>
        <v>0.0001</v>
      </c>
      <c r="B726" s="449" t="n">
        <f aca="false">B725+pas</f>
        <v>35.7005000000002</v>
      </c>
      <c r="C726" s="432"/>
      <c r="D726" s="450" t="n">
        <f aca="false">IF(AND(L725&lt;L_rampe,Poussee&lt;Poids*SIN(M725)),0,(-W725+Poussee)/m*COS(M725)-U725/m*SIN(M725))</f>
        <v>-0.823488866796671</v>
      </c>
      <c r="E726" s="451" t="n">
        <f aca="false">IF(AND(L725&lt;L_rampe,Poussee&lt;Poids*SIN(M725)),0,(-W725+Poussee)/m*SIN(M725)+U725/m*COS(M725)-Poids/m)</f>
        <v>-3.84981785114418</v>
      </c>
      <c r="F726" s="449" t="n">
        <f aca="false">SQRT(acc_x^2+acc_z^2)</f>
        <v>3.93690632359045</v>
      </c>
      <c r="G726" s="450" t="n">
        <f aca="false">G725+acc_x*pas</f>
        <v>18.9092485748574</v>
      </c>
      <c r="H726" s="451" t="n">
        <f aca="false">H725+acc_z*pas</f>
        <v>-136.860834664506</v>
      </c>
      <c r="I726" s="449" t="n">
        <f aca="false">SQRT(vit_x^2+vit_z^2)</f>
        <v>138.160948703789</v>
      </c>
      <c r="J726" s="450" t="n">
        <f aca="false">J725+0.5*(vit_x+G725)*pas*(K725&gt;=0)</f>
        <v>1017.12580762709</v>
      </c>
      <c r="K726" s="451" t="n">
        <f aca="false">K725+0.5*(vit_z+H725)*pas</f>
        <v>-12.484749724821</v>
      </c>
      <c r="L726" s="449" t="n">
        <f aca="false">SQRT(pos_x^2+pos_z^2)</f>
        <v>1017.20242701084</v>
      </c>
      <c r="M726" s="450" t="n">
        <f aca="false">IF(AND(L725&gt;L_rampe,G726&gt;0),ATAN2(G726,H726),$M$4)</f>
        <v>-1.43350148469991</v>
      </c>
      <c r="N726" s="449" t="n">
        <f aca="false">DEGREES(Beta)</f>
        <v>-82.1335849990419</v>
      </c>
      <c r="O726" s="438"/>
      <c r="P726" s="452" t="n">
        <f aca="false">MATCH(t-pas/2-T_ini,CdP_t)</f>
        <v>23</v>
      </c>
      <c r="Q726" s="449" t="n">
        <f aca="false">(INDEX(CdP,2,i_P+1)-INDEX(CdP,2,i_P+0))/(INDEX(CdP,1,i_P+1)-INDEX(CdP,1,i_P+0))*(t-pas/2-T_ini-INDEX(CdP,1,i_P+0))+INDEX(CdP,2,i_P+0)</f>
        <v>0</v>
      </c>
      <c r="R726" s="450" t="n">
        <f aca="false">Poussee/(g*ISP)</f>
        <v>0</v>
      </c>
      <c r="S726" s="451" t="n">
        <f aca="false">S725-Débit*pas</f>
        <v>8.652</v>
      </c>
      <c r="T726" s="449" t="n">
        <f aca="false">m*g</f>
        <v>84.87612</v>
      </c>
      <c r="U726" s="453" t="n">
        <f aca="false">IF(pos_xz&lt;L_rampe,Poids*COS(Beta),0)</f>
        <v>0</v>
      </c>
      <c r="V726" s="450" t="n">
        <f aca="false">Rho_moyen*(20000-Alt_rampe-pos_z)/(20000+Alt_rampe+pos_z)</f>
        <v>1.2265303371351</v>
      </c>
      <c r="W726" s="449" t="n">
        <f aca="false">1/2*Rho*Sref*Cx*vit_xz^2</f>
        <v>52.0577202173634</v>
      </c>
      <c r="X726" s="438"/>
      <c r="Y726" s="454" t="str">
        <f aca="false">IF(AND(pos_z&lt;=0,K725&gt;0),"Impact balistique","") &amp; IF(AND(H727&lt;0,vit_z&gt;=0),"Apogée","") &amp; IF(AND(Poussee=0,Q725&gt;0),"Fin de propulsion","") &amp; IF(AND(L727&gt;L_rampe,pos_xz&lt;=L_rampe),"Sortie de rampe","")</f>
        <v/>
      </c>
      <c r="Z726" s="455" t="str">
        <f aca="false">IF(ABS(t-T_para)&lt;pas/2,"Para","")</f>
        <v/>
      </c>
      <c r="AA726" s="456" t="str">
        <f aca="false">IF(ABS(t-T_satellite)&lt;pas/2,"Satellite","")</f>
        <v/>
      </c>
      <c r="AB726" s="444"/>
      <c r="AC726" s="452" t="e">
        <f aca="false">IF(ABS(t-ROUND(t,0))&lt;0.001,t,NA())</f>
        <v>#N/A</v>
      </c>
      <c r="AD726" s="457" t="e">
        <f aca="false">IF(ABS(t-ROUND(t,0))&lt;0.001,pos_x,NA())</f>
        <v>#N/A</v>
      </c>
      <c r="AE726" s="458" t="e">
        <f aca="false">IF(t&lt;T_para, pos_z, NA())</f>
        <v>#N/A</v>
      </c>
      <c r="AF726" s="444"/>
      <c r="AG726" s="450" t="n">
        <f aca="false">IF(AND(L725&lt;L_rampe,Poussee&lt;Poids*SIN(M725)),0,(-W725+Poussee)/m-Poids*SIN(M725)/m)</f>
        <v>3.70088330502196</v>
      </c>
      <c r="AH726" s="449" t="n">
        <f aca="false">IF(AND(L725&lt;L_rampe,Poussee&lt;Poids*SIN(M725)), g*SIN(M725), (-W725+Poussee)/m)</f>
        <v>-6.0168019047728</v>
      </c>
    </row>
    <row r="727" customFormat="false" ht="12" hidden="false" customHeight="false" outlineLevel="0" collapsed="false">
      <c r="A727" s="448" t="n">
        <f aca="false">IF(B726+0.01&lt;=T_ini+ROUNDUP(Temps_fin_propu,0), 0.01, IF(K726&gt;0, 0.1, 0.0001))</f>
        <v>0.0001</v>
      </c>
      <c r="B727" s="449" t="n">
        <f aca="false">B726+pas</f>
        <v>35.7006000000002</v>
      </c>
      <c r="C727" s="432"/>
      <c r="D727" s="450" t="n">
        <f aca="false">IF(AND(L726&lt;L_rampe,Poussee&lt;Poids*SIN(M726)),0,(-W726+Poussee)/m*COS(M726)-U726/m*SIN(M726))</f>
        <v>-0.82348861344458</v>
      </c>
      <c r="E727" s="451" t="n">
        <f aca="false">IF(AND(L726&lt;L_rampe,Poussee&lt;Poids*SIN(M726)),0,(-W726+Poussee)/m*SIN(M726)+U726/m*COS(M726)-Poids/m)</f>
        <v>-3.84977696276109</v>
      </c>
      <c r="F727" s="449" t="n">
        <f aca="false">SQRT(acc_x^2+acc_z^2)</f>
        <v>3.93686628671573</v>
      </c>
      <c r="G727" s="450" t="n">
        <f aca="false">G726+acc_x*pas</f>
        <v>18.909166225996</v>
      </c>
      <c r="H727" s="451" t="n">
        <f aca="false">H726+acc_z*pas</f>
        <v>-136.861219642202</v>
      </c>
      <c r="I727" s="449" t="n">
        <f aca="false">SQRT(vit_x^2+vit_z^2)</f>
        <v>138.161318788268</v>
      </c>
      <c r="J727" s="450" t="n">
        <f aca="false">J726+0.5*(vit_x+G726)*pas*(K726&gt;=0)</f>
        <v>1017.12580762709</v>
      </c>
      <c r="K727" s="451" t="n">
        <f aca="false">K726+0.5*(vit_z+H726)*pas</f>
        <v>-12.4984358275363</v>
      </c>
      <c r="L727" s="449" t="n">
        <f aca="false">SQRT(pos_x^2+pos_z^2)</f>
        <v>1017.20259508084</v>
      </c>
      <c r="M727" s="450" t="n">
        <f aca="false">IF(AND(L726&gt;L_rampe,G727&gt;0),ATAN2(G727,H727),$M$4)</f>
        <v>-1.43350245648784</v>
      </c>
      <c r="N727" s="449" t="n">
        <f aca="false">DEGREES(Beta)</f>
        <v>-82.133640678389</v>
      </c>
      <c r="O727" s="438"/>
      <c r="P727" s="452" t="n">
        <f aca="false">MATCH(t-pas/2-T_ini,CdP_t)</f>
        <v>23</v>
      </c>
      <c r="Q727" s="449" t="n">
        <f aca="false">(INDEX(CdP,2,i_P+1)-INDEX(CdP,2,i_P+0))/(INDEX(CdP,1,i_P+1)-INDEX(CdP,1,i_P+0))*(t-pas/2-T_ini-INDEX(CdP,1,i_P+0))+INDEX(CdP,2,i_P+0)</f>
        <v>0</v>
      </c>
      <c r="R727" s="450" t="n">
        <f aca="false">Poussee/(g*ISP)</f>
        <v>0</v>
      </c>
      <c r="S727" s="451" t="n">
        <f aca="false">S726-Débit*pas</f>
        <v>8.652</v>
      </c>
      <c r="T727" s="449" t="n">
        <f aca="false">m*g</f>
        <v>84.87612</v>
      </c>
      <c r="U727" s="453" t="n">
        <f aca="false">IF(pos_xz&lt;L_rampe,Poids*COS(Beta),0)</f>
        <v>0</v>
      </c>
      <c r="V727" s="450" t="n">
        <f aca="false">Rho_moyen*(20000-Alt_rampe-pos_z)/(20000+Alt_rampe+pos_z)</f>
        <v>1.22653201577892</v>
      </c>
      <c r="W727" s="449" t="n">
        <f aca="false">1/2*Rho*Sref*Cx*vit_xz^2</f>
        <v>52.0580703534896</v>
      </c>
      <c r="X727" s="438"/>
      <c r="Y727" s="454" t="str">
        <f aca="false">IF(AND(pos_z&lt;=0,K726&gt;0),"Impact balistique","") &amp; IF(AND(H728&lt;0,vit_z&gt;=0),"Apogée","") &amp; IF(AND(Poussee=0,Q726&gt;0),"Fin de propulsion","") &amp; IF(AND(L728&gt;L_rampe,pos_xz&lt;=L_rampe),"Sortie de rampe","")</f>
        <v/>
      </c>
      <c r="Z727" s="455" t="str">
        <f aca="false">IF(ABS(t-T_para)&lt;pas/2,"Para","")</f>
        <v/>
      </c>
      <c r="AA727" s="456" t="str">
        <f aca="false">IF(ABS(t-T_satellite)&lt;pas/2,"Satellite","")</f>
        <v/>
      </c>
      <c r="AB727" s="444"/>
      <c r="AC727" s="452" t="e">
        <f aca="false">IF(ABS(t-ROUND(t,0))&lt;0.001,t,NA())</f>
        <v>#N/A</v>
      </c>
      <c r="AD727" s="457" t="e">
        <f aca="false">IF(ABS(t-ROUND(t,0))&lt;0.001,pos_x,NA())</f>
        <v>#N/A</v>
      </c>
      <c r="AE727" s="458" t="e">
        <f aca="false">IF(t&lt;T_para, pos_z, NA())</f>
        <v>#N/A</v>
      </c>
      <c r="AF727" s="444"/>
      <c r="AG727" s="450" t="n">
        <f aca="false">IF(AND(L726&lt;L_rampe,Poussee&lt;Poids*SIN(M726)),0,(-W726+Poussee)/m-Poids*SIN(M726)/m)</f>
        <v>3.7008441408557</v>
      </c>
      <c r="AH727" s="449" t="n">
        <f aca="false">IF(AND(L726&lt;L_rampe,Poussee&lt;Poids*SIN(M726)), g*SIN(M726), (-W726+Poussee)/m)</f>
        <v>-6.01684237371283</v>
      </c>
    </row>
    <row r="728" customFormat="false" ht="12" hidden="false" customHeight="false" outlineLevel="0" collapsed="false">
      <c r="A728" s="448" t="n">
        <f aca="false">IF(B727+0.01&lt;=T_ini+ROUNDUP(Temps_fin_propu,0), 0.01, IF(K727&gt;0, 0.1, 0.0001))</f>
        <v>0.0001</v>
      </c>
      <c r="B728" s="449" t="n">
        <f aca="false">B727+pas</f>
        <v>35.7007000000002</v>
      </c>
      <c r="C728" s="432"/>
      <c r="D728" s="450" t="n">
        <f aca="false">IF(AND(L727&lt;L_rampe,Poussee&lt;Poids*SIN(M727)),0,(-W727+Poussee)/m*COS(M727)-U727/m*SIN(M727))</f>
        <v>-0.823488360051972</v>
      </c>
      <c r="E728" s="451" t="n">
        <f aca="false">IF(AND(L727&lt;L_rampe,Poussee&lt;Poids*SIN(M727)),0,(-W727+Poussee)/m*SIN(M727)+U727/m*COS(M727)-Poids/m)</f>
        <v>-3.8497360745115</v>
      </c>
      <c r="F728" s="449" t="n">
        <f aca="false">SQRT(acc_x^2+acc_z^2)</f>
        <v>3.9368262499806</v>
      </c>
      <c r="G728" s="450" t="n">
        <f aca="false">G727+acc_x*pas</f>
        <v>18.90908387716</v>
      </c>
      <c r="H728" s="451" t="n">
        <f aca="false">H727+acc_z*pas</f>
        <v>-136.861604615809</v>
      </c>
      <c r="I728" s="449" t="n">
        <f aca="false">SQRT(vit_x^2+vit_z^2)</f>
        <v>138.161688868831</v>
      </c>
      <c r="J728" s="450" t="n">
        <f aca="false">J727+0.5*(vit_x+G727)*pas*(K727&gt;=0)</f>
        <v>1017.12580762709</v>
      </c>
      <c r="K728" s="451" t="n">
        <f aca="false">K727+0.5*(vit_z+H727)*pas</f>
        <v>-12.5121219687492</v>
      </c>
      <c r="L728" s="449" t="n">
        <f aca="false">SQRT(pos_x^2+pos_z^2)</f>
        <v>1017.20276333542</v>
      </c>
      <c r="M728" s="450" t="n">
        <f aca="false">IF(AND(L727&gt;L_rampe,G728&gt;0),ATAN2(G728,H728),$M$4)</f>
        <v>-1.43350342826633</v>
      </c>
      <c r="N728" s="449" t="n">
        <f aca="false">DEGREES(Beta)</f>
        <v>-82.1336963571953</v>
      </c>
      <c r="O728" s="438"/>
      <c r="P728" s="452" t="n">
        <f aca="false">MATCH(t-pas/2-T_ini,CdP_t)</f>
        <v>23</v>
      </c>
      <c r="Q728" s="449" t="n">
        <f aca="false">(INDEX(CdP,2,i_P+1)-INDEX(CdP,2,i_P+0))/(INDEX(CdP,1,i_P+1)-INDEX(CdP,1,i_P+0))*(t-pas/2-T_ini-INDEX(CdP,1,i_P+0))+INDEX(CdP,2,i_P+0)</f>
        <v>0</v>
      </c>
      <c r="R728" s="450" t="n">
        <f aca="false">Poussee/(g*ISP)</f>
        <v>0</v>
      </c>
      <c r="S728" s="451" t="n">
        <f aca="false">S727-Débit*pas</f>
        <v>8.652</v>
      </c>
      <c r="T728" s="449" t="n">
        <f aca="false">m*g</f>
        <v>84.87612</v>
      </c>
      <c r="U728" s="453" t="n">
        <f aca="false">IF(pos_xz&lt;L_rampe,Poids*COS(Beta),0)</f>
        <v>0</v>
      </c>
      <c r="V728" s="450" t="n">
        <f aca="false">Rho_moyen*(20000-Alt_rampe-pos_z)/(20000+Alt_rampe+pos_z)</f>
        <v>1.22653369442976</v>
      </c>
      <c r="W728" s="449" t="n">
        <f aca="false">1/2*Rho*Sref*Cx*vit_xz^2</f>
        <v>52.0584204884729</v>
      </c>
      <c r="X728" s="438"/>
      <c r="Y728" s="454" t="str">
        <f aca="false">IF(AND(pos_z&lt;=0,K727&gt;0),"Impact balistique","") &amp; IF(AND(H729&lt;0,vit_z&gt;=0),"Apogée","") &amp; IF(AND(Poussee=0,Q727&gt;0),"Fin de propulsion","") &amp; IF(AND(L729&gt;L_rampe,pos_xz&lt;=L_rampe),"Sortie de rampe","")</f>
        <v/>
      </c>
      <c r="Z728" s="455" t="str">
        <f aca="false">IF(ABS(t-T_para)&lt;pas/2,"Para","")</f>
        <v/>
      </c>
      <c r="AA728" s="456" t="str">
        <f aca="false">IF(ABS(t-T_satellite)&lt;pas/2,"Satellite","")</f>
        <v/>
      </c>
      <c r="AB728" s="444"/>
      <c r="AC728" s="452" t="e">
        <f aca="false">IF(ABS(t-ROUND(t,0))&lt;0.001,t,NA())</f>
        <v>#N/A</v>
      </c>
      <c r="AD728" s="457" t="e">
        <f aca="false">IF(ABS(t-ROUND(t,0))&lt;0.001,pos_x,NA())</f>
        <v>#N/A</v>
      </c>
      <c r="AE728" s="458" t="e">
        <f aca="false">IF(t&lt;T_para, pos_z, NA())</f>
        <v>#N/A</v>
      </c>
      <c r="AF728" s="444"/>
      <c r="AG728" s="450" t="n">
        <f aca="false">IF(AND(L727&lt;L_rampe,Poussee&lt;Poids*SIN(M727)),0,(-W727+Poussee)/m-Poids*SIN(M727)/m)</f>
        <v>3.70080497679969</v>
      </c>
      <c r="AH728" s="449" t="n">
        <f aca="false">IF(AND(L727&lt;L_rampe,Poussee&lt;Poids*SIN(M727)), g*SIN(M727), (-W727+Poussee)/m)</f>
        <v>-6.01688284252076</v>
      </c>
    </row>
    <row r="729" customFormat="false" ht="12" hidden="false" customHeight="false" outlineLevel="0" collapsed="false">
      <c r="A729" s="448" t="n">
        <f aca="false">IF(B728+0.01&lt;=T_ini+ROUNDUP(Temps_fin_propu,0), 0.01, IF(K728&gt;0, 0.1, 0.0001))</f>
        <v>0.0001</v>
      </c>
      <c r="B729" s="449" t="n">
        <f aca="false">B728+pas</f>
        <v>35.7008000000002</v>
      </c>
      <c r="C729" s="432"/>
      <c r="D729" s="450" t="n">
        <f aca="false">IF(AND(L728&lt;L_rampe,Poussee&lt;Poids*SIN(M728)),0,(-W728+Poussee)/m*COS(M728)-U728/m*SIN(M728))</f>
        <v>-0.823488106618846</v>
      </c>
      <c r="E729" s="451" t="n">
        <f aca="false">IF(AND(L728&lt;L_rampe,Poussee&lt;Poids*SIN(M728)),0,(-W728+Poussee)/m*SIN(M728)+U728/m*COS(M728)-Poids/m)</f>
        <v>-3.8496951863954</v>
      </c>
      <c r="F729" s="449" t="n">
        <f aca="false">SQRT(acc_x^2+acc_z^2)</f>
        <v>3.93678621338505</v>
      </c>
      <c r="G729" s="450" t="n">
        <f aca="false">G728+acc_x*pas</f>
        <v>18.9090015283494</v>
      </c>
      <c r="H729" s="451" t="n">
        <f aca="false">H728+acc_z*pas</f>
        <v>-136.861989585328</v>
      </c>
      <c r="I729" s="449" t="n">
        <f aca="false">SQRT(vit_x^2+vit_z^2)</f>
        <v>138.162058945477</v>
      </c>
      <c r="J729" s="450" t="n">
        <f aca="false">J728+0.5*(vit_x+G728)*pas*(K728&gt;=0)</f>
        <v>1017.12580762709</v>
      </c>
      <c r="K729" s="451" t="n">
        <f aca="false">K728+0.5*(vit_z+H728)*pas</f>
        <v>-12.5258081484593</v>
      </c>
      <c r="L729" s="449" t="n">
        <f aca="false">SQRT(pos_x^2+pos_z^2)</f>
        <v>1017.2029317746</v>
      </c>
      <c r="M729" s="450" t="n">
        <f aca="false">IF(AND(L728&gt;L_rampe,G729&gt;0),ATAN2(G729,H729),$M$4)</f>
        <v>-1.43350440003539</v>
      </c>
      <c r="N729" s="449" t="n">
        <f aca="false">DEGREES(Beta)</f>
        <v>-82.1337520354609</v>
      </c>
      <c r="O729" s="438"/>
      <c r="P729" s="452" t="n">
        <f aca="false">MATCH(t-pas/2-T_ini,CdP_t)</f>
        <v>23</v>
      </c>
      <c r="Q729" s="449" t="n">
        <f aca="false">(INDEX(CdP,2,i_P+1)-INDEX(CdP,2,i_P+0))/(INDEX(CdP,1,i_P+1)-INDEX(CdP,1,i_P+0))*(t-pas/2-T_ini-INDEX(CdP,1,i_P+0))+INDEX(CdP,2,i_P+0)</f>
        <v>0</v>
      </c>
      <c r="R729" s="450" t="n">
        <f aca="false">Poussee/(g*ISP)</f>
        <v>0</v>
      </c>
      <c r="S729" s="451" t="n">
        <f aca="false">S728-Débit*pas</f>
        <v>8.652</v>
      </c>
      <c r="T729" s="449" t="n">
        <f aca="false">m*g</f>
        <v>84.87612</v>
      </c>
      <c r="U729" s="453" t="n">
        <f aca="false">IF(pos_xz&lt;L_rampe,Poids*COS(Beta),0)</f>
        <v>0</v>
      </c>
      <c r="V729" s="450" t="n">
        <f aca="false">Rho_moyen*(20000-Alt_rampe-pos_z)/(20000+Alt_rampe+pos_z)</f>
        <v>1.22653537308762</v>
      </c>
      <c r="W729" s="449" t="n">
        <f aca="false">1/2*Rho*Sref*Cx*vit_xz^2</f>
        <v>52.0587706223132</v>
      </c>
      <c r="X729" s="438"/>
      <c r="Y729" s="454" t="str">
        <f aca="false">IF(AND(pos_z&lt;=0,K728&gt;0),"Impact balistique","") &amp; IF(AND(H730&lt;0,vit_z&gt;=0),"Apogée","") &amp; IF(AND(Poussee=0,Q728&gt;0),"Fin de propulsion","") &amp; IF(AND(L730&gt;L_rampe,pos_xz&lt;=L_rampe),"Sortie de rampe","")</f>
        <v/>
      </c>
      <c r="Z729" s="455" t="str">
        <f aca="false">IF(ABS(t-T_para)&lt;pas/2,"Para","")</f>
        <v/>
      </c>
      <c r="AA729" s="456" t="str">
        <f aca="false">IF(ABS(t-T_satellite)&lt;pas/2,"Satellite","")</f>
        <v/>
      </c>
      <c r="AB729" s="444"/>
      <c r="AC729" s="452" t="e">
        <f aca="false">IF(ABS(t-ROUND(t,0))&lt;0.001,t,NA())</f>
        <v>#N/A</v>
      </c>
      <c r="AD729" s="457" t="e">
        <f aca="false">IF(ABS(t-ROUND(t,0))&lt;0.001,pos_x,NA())</f>
        <v>#N/A</v>
      </c>
      <c r="AE729" s="458" t="e">
        <f aca="false">IF(t&lt;T_para, pos_z, NA())</f>
        <v>#N/A</v>
      </c>
      <c r="AF729" s="444"/>
      <c r="AG729" s="450" t="n">
        <f aca="false">IF(AND(L728&lt;L_rampe,Poussee&lt;Poids*SIN(M728)),0,(-W728+Poussee)/m-Poids*SIN(M728)/m)</f>
        <v>3.70076581285394</v>
      </c>
      <c r="AH729" s="449" t="n">
        <f aca="false">IF(AND(L728&lt;L_rampe,Poussee&lt;Poids*SIN(M728)), g*SIN(M728), (-W728+Poussee)/m)</f>
        <v>-6.01692331119659</v>
      </c>
    </row>
    <row r="730" customFormat="false" ht="12" hidden="false" customHeight="false" outlineLevel="0" collapsed="false">
      <c r="A730" s="448" t="n">
        <f aca="false">IF(B729+0.01&lt;=T_ini+ROUNDUP(Temps_fin_propu,0), 0.01, IF(K729&gt;0, 0.1, 0.0001))</f>
        <v>0.0001</v>
      </c>
      <c r="B730" s="449" t="n">
        <f aca="false">B729+pas</f>
        <v>35.7009000000002</v>
      </c>
      <c r="C730" s="432"/>
      <c r="D730" s="450" t="n">
        <f aca="false">IF(AND(L729&lt;L_rampe,Poussee&lt;Poids*SIN(M729)),0,(-W729+Poussee)/m*COS(M729)-U729/m*SIN(M729))</f>
        <v>-0.823487853145204</v>
      </c>
      <c r="E730" s="451" t="n">
        <f aca="false">IF(AND(L729&lt;L_rampe,Poussee&lt;Poids*SIN(M729)),0,(-W729+Poussee)/m*SIN(M729)+U729/m*COS(M729)-Poids/m)</f>
        <v>-3.84965429841279</v>
      </c>
      <c r="F730" s="449" t="n">
        <f aca="false">SQRT(acc_x^2+acc_z^2)</f>
        <v>3.93674617692909</v>
      </c>
      <c r="G730" s="450" t="n">
        <f aca="false">G729+acc_x*pas</f>
        <v>18.908919179564</v>
      </c>
      <c r="H730" s="451" t="n">
        <f aca="false">H729+acc_z*pas</f>
        <v>-136.862374550758</v>
      </c>
      <c r="I730" s="449" t="n">
        <f aca="false">SQRT(vit_x^2+vit_z^2)</f>
        <v>138.162429018208</v>
      </c>
      <c r="J730" s="450" t="n">
        <f aca="false">J729+0.5*(vit_x+G729)*pas*(K729&gt;=0)</f>
        <v>1017.12580762709</v>
      </c>
      <c r="K730" s="451" t="n">
        <f aca="false">K729+0.5*(vit_z+H729)*pas</f>
        <v>-12.5394943666661</v>
      </c>
      <c r="L730" s="449" t="n">
        <f aca="false">SQRT(pos_x^2+pos_z^2)</f>
        <v>1017.20310039836</v>
      </c>
      <c r="M730" s="450" t="n">
        <f aca="false">IF(AND(L729&gt;L_rampe,G730&gt;0),ATAN2(G730,H730),$M$4)</f>
        <v>-1.43350537179501</v>
      </c>
      <c r="N730" s="449" t="n">
        <f aca="false">DEGREES(Beta)</f>
        <v>-82.1338077131857</v>
      </c>
      <c r="O730" s="438"/>
      <c r="P730" s="452" t="n">
        <f aca="false">MATCH(t-pas/2-T_ini,CdP_t)</f>
        <v>23</v>
      </c>
      <c r="Q730" s="449" t="n">
        <f aca="false">(INDEX(CdP,2,i_P+1)-INDEX(CdP,2,i_P+0))/(INDEX(CdP,1,i_P+1)-INDEX(CdP,1,i_P+0))*(t-pas/2-T_ini-INDEX(CdP,1,i_P+0))+INDEX(CdP,2,i_P+0)</f>
        <v>0</v>
      </c>
      <c r="R730" s="450" t="n">
        <f aca="false">Poussee/(g*ISP)</f>
        <v>0</v>
      </c>
      <c r="S730" s="451" t="n">
        <f aca="false">S729-Débit*pas</f>
        <v>8.652</v>
      </c>
      <c r="T730" s="449" t="n">
        <f aca="false">m*g</f>
        <v>84.87612</v>
      </c>
      <c r="U730" s="453" t="n">
        <f aca="false">IF(pos_xz&lt;L_rampe,Poids*COS(Beta),0)</f>
        <v>0</v>
      </c>
      <c r="V730" s="450" t="n">
        <f aca="false">Rho_moyen*(20000-Alt_rampe-pos_z)/(20000+Alt_rampe+pos_z)</f>
        <v>1.22653705175251</v>
      </c>
      <c r="W730" s="449" t="n">
        <f aca="false">1/2*Rho*Sref*Cx*vit_xz^2</f>
        <v>52.0591207550105</v>
      </c>
      <c r="X730" s="438"/>
      <c r="Y730" s="454" t="str">
        <f aca="false">IF(AND(pos_z&lt;=0,K729&gt;0),"Impact balistique","") &amp; IF(AND(H731&lt;0,vit_z&gt;=0),"Apogée","") &amp; IF(AND(Poussee=0,Q729&gt;0),"Fin de propulsion","") &amp; IF(AND(L731&gt;L_rampe,pos_xz&lt;=L_rampe),"Sortie de rampe","")</f>
        <v/>
      </c>
      <c r="Z730" s="455" t="str">
        <f aca="false">IF(ABS(t-T_para)&lt;pas/2,"Para","")</f>
        <v/>
      </c>
      <c r="AA730" s="456" t="str">
        <f aca="false">IF(ABS(t-T_satellite)&lt;pas/2,"Satellite","")</f>
        <v/>
      </c>
      <c r="AB730" s="444"/>
      <c r="AC730" s="452" t="e">
        <f aca="false">IF(ABS(t-ROUND(t,0))&lt;0.001,t,NA())</f>
        <v>#N/A</v>
      </c>
      <c r="AD730" s="457" t="e">
        <f aca="false">IF(ABS(t-ROUND(t,0))&lt;0.001,pos_x,NA())</f>
        <v>#N/A</v>
      </c>
      <c r="AE730" s="458" t="e">
        <f aca="false">IF(t&lt;T_para, pos_z, NA())</f>
        <v>#N/A</v>
      </c>
      <c r="AF730" s="444"/>
      <c r="AG730" s="450" t="n">
        <f aca="false">IF(AND(L729&lt;L_rampe,Poussee&lt;Poids*SIN(M729)),0,(-W729+Poussee)/m-Poids*SIN(M729)/m)</f>
        <v>3.70072664901844</v>
      </c>
      <c r="AH730" s="449" t="n">
        <f aca="false">IF(AND(L729&lt;L_rampe,Poussee&lt;Poids*SIN(M729)), g*SIN(M729), (-W729+Poussee)/m)</f>
        <v>-6.01696377974031</v>
      </c>
    </row>
    <row r="731" customFormat="false" ht="12" hidden="false" customHeight="false" outlineLevel="0" collapsed="false">
      <c r="A731" s="448" t="n">
        <f aca="false">IF(B730+0.01&lt;=T_ini+ROUNDUP(Temps_fin_propu,0), 0.01, IF(K730&gt;0, 0.1, 0.0001))</f>
        <v>0.0001</v>
      </c>
      <c r="B731" s="449" t="n">
        <f aca="false">B730+pas</f>
        <v>35.7010000000002</v>
      </c>
      <c r="C731" s="432"/>
      <c r="D731" s="450" t="n">
        <f aca="false">IF(AND(L730&lt;L_rampe,Poussee&lt;Poids*SIN(M730)),0,(-W730+Poussee)/m*COS(M730)-U730/m*SIN(M730))</f>
        <v>-0.823487599631045</v>
      </c>
      <c r="E731" s="451" t="n">
        <f aca="false">IF(AND(L730&lt;L_rampe,Poussee&lt;Poids*SIN(M730)),0,(-W730+Poussee)/m*SIN(M730)+U730/m*COS(M730)-Poids/m)</f>
        <v>-3.84961341056369</v>
      </c>
      <c r="F731" s="449" t="n">
        <f aca="false">SQRT(acc_x^2+acc_z^2)</f>
        <v>3.93670614061272</v>
      </c>
      <c r="G731" s="450" t="n">
        <f aca="false">G730+acc_x*pas</f>
        <v>18.9088368308041</v>
      </c>
      <c r="H731" s="451" t="n">
        <f aca="false">H730+acc_z*pas</f>
        <v>-136.862759512099</v>
      </c>
      <c r="I731" s="449" t="n">
        <f aca="false">SQRT(vit_x^2+vit_z^2)</f>
        <v>138.162799087021</v>
      </c>
      <c r="J731" s="450" t="n">
        <f aca="false">J730+0.5*(vit_x+G730)*pas*(K730&gt;=0)</f>
        <v>1017.12580762709</v>
      </c>
      <c r="K731" s="451" t="n">
        <f aca="false">K730+0.5*(vit_z+H730)*pas</f>
        <v>-12.5531806233692</v>
      </c>
      <c r="L731" s="449" t="n">
        <f aca="false">SQRT(pos_x^2+pos_z^2)</f>
        <v>1017.20326920671</v>
      </c>
      <c r="M731" s="450" t="n">
        <f aca="false">IF(AND(L730&gt;L_rampe,G731&gt;0),ATAN2(G731,H731),$M$4)</f>
        <v>-1.43350634354519</v>
      </c>
      <c r="N731" s="449" t="n">
        <f aca="false">DEGREES(Beta)</f>
        <v>-82.1338633903698</v>
      </c>
      <c r="O731" s="438"/>
      <c r="P731" s="452" t="n">
        <f aca="false">MATCH(t-pas/2-T_ini,CdP_t)</f>
        <v>23</v>
      </c>
      <c r="Q731" s="449" t="n">
        <f aca="false">(INDEX(CdP,2,i_P+1)-INDEX(CdP,2,i_P+0))/(INDEX(CdP,1,i_P+1)-INDEX(CdP,1,i_P+0))*(t-pas/2-T_ini-INDEX(CdP,1,i_P+0))+INDEX(CdP,2,i_P+0)</f>
        <v>0</v>
      </c>
      <c r="R731" s="450" t="n">
        <f aca="false">Poussee/(g*ISP)</f>
        <v>0</v>
      </c>
      <c r="S731" s="451" t="n">
        <f aca="false">S730-Débit*pas</f>
        <v>8.652</v>
      </c>
      <c r="T731" s="449" t="n">
        <f aca="false">m*g</f>
        <v>84.87612</v>
      </c>
      <c r="U731" s="453" t="n">
        <f aca="false">IF(pos_xz&lt;L_rampe,Poids*COS(Beta),0)</f>
        <v>0</v>
      </c>
      <c r="V731" s="450" t="n">
        <f aca="false">Rho_moyen*(20000-Alt_rampe-pos_z)/(20000+Alt_rampe+pos_z)</f>
        <v>1.22653873042441</v>
      </c>
      <c r="W731" s="449" t="n">
        <f aca="false">1/2*Rho*Sref*Cx*vit_xz^2</f>
        <v>52.0594708865648</v>
      </c>
      <c r="X731" s="438"/>
      <c r="Y731" s="454" t="str">
        <f aca="false">IF(AND(pos_z&lt;=0,K730&gt;0),"Impact balistique","") &amp; IF(AND(H732&lt;0,vit_z&gt;=0),"Apogée","") &amp; IF(AND(Poussee=0,Q730&gt;0),"Fin de propulsion","") &amp; IF(AND(L732&gt;L_rampe,pos_xz&lt;=L_rampe),"Sortie de rampe","")</f>
        <v/>
      </c>
      <c r="Z731" s="455" t="str">
        <f aca="false">IF(ABS(t-T_para)&lt;pas/2,"Para","")</f>
        <v/>
      </c>
      <c r="AA731" s="456" t="str">
        <f aca="false">IF(ABS(t-T_satellite)&lt;pas/2,"Satellite","")</f>
        <v/>
      </c>
      <c r="AB731" s="444"/>
      <c r="AC731" s="452" t="e">
        <f aca="false">IF(ABS(t-ROUND(t,0))&lt;0.001,t,NA())</f>
        <v>#N/A</v>
      </c>
      <c r="AD731" s="457" t="e">
        <f aca="false">IF(ABS(t-ROUND(t,0))&lt;0.001,pos_x,NA())</f>
        <v>#N/A</v>
      </c>
      <c r="AE731" s="458" t="e">
        <f aca="false">IF(t&lt;T_para, pos_z, NA())</f>
        <v>#N/A</v>
      </c>
      <c r="AF731" s="444"/>
      <c r="AG731" s="450" t="n">
        <f aca="false">IF(AND(L730&lt;L_rampe,Poussee&lt;Poids*SIN(M730)),0,(-W730+Poussee)/m-Poids*SIN(M730)/m)</f>
        <v>3.70068748529321</v>
      </c>
      <c r="AH731" s="449" t="n">
        <f aca="false">IF(AND(L730&lt;L_rampe,Poussee&lt;Poids*SIN(M730)), g*SIN(M730), (-W730+Poussee)/m)</f>
        <v>-6.01700424815193</v>
      </c>
    </row>
    <row r="732" customFormat="false" ht="12" hidden="false" customHeight="false" outlineLevel="0" collapsed="false">
      <c r="A732" s="448" t="n">
        <f aca="false">IF(B731+0.01&lt;=T_ini+ROUNDUP(Temps_fin_propu,0), 0.01, IF(K731&gt;0, 0.1, 0.0001))</f>
        <v>0.0001</v>
      </c>
      <c r="B732" s="449" t="n">
        <f aca="false">B731+pas</f>
        <v>35.7011000000002</v>
      </c>
      <c r="C732" s="432"/>
      <c r="D732" s="450" t="n">
        <f aca="false">IF(AND(L731&lt;L_rampe,Poussee&lt;Poids*SIN(M731)),0,(-W731+Poussee)/m*COS(M731)-U731/m*SIN(M731))</f>
        <v>-0.82348734607637</v>
      </c>
      <c r="E732" s="451" t="n">
        <f aca="false">IF(AND(L731&lt;L_rampe,Poussee&lt;Poids*SIN(M731)),0,(-W731+Poussee)/m*SIN(M731)+U731/m*COS(M731)-Poids/m)</f>
        <v>-3.84957252284808</v>
      </c>
      <c r="F732" s="449" t="n">
        <f aca="false">SQRT(acc_x^2+acc_z^2)</f>
        <v>3.93666610443594</v>
      </c>
      <c r="G732" s="450" t="n">
        <f aca="false">G731+acc_x*pas</f>
        <v>18.9087544820695</v>
      </c>
      <c r="H732" s="451" t="n">
        <f aca="false">H731+acc_z*pas</f>
        <v>-136.863144469351</v>
      </c>
      <c r="I732" s="449" t="n">
        <f aca="false">SQRT(vit_x^2+vit_z^2)</f>
        <v>138.163169151919</v>
      </c>
      <c r="J732" s="450" t="n">
        <f aca="false">J731+0.5*(vit_x+G731)*pas*(K731&gt;=0)</f>
        <v>1017.12580762709</v>
      </c>
      <c r="K732" s="451" t="n">
        <f aca="false">K731+0.5*(vit_z+H731)*pas</f>
        <v>-12.5668669185683</v>
      </c>
      <c r="L732" s="449" t="n">
        <f aca="false">SQRT(pos_x^2+pos_z^2)</f>
        <v>1017.20343819966</v>
      </c>
      <c r="M732" s="450" t="n">
        <f aca="false">IF(AND(L731&gt;L_rampe,G732&gt;0),ATAN2(G732,H732),$M$4)</f>
        <v>-1.43350731528593</v>
      </c>
      <c r="N732" s="449" t="n">
        <f aca="false">DEGREES(Beta)</f>
        <v>-82.1339190670131</v>
      </c>
      <c r="O732" s="438"/>
      <c r="P732" s="452" t="n">
        <f aca="false">MATCH(t-pas/2-T_ini,CdP_t)</f>
        <v>23</v>
      </c>
      <c r="Q732" s="449" t="n">
        <f aca="false">(INDEX(CdP,2,i_P+1)-INDEX(CdP,2,i_P+0))/(INDEX(CdP,1,i_P+1)-INDEX(CdP,1,i_P+0))*(t-pas/2-T_ini-INDEX(CdP,1,i_P+0))+INDEX(CdP,2,i_P+0)</f>
        <v>0</v>
      </c>
      <c r="R732" s="450" t="n">
        <f aca="false">Poussee/(g*ISP)</f>
        <v>0</v>
      </c>
      <c r="S732" s="451" t="n">
        <f aca="false">S731-Débit*pas</f>
        <v>8.652</v>
      </c>
      <c r="T732" s="449" t="n">
        <f aca="false">m*g</f>
        <v>84.87612</v>
      </c>
      <c r="U732" s="453" t="n">
        <f aca="false">IF(pos_xz&lt;L_rampe,Poids*COS(Beta),0)</f>
        <v>0</v>
      </c>
      <c r="V732" s="450" t="n">
        <f aca="false">Rho_moyen*(20000-Alt_rampe-pos_z)/(20000+Alt_rampe+pos_z)</f>
        <v>1.22654040910334</v>
      </c>
      <c r="W732" s="449" t="n">
        <f aca="false">1/2*Rho*Sref*Cx*vit_xz^2</f>
        <v>52.0598210169761</v>
      </c>
      <c r="X732" s="438"/>
      <c r="Y732" s="454" t="str">
        <f aca="false">IF(AND(pos_z&lt;=0,K731&gt;0),"Impact balistique","") &amp; IF(AND(H733&lt;0,vit_z&gt;=0),"Apogée","") &amp; IF(AND(Poussee=0,Q731&gt;0),"Fin de propulsion","") &amp; IF(AND(L733&gt;L_rampe,pos_xz&lt;=L_rampe),"Sortie de rampe","")</f>
        <v/>
      </c>
      <c r="Z732" s="455" t="str">
        <f aca="false">IF(ABS(t-T_para)&lt;pas/2,"Para","")</f>
        <v/>
      </c>
      <c r="AA732" s="456" t="str">
        <f aca="false">IF(ABS(t-T_satellite)&lt;pas/2,"Satellite","")</f>
        <v/>
      </c>
      <c r="AB732" s="444"/>
      <c r="AC732" s="452" t="e">
        <f aca="false">IF(ABS(t-ROUND(t,0))&lt;0.001,t,NA())</f>
        <v>#N/A</v>
      </c>
      <c r="AD732" s="457" t="e">
        <f aca="false">IF(ABS(t-ROUND(t,0))&lt;0.001,pos_x,NA())</f>
        <v>#N/A</v>
      </c>
      <c r="AE732" s="458" t="e">
        <f aca="false">IF(t&lt;T_para, pos_z, NA())</f>
        <v>#N/A</v>
      </c>
      <c r="AF732" s="444"/>
      <c r="AG732" s="450" t="n">
        <f aca="false">IF(AND(L731&lt;L_rampe,Poussee&lt;Poids*SIN(M731)),0,(-W731+Poussee)/m-Poids*SIN(M731)/m)</f>
        <v>3.70064832167822</v>
      </c>
      <c r="AH732" s="449" t="n">
        <f aca="false">IF(AND(L731&lt;L_rampe,Poussee&lt;Poids*SIN(M731)), g*SIN(M731), (-W731+Poussee)/m)</f>
        <v>-6.01704471643144</v>
      </c>
    </row>
    <row r="733" customFormat="false" ht="12" hidden="false" customHeight="false" outlineLevel="0" collapsed="false">
      <c r="A733" s="448" t="n">
        <f aca="false">IF(B732+0.01&lt;=T_ini+ROUNDUP(Temps_fin_propu,0), 0.01, IF(K732&gt;0, 0.1, 0.0001))</f>
        <v>0.0001</v>
      </c>
      <c r="B733" s="449" t="n">
        <f aca="false">B732+pas</f>
        <v>35.7012000000002</v>
      </c>
      <c r="C733" s="432"/>
      <c r="D733" s="450" t="n">
        <f aca="false">IF(AND(L732&lt;L_rampe,Poussee&lt;Poids*SIN(M732)),0,(-W732+Poussee)/m*COS(M732)-U732/m*SIN(M732))</f>
        <v>-0.82348709248118</v>
      </c>
      <c r="E733" s="451" t="n">
        <f aca="false">IF(AND(L732&lt;L_rampe,Poussee&lt;Poids*SIN(M732)),0,(-W732+Poussee)/m*SIN(M732)+U732/m*COS(M732)-Poids/m)</f>
        <v>-3.84953163526598</v>
      </c>
      <c r="F733" s="449" t="n">
        <f aca="false">SQRT(acc_x^2+acc_z^2)</f>
        <v>3.93662606839876</v>
      </c>
      <c r="G733" s="450" t="n">
        <f aca="false">G732+acc_x*pas</f>
        <v>18.9086721333602</v>
      </c>
      <c r="H733" s="451" t="n">
        <f aca="false">H732+acc_z*pas</f>
        <v>-136.863529422515</v>
      </c>
      <c r="I733" s="449" t="n">
        <f aca="false">SQRT(vit_x^2+vit_z^2)</f>
        <v>138.1635392129</v>
      </c>
      <c r="J733" s="450" t="n">
        <f aca="false">J732+0.5*(vit_x+G732)*pas*(K732&gt;=0)</f>
        <v>1017.12580762709</v>
      </c>
      <c r="K733" s="451" t="n">
        <f aca="false">K732+0.5*(vit_z+H732)*pas</f>
        <v>-12.5805532522629</v>
      </c>
      <c r="L733" s="449" t="n">
        <f aca="false">SQRT(pos_x^2+pos_z^2)</f>
        <v>1017.2036073772</v>
      </c>
      <c r="M733" s="450" t="n">
        <f aca="false">IF(AND(L732&gt;L_rampe,G733&gt;0),ATAN2(G733,H733),$M$4)</f>
        <v>-1.43350828701723</v>
      </c>
      <c r="N733" s="449" t="n">
        <f aca="false">DEGREES(Beta)</f>
        <v>-82.1339747431158</v>
      </c>
      <c r="O733" s="438"/>
      <c r="P733" s="452" t="n">
        <f aca="false">MATCH(t-pas/2-T_ini,CdP_t)</f>
        <v>23</v>
      </c>
      <c r="Q733" s="449" t="n">
        <f aca="false">(INDEX(CdP,2,i_P+1)-INDEX(CdP,2,i_P+0))/(INDEX(CdP,1,i_P+1)-INDEX(CdP,1,i_P+0))*(t-pas/2-T_ini-INDEX(CdP,1,i_P+0))+INDEX(CdP,2,i_P+0)</f>
        <v>0</v>
      </c>
      <c r="R733" s="450" t="n">
        <f aca="false">Poussee/(g*ISP)</f>
        <v>0</v>
      </c>
      <c r="S733" s="451" t="n">
        <f aca="false">S732-Débit*pas</f>
        <v>8.652</v>
      </c>
      <c r="T733" s="449" t="n">
        <f aca="false">m*g</f>
        <v>84.87612</v>
      </c>
      <c r="U733" s="453" t="n">
        <f aca="false">IF(pos_xz&lt;L_rampe,Poids*COS(Beta),0)</f>
        <v>0</v>
      </c>
      <c r="V733" s="450" t="n">
        <f aca="false">Rho_moyen*(20000-Alt_rampe-pos_z)/(20000+Alt_rampe+pos_z)</f>
        <v>1.22654208778928</v>
      </c>
      <c r="W733" s="449" t="n">
        <f aca="false">1/2*Rho*Sref*Cx*vit_xz^2</f>
        <v>52.0601711462444</v>
      </c>
      <c r="X733" s="438"/>
      <c r="Y733" s="454" t="str">
        <f aca="false">IF(AND(pos_z&lt;=0,K732&gt;0),"Impact balistique","") &amp; IF(AND(H734&lt;0,vit_z&gt;=0),"Apogée","") &amp; IF(AND(Poussee=0,Q732&gt;0),"Fin de propulsion","") &amp; IF(AND(L734&gt;L_rampe,pos_xz&lt;=L_rampe),"Sortie de rampe","")</f>
        <v/>
      </c>
      <c r="Z733" s="455" t="str">
        <f aca="false">IF(ABS(t-T_para)&lt;pas/2,"Para","")</f>
        <v/>
      </c>
      <c r="AA733" s="456" t="str">
        <f aca="false">IF(ABS(t-T_satellite)&lt;pas/2,"Satellite","")</f>
        <v/>
      </c>
      <c r="AB733" s="444"/>
      <c r="AC733" s="452" t="e">
        <f aca="false">IF(ABS(t-ROUND(t,0))&lt;0.001,t,NA())</f>
        <v>#N/A</v>
      </c>
      <c r="AD733" s="457" t="e">
        <f aca="false">IF(ABS(t-ROUND(t,0))&lt;0.001,pos_x,NA())</f>
        <v>#N/A</v>
      </c>
      <c r="AE733" s="458" t="e">
        <f aca="false">IF(t&lt;T_para, pos_z, NA())</f>
        <v>#N/A</v>
      </c>
      <c r="AF733" s="444"/>
      <c r="AG733" s="450" t="n">
        <f aca="false">IF(AND(L732&lt;L_rampe,Poussee&lt;Poids*SIN(M732)),0,(-W732+Poussee)/m-Poids*SIN(M732)/m)</f>
        <v>3.70060915817351</v>
      </c>
      <c r="AH733" s="449" t="n">
        <f aca="false">IF(AND(L732&lt;L_rampe,Poussee&lt;Poids*SIN(M732)), g*SIN(M732), (-W732+Poussee)/m)</f>
        <v>-6.01708518457884</v>
      </c>
    </row>
    <row r="734" customFormat="false" ht="12" hidden="false" customHeight="false" outlineLevel="0" collapsed="false">
      <c r="A734" s="448" t="n">
        <f aca="false">IF(B733+0.01&lt;=T_ini+ROUNDUP(Temps_fin_propu,0), 0.01, IF(K733&gt;0, 0.1, 0.0001))</f>
        <v>0.0001</v>
      </c>
      <c r="B734" s="449" t="n">
        <f aca="false">B733+pas</f>
        <v>35.7013000000002</v>
      </c>
      <c r="C734" s="432"/>
      <c r="D734" s="450" t="n">
        <f aca="false">IF(AND(L733&lt;L_rampe,Poussee&lt;Poids*SIN(M733)),0,(-W733+Poussee)/m*COS(M733)-U733/m*SIN(M733))</f>
        <v>-0.823486838845473</v>
      </c>
      <c r="E734" s="451" t="n">
        <f aca="false">IF(AND(L733&lt;L_rampe,Poussee&lt;Poids*SIN(M733)),0,(-W733+Poussee)/m*SIN(M733)+U733/m*COS(M733)-Poids/m)</f>
        <v>-3.84949074781739</v>
      </c>
      <c r="F734" s="449" t="n">
        <f aca="false">SQRT(acc_x^2+acc_z^2)</f>
        <v>3.93658603250118</v>
      </c>
      <c r="G734" s="450" t="n">
        <f aca="false">G733+acc_x*pas</f>
        <v>18.9085897846763</v>
      </c>
      <c r="H734" s="451" t="n">
        <f aca="false">H733+acc_z*pas</f>
        <v>-136.86391437159</v>
      </c>
      <c r="I734" s="449" t="n">
        <f aca="false">SQRT(vit_x^2+vit_z^2)</f>
        <v>138.163909269965</v>
      </c>
      <c r="J734" s="450" t="n">
        <f aca="false">J733+0.5*(vit_x+G733)*pas*(K733&gt;=0)</f>
        <v>1017.12580762709</v>
      </c>
      <c r="K734" s="451" t="n">
        <f aca="false">K733+0.5*(vit_z+H733)*pas</f>
        <v>-12.5942396244526</v>
      </c>
      <c r="L734" s="449" t="n">
        <f aca="false">SQRT(pos_x^2+pos_z^2)</f>
        <v>1017.20377673934</v>
      </c>
      <c r="M734" s="450" t="n">
        <f aca="false">IF(AND(L733&gt;L_rampe,G734&gt;0),ATAN2(G734,H734),$M$4)</f>
        <v>-1.4335092587391</v>
      </c>
      <c r="N734" s="449" t="n">
        <f aca="false">DEGREES(Beta)</f>
        <v>-82.1340304186776</v>
      </c>
      <c r="O734" s="438"/>
      <c r="P734" s="452" t="n">
        <f aca="false">MATCH(t-pas/2-T_ini,CdP_t)</f>
        <v>23</v>
      </c>
      <c r="Q734" s="449" t="n">
        <f aca="false">(INDEX(CdP,2,i_P+1)-INDEX(CdP,2,i_P+0))/(INDEX(CdP,1,i_P+1)-INDEX(CdP,1,i_P+0))*(t-pas/2-T_ini-INDEX(CdP,1,i_P+0))+INDEX(CdP,2,i_P+0)</f>
        <v>0</v>
      </c>
      <c r="R734" s="450" t="n">
        <f aca="false">Poussee/(g*ISP)</f>
        <v>0</v>
      </c>
      <c r="S734" s="451" t="n">
        <f aca="false">S733-Débit*pas</f>
        <v>8.652</v>
      </c>
      <c r="T734" s="449" t="n">
        <f aca="false">m*g</f>
        <v>84.87612</v>
      </c>
      <c r="U734" s="453" t="n">
        <f aca="false">IF(pos_xz&lt;L_rampe,Poids*COS(Beta),0)</f>
        <v>0</v>
      </c>
      <c r="V734" s="450" t="n">
        <f aca="false">Rho_moyen*(20000-Alt_rampe-pos_z)/(20000+Alt_rampe+pos_z)</f>
        <v>1.22654376648225</v>
      </c>
      <c r="W734" s="449" t="n">
        <f aca="false">1/2*Rho*Sref*Cx*vit_xz^2</f>
        <v>52.0605212743695</v>
      </c>
      <c r="X734" s="438"/>
      <c r="Y734" s="454" t="str">
        <f aca="false">IF(AND(pos_z&lt;=0,K733&gt;0),"Impact balistique","") &amp; IF(AND(H735&lt;0,vit_z&gt;=0),"Apogée","") &amp; IF(AND(Poussee=0,Q733&gt;0),"Fin de propulsion","") &amp; IF(AND(L735&gt;L_rampe,pos_xz&lt;=L_rampe),"Sortie de rampe","")</f>
        <v/>
      </c>
      <c r="Z734" s="455" t="str">
        <f aca="false">IF(ABS(t-T_para)&lt;pas/2,"Para","")</f>
        <v/>
      </c>
      <c r="AA734" s="456" t="str">
        <f aca="false">IF(ABS(t-T_satellite)&lt;pas/2,"Satellite","")</f>
        <v/>
      </c>
      <c r="AB734" s="444"/>
      <c r="AC734" s="452" t="e">
        <f aca="false">IF(ABS(t-ROUND(t,0))&lt;0.001,t,NA())</f>
        <v>#N/A</v>
      </c>
      <c r="AD734" s="457" t="e">
        <f aca="false">IF(ABS(t-ROUND(t,0))&lt;0.001,pos_x,NA())</f>
        <v>#N/A</v>
      </c>
      <c r="AE734" s="458" t="e">
        <f aca="false">IF(t&lt;T_para, pos_z, NA())</f>
        <v>#N/A</v>
      </c>
      <c r="AF734" s="444"/>
      <c r="AG734" s="450" t="n">
        <f aca="false">IF(AND(L733&lt;L_rampe,Poussee&lt;Poids*SIN(M733)),0,(-W733+Poussee)/m-Poids*SIN(M733)/m)</f>
        <v>3.70056999477906</v>
      </c>
      <c r="AH734" s="449" t="n">
        <f aca="false">IF(AND(L733&lt;L_rampe,Poussee&lt;Poids*SIN(M733)), g*SIN(M733), (-W733+Poussee)/m)</f>
        <v>-6.01712565259413</v>
      </c>
    </row>
    <row r="735" customFormat="false" ht="12" hidden="false" customHeight="false" outlineLevel="0" collapsed="false">
      <c r="A735" s="448" t="n">
        <f aca="false">IF(B734+0.01&lt;=T_ini+ROUNDUP(Temps_fin_propu,0), 0.01, IF(K734&gt;0, 0.1, 0.0001))</f>
        <v>0.0001</v>
      </c>
      <c r="B735" s="449" t="n">
        <f aca="false">B734+pas</f>
        <v>35.7014000000002</v>
      </c>
      <c r="C735" s="432"/>
      <c r="D735" s="450" t="n">
        <f aca="false">IF(AND(L734&lt;L_rampe,Poussee&lt;Poids*SIN(M734)),0,(-W734+Poussee)/m*COS(M734)-U734/m*SIN(M734))</f>
        <v>-0.823486585169252</v>
      </c>
      <c r="E735" s="451" t="n">
        <f aca="false">IF(AND(L734&lt;L_rampe,Poussee&lt;Poids*SIN(M734)),0,(-W734+Poussee)/m*SIN(M734)+U734/m*COS(M734)-Poids/m)</f>
        <v>-3.8494498605023</v>
      </c>
      <c r="F735" s="449" t="n">
        <f aca="false">SQRT(acc_x^2+acc_z^2)</f>
        <v>3.9365459967432</v>
      </c>
      <c r="G735" s="450" t="n">
        <f aca="false">G734+acc_x*pas</f>
        <v>18.9085074360178</v>
      </c>
      <c r="H735" s="451" t="n">
        <f aca="false">H734+acc_z*pas</f>
        <v>-136.864299316576</v>
      </c>
      <c r="I735" s="449" t="n">
        <f aca="false">SQRT(vit_x^2+vit_z^2)</f>
        <v>138.164279323113</v>
      </c>
      <c r="J735" s="450" t="n">
        <f aca="false">J734+0.5*(vit_x+G734)*pas*(K734&gt;=0)</f>
        <v>1017.12580762709</v>
      </c>
      <c r="K735" s="451" t="n">
        <f aca="false">K734+0.5*(vit_z+H734)*pas</f>
        <v>-12.607926035137</v>
      </c>
      <c r="L735" s="449" t="n">
        <f aca="false">SQRT(pos_x^2+pos_z^2)</f>
        <v>1017.20394628608</v>
      </c>
      <c r="M735" s="450" t="n">
        <f aca="false">IF(AND(L734&gt;L_rampe,G735&gt;0),ATAN2(G735,H735),$M$4)</f>
        <v>-1.43351023045153</v>
      </c>
      <c r="N735" s="449" t="n">
        <f aca="false">DEGREES(Beta)</f>
        <v>-82.1340860936988</v>
      </c>
      <c r="O735" s="438"/>
      <c r="P735" s="452" t="n">
        <f aca="false">MATCH(t-pas/2-T_ini,CdP_t)</f>
        <v>23</v>
      </c>
      <c r="Q735" s="449" t="n">
        <f aca="false">(INDEX(CdP,2,i_P+1)-INDEX(CdP,2,i_P+0))/(INDEX(CdP,1,i_P+1)-INDEX(CdP,1,i_P+0))*(t-pas/2-T_ini-INDEX(CdP,1,i_P+0))+INDEX(CdP,2,i_P+0)</f>
        <v>0</v>
      </c>
      <c r="R735" s="450" t="n">
        <f aca="false">Poussee/(g*ISP)</f>
        <v>0</v>
      </c>
      <c r="S735" s="451" t="n">
        <f aca="false">S734-Débit*pas</f>
        <v>8.652</v>
      </c>
      <c r="T735" s="449" t="n">
        <f aca="false">m*g</f>
        <v>84.87612</v>
      </c>
      <c r="U735" s="453" t="n">
        <f aca="false">IF(pos_xz&lt;L_rampe,Poids*COS(Beta),0)</f>
        <v>0</v>
      </c>
      <c r="V735" s="450" t="n">
        <f aca="false">Rho_moyen*(20000-Alt_rampe-pos_z)/(20000+Alt_rampe+pos_z)</f>
        <v>1.22654544518223</v>
      </c>
      <c r="W735" s="449" t="n">
        <f aca="false">1/2*Rho*Sref*Cx*vit_xz^2</f>
        <v>52.0608714013516</v>
      </c>
      <c r="X735" s="438"/>
      <c r="Y735" s="454" t="str">
        <f aca="false">IF(AND(pos_z&lt;=0,K734&gt;0),"Impact balistique","") &amp; IF(AND(H736&lt;0,vit_z&gt;=0),"Apogée","") &amp; IF(AND(Poussee=0,Q734&gt;0),"Fin de propulsion","") &amp; IF(AND(L736&gt;L_rampe,pos_xz&lt;=L_rampe),"Sortie de rampe","")</f>
        <v/>
      </c>
      <c r="Z735" s="455" t="str">
        <f aca="false">IF(ABS(t-T_para)&lt;pas/2,"Para","")</f>
        <v/>
      </c>
      <c r="AA735" s="456" t="str">
        <f aca="false">IF(ABS(t-T_satellite)&lt;pas/2,"Satellite","")</f>
        <v/>
      </c>
      <c r="AB735" s="444"/>
      <c r="AC735" s="452" t="e">
        <f aca="false">IF(ABS(t-ROUND(t,0))&lt;0.001,t,NA())</f>
        <v>#N/A</v>
      </c>
      <c r="AD735" s="457" t="e">
        <f aca="false">IF(ABS(t-ROUND(t,0))&lt;0.001,pos_x,NA())</f>
        <v>#N/A</v>
      </c>
      <c r="AE735" s="458" t="e">
        <f aca="false">IF(t&lt;T_para, pos_z, NA())</f>
        <v>#N/A</v>
      </c>
      <c r="AF735" s="444"/>
      <c r="AG735" s="450" t="n">
        <f aca="false">IF(AND(L734&lt;L_rampe,Poussee&lt;Poids*SIN(M734)),0,(-W734+Poussee)/m-Poids*SIN(M734)/m)</f>
        <v>3.70053083149489</v>
      </c>
      <c r="AH735" s="449" t="n">
        <f aca="false">IF(AND(L734&lt;L_rampe,Poussee&lt;Poids*SIN(M734)), g*SIN(M734), (-W734+Poussee)/m)</f>
        <v>-6.01716612047729</v>
      </c>
    </row>
    <row r="736" customFormat="false" ht="12" hidden="false" customHeight="false" outlineLevel="0" collapsed="false">
      <c r="A736" s="448" t="n">
        <f aca="false">IF(B735+0.01&lt;=T_ini+ROUNDUP(Temps_fin_propu,0), 0.01, IF(K735&gt;0, 0.1, 0.0001))</f>
        <v>0.0001</v>
      </c>
      <c r="B736" s="449" t="n">
        <f aca="false">B735+pas</f>
        <v>35.7015000000002</v>
      </c>
      <c r="C736" s="432"/>
      <c r="D736" s="450" t="n">
        <f aca="false">IF(AND(L735&lt;L_rampe,Poussee&lt;Poids*SIN(M735)),0,(-W735+Poussee)/m*COS(M735)-U735/m*SIN(M735))</f>
        <v>-0.823486331452515</v>
      </c>
      <c r="E736" s="451" t="n">
        <f aca="false">IF(AND(L735&lt;L_rampe,Poussee&lt;Poids*SIN(M735)),0,(-W735+Poussee)/m*SIN(M735)+U735/m*COS(M735)-Poids/m)</f>
        <v>-3.84940897332073</v>
      </c>
      <c r="F736" s="449" t="n">
        <f aca="false">SQRT(acc_x^2+acc_z^2)</f>
        <v>3.93650596112483</v>
      </c>
      <c r="G736" s="450" t="n">
        <f aca="false">G735+acc_x*pas</f>
        <v>18.9084250873847</v>
      </c>
      <c r="H736" s="451" t="n">
        <f aca="false">H735+acc_z*pas</f>
        <v>-136.864684257473</v>
      </c>
      <c r="I736" s="449" t="n">
        <f aca="false">SQRT(vit_x^2+vit_z^2)</f>
        <v>138.164649372345</v>
      </c>
      <c r="J736" s="450" t="n">
        <f aca="false">J735+0.5*(vit_x+G735)*pas*(K735&gt;=0)</f>
        <v>1017.12580762709</v>
      </c>
      <c r="K736" s="451" t="n">
        <f aca="false">K735+0.5*(vit_z+H735)*pas</f>
        <v>-12.6216124843157</v>
      </c>
      <c r="L736" s="449" t="n">
        <f aca="false">SQRT(pos_x^2+pos_z^2)</f>
        <v>1017.20411601741</v>
      </c>
      <c r="M736" s="450" t="n">
        <f aca="false">IF(AND(L735&gt;L_rampe,G736&gt;0),ATAN2(G736,H736),$M$4)</f>
        <v>-1.43351120215453</v>
      </c>
      <c r="N736" s="449" t="n">
        <f aca="false">DEGREES(Beta)</f>
        <v>-82.1341417681793</v>
      </c>
      <c r="O736" s="438"/>
      <c r="P736" s="452" t="n">
        <f aca="false">MATCH(t-pas/2-T_ini,CdP_t)</f>
        <v>23</v>
      </c>
      <c r="Q736" s="449" t="n">
        <f aca="false">(INDEX(CdP,2,i_P+1)-INDEX(CdP,2,i_P+0))/(INDEX(CdP,1,i_P+1)-INDEX(CdP,1,i_P+0))*(t-pas/2-T_ini-INDEX(CdP,1,i_P+0))+INDEX(CdP,2,i_P+0)</f>
        <v>0</v>
      </c>
      <c r="R736" s="450" t="n">
        <f aca="false">Poussee/(g*ISP)</f>
        <v>0</v>
      </c>
      <c r="S736" s="451" t="n">
        <f aca="false">S735-Débit*pas</f>
        <v>8.652</v>
      </c>
      <c r="T736" s="449" t="n">
        <f aca="false">m*g</f>
        <v>84.87612</v>
      </c>
      <c r="U736" s="453" t="n">
        <f aca="false">IF(pos_xz&lt;L_rampe,Poids*COS(Beta),0)</f>
        <v>0</v>
      </c>
      <c r="V736" s="450" t="n">
        <f aca="false">Rho_moyen*(20000-Alt_rampe-pos_z)/(20000+Alt_rampe+pos_z)</f>
        <v>1.22654712388924</v>
      </c>
      <c r="W736" s="449" t="n">
        <f aca="false">1/2*Rho*Sref*Cx*vit_xz^2</f>
        <v>52.0612215271906</v>
      </c>
      <c r="X736" s="438"/>
      <c r="Y736" s="454" t="str">
        <f aca="false">IF(AND(pos_z&lt;=0,K735&gt;0),"Impact balistique","") &amp; IF(AND(H737&lt;0,vit_z&gt;=0),"Apogée","") &amp; IF(AND(Poussee=0,Q735&gt;0),"Fin de propulsion","") &amp; IF(AND(L737&gt;L_rampe,pos_xz&lt;=L_rampe),"Sortie de rampe","")</f>
        <v/>
      </c>
      <c r="Z736" s="455" t="str">
        <f aca="false">IF(ABS(t-T_para)&lt;pas/2,"Para","")</f>
        <v/>
      </c>
      <c r="AA736" s="456" t="str">
        <f aca="false">IF(ABS(t-T_satellite)&lt;pas/2,"Satellite","")</f>
        <v/>
      </c>
      <c r="AB736" s="444"/>
      <c r="AC736" s="452" t="e">
        <f aca="false">IF(ABS(t-ROUND(t,0))&lt;0.001,t,NA())</f>
        <v>#N/A</v>
      </c>
      <c r="AD736" s="457" t="e">
        <f aca="false">IF(ABS(t-ROUND(t,0))&lt;0.001,pos_x,NA())</f>
        <v>#N/A</v>
      </c>
      <c r="AE736" s="458" t="e">
        <f aca="false">IF(t&lt;T_para, pos_z, NA())</f>
        <v>#N/A</v>
      </c>
      <c r="AF736" s="444"/>
      <c r="AG736" s="450" t="n">
        <f aca="false">IF(AND(L735&lt;L_rampe,Poussee&lt;Poids*SIN(M735)),0,(-W735+Poussee)/m-Poids*SIN(M735)/m)</f>
        <v>3.70049166832098</v>
      </c>
      <c r="AH736" s="449" t="n">
        <f aca="false">IF(AND(L735&lt;L_rampe,Poussee&lt;Poids*SIN(M735)), g*SIN(M735), (-W735+Poussee)/m)</f>
        <v>-6.01720658822834</v>
      </c>
    </row>
    <row r="737" customFormat="false" ht="12" hidden="false" customHeight="false" outlineLevel="0" collapsed="false">
      <c r="A737" s="448" t="n">
        <f aca="false">IF(B736+0.01&lt;=T_ini+ROUNDUP(Temps_fin_propu,0), 0.01, IF(K736&gt;0, 0.1, 0.0001))</f>
        <v>0.0001</v>
      </c>
      <c r="B737" s="449" t="n">
        <f aca="false">B736+pas</f>
        <v>35.7016000000003</v>
      </c>
      <c r="C737" s="432"/>
      <c r="D737" s="450" t="n">
        <f aca="false">IF(AND(L736&lt;L_rampe,Poussee&lt;Poids*SIN(M736)),0,(-W736+Poussee)/m*COS(M736)-U736/m*SIN(M736))</f>
        <v>-0.823486077695267</v>
      </c>
      <c r="E737" s="451" t="n">
        <f aca="false">IF(AND(L736&lt;L_rampe,Poussee&lt;Poids*SIN(M736)),0,(-W736+Poussee)/m*SIN(M736)+U736/m*COS(M736)-Poids/m)</f>
        <v>-3.84936808627267</v>
      </c>
      <c r="F737" s="449" t="n">
        <f aca="false">SQRT(acc_x^2+acc_z^2)</f>
        <v>3.93646592564605</v>
      </c>
      <c r="G737" s="450" t="n">
        <f aca="false">G736+acc_x*pas</f>
        <v>18.9083427387769</v>
      </c>
      <c r="H737" s="451" t="n">
        <f aca="false">H736+acc_z*pas</f>
        <v>-136.865069194282</v>
      </c>
      <c r="I737" s="449" t="n">
        <f aca="false">SQRT(vit_x^2+vit_z^2)</f>
        <v>138.165019417661</v>
      </c>
      <c r="J737" s="450" t="n">
        <f aca="false">J736+0.5*(vit_x+G736)*pas*(K736&gt;=0)</f>
        <v>1017.12580762709</v>
      </c>
      <c r="K737" s="451" t="n">
        <f aca="false">K736+0.5*(vit_z+H736)*pas</f>
        <v>-12.6352989719883</v>
      </c>
      <c r="L737" s="449" t="n">
        <f aca="false">SQRT(pos_x^2+pos_z^2)</f>
        <v>1017.20428593335</v>
      </c>
      <c r="M737" s="450" t="n">
        <f aca="false">IF(AND(L736&gt;L_rampe,G737&gt;0),ATAN2(G737,H737),$M$4)</f>
        <v>-1.43351217384808</v>
      </c>
      <c r="N737" s="449" t="n">
        <f aca="false">DEGREES(Beta)</f>
        <v>-82.1341974421191</v>
      </c>
      <c r="O737" s="438"/>
      <c r="P737" s="452" t="n">
        <f aca="false">MATCH(t-pas/2-T_ini,CdP_t)</f>
        <v>23</v>
      </c>
      <c r="Q737" s="449" t="n">
        <f aca="false">(INDEX(CdP,2,i_P+1)-INDEX(CdP,2,i_P+0))/(INDEX(CdP,1,i_P+1)-INDEX(CdP,1,i_P+0))*(t-pas/2-T_ini-INDEX(CdP,1,i_P+0))+INDEX(CdP,2,i_P+0)</f>
        <v>0</v>
      </c>
      <c r="R737" s="450" t="n">
        <f aca="false">Poussee/(g*ISP)</f>
        <v>0</v>
      </c>
      <c r="S737" s="451" t="n">
        <f aca="false">S736-Débit*pas</f>
        <v>8.652</v>
      </c>
      <c r="T737" s="449" t="n">
        <f aca="false">m*g</f>
        <v>84.87612</v>
      </c>
      <c r="U737" s="453" t="n">
        <f aca="false">IF(pos_xz&lt;L_rampe,Poids*COS(Beta),0)</f>
        <v>0</v>
      </c>
      <c r="V737" s="450" t="n">
        <f aca="false">Rho_moyen*(20000-Alt_rampe-pos_z)/(20000+Alt_rampe+pos_z)</f>
        <v>1.22654880260327</v>
      </c>
      <c r="W737" s="449" t="n">
        <f aca="false">1/2*Rho*Sref*Cx*vit_xz^2</f>
        <v>52.0615716518864</v>
      </c>
      <c r="X737" s="438"/>
      <c r="Y737" s="454" t="str">
        <f aca="false">IF(AND(pos_z&lt;=0,K736&gt;0),"Impact balistique","") &amp; IF(AND(H738&lt;0,vit_z&gt;=0),"Apogée","") &amp; IF(AND(Poussee=0,Q736&gt;0),"Fin de propulsion","") &amp; IF(AND(L738&gt;L_rampe,pos_xz&lt;=L_rampe),"Sortie de rampe","")</f>
        <v/>
      </c>
      <c r="Z737" s="455" t="str">
        <f aca="false">IF(ABS(t-T_para)&lt;pas/2,"Para","")</f>
        <v/>
      </c>
      <c r="AA737" s="456" t="str">
        <f aca="false">IF(ABS(t-T_satellite)&lt;pas/2,"Satellite","")</f>
        <v/>
      </c>
      <c r="AB737" s="444"/>
      <c r="AC737" s="452" t="e">
        <f aca="false">IF(ABS(t-ROUND(t,0))&lt;0.001,t,NA())</f>
        <v>#N/A</v>
      </c>
      <c r="AD737" s="457" t="e">
        <f aca="false">IF(ABS(t-ROUND(t,0))&lt;0.001,pos_x,NA())</f>
        <v>#N/A</v>
      </c>
      <c r="AE737" s="458" t="e">
        <f aca="false">IF(t&lt;T_para, pos_z, NA())</f>
        <v>#N/A</v>
      </c>
      <c r="AF737" s="444"/>
      <c r="AG737" s="450" t="n">
        <f aca="false">IF(AND(L736&lt;L_rampe,Poussee&lt;Poids*SIN(M736)),0,(-W736+Poussee)/m-Poids*SIN(M736)/m)</f>
        <v>3.70045250525735</v>
      </c>
      <c r="AH737" s="449" t="n">
        <f aca="false">IF(AND(L736&lt;L_rampe,Poussee&lt;Poids*SIN(M736)), g*SIN(M736), (-W736+Poussee)/m)</f>
        <v>-6.01724705584727</v>
      </c>
    </row>
    <row r="738" customFormat="false" ht="12" hidden="false" customHeight="false" outlineLevel="0" collapsed="false">
      <c r="A738" s="448" t="n">
        <f aca="false">IF(B737+0.01&lt;=T_ini+ROUNDUP(Temps_fin_propu,0), 0.01, IF(K737&gt;0, 0.1, 0.0001))</f>
        <v>0.0001</v>
      </c>
      <c r="B738" s="449" t="n">
        <f aca="false">B737+pas</f>
        <v>35.7017000000003</v>
      </c>
      <c r="C738" s="432"/>
      <c r="D738" s="450" t="n">
        <f aca="false">IF(AND(L737&lt;L_rampe,Poussee&lt;Poids*SIN(M737)),0,(-W737+Poussee)/m*COS(M737)-U737/m*SIN(M737))</f>
        <v>-0.823485823897502</v>
      </c>
      <c r="E738" s="451" t="n">
        <f aca="false">IF(AND(L737&lt;L_rampe,Poussee&lt;Poids*SIN(M737)),0,(-W737+Poussee)/m*SIN(M737)+U737/m*COS(M737)-Poids/m)</f>
        <v>-3.84932719935813</v>
      </c>
      <c r="F738" s="449" t="n">
        <f aca="false">SQRT(acc_x^2+acc_z^2)</f>
        <v>3.9364258903069</v>
      </c>
      <c r="G738" s="450" t="n">
        <f aca="false">G737+acc_x*pas</f>
        <v>18.9082603901945</v>
      </c>
      <c r="H738" s="451" t="n">
        <f aca="false">H737+acc_z*pas</f>
        <v>-136.865454127002</v>
      </c>
      <c r="I738" s="449" t="n">
        <f aca="false">SQRT(vit_x^2+vit_z^2)</f>
        <v>138.16538945906</v>
      </c>
      <c r="J738" s="450" t="n">
        <f aca="false">J737+0.5*(vit_x+G737)*pas*(K737&gt;=0)</f>
        <v>1017.12580762709</v>
      </c>
      <c r="K738" s="451" t="n">
        <f aca="false">K737+0.5*(vit_z+H737)*pas</f>
        <v>-12.6489854981543</v>
      </c>
      <c r="L738" s="449" t="n">
        <f aca="false">SQRT(pos_x^2+pos_z^2)</f>
        <v>1017.20445603388</v>
      </c>
      <c r="M738" s="450" t="n">
        <f aca="false">IF(AND(L737&gt;L_rampe,G738&gt;0),ATAN2(G738,H738),$M$4)</f>
        <v>-1.4335131455322</v>
      </c>
      <c r="N738" s="449" t="n">
        <f aca="false">DEGREES(Beta)</f>
        <v>-82.1342531155182</v>
      </c>
      <c r="O738" s="438"/>
      <c r="P738" s="452" t="n">
        <f aca="false">MATCH(t-pas/2-T_ini,CdP_t)</f>
        <v>23</v>
      </c>
      <c r="Q738" s="449" t="n">
        <f aca="false">(INDEX(CdP,2,i_P+1)-INDEX(CdP,2,i_P+0))/(INDEX(CdP,1,i_P+1)-INDEX(CdP,1,i_P+0))*(t-pas/2-T_ini-INDEX(CdP,1,i_P+0))+INDEX(CdP,2,i_P+0)</f>
        <v>0</v>
      </c>
      <c r="R738" s="450" t="n">
        <f aca="false">Poussee/(g*ISP)</f>
        <v>0</v>
      </c>
      <c r="S738" s="451" t="n">
        <f aca="false">S737-Débit*pas</f>
        <v>8.652</v>
      </c>
      <c r="T738" s="449" t="n">
        <f aca="false">m*g</f>
        <v>84.87612</v>
      </c>
      <c r="U738" s="453" t="n">
        <f aca="false">IF(pos_xz&lt;L_rampe,Poids*COS(Beta),0)</f>
        <v>0</v>
      </c>
      <c r="V738" s="450" t="n">
        <f aca="false">Rho_moyen*(20000-Alt_rampe-pos_z)/(20000+Alt_rampe+pos_z)</f>
        <v>1.22655048132431</v>
      </c>
      <c r="W738" s="449" t="n">
        <f aca="false">1/2*Rho*Sref*Cx*vit_xz^2</f>
        <v>52.0619217754391</v>
      </c>
      <c r="X738" s="438"/>
      <c r="Y738" s="454" t="str">
        <f aca="false">IF(AND(pos_z&lt;=0,K737&gt;0),"Impact balistique","") &amp; IF(AND(H739&lt;0,vit_z&gt;=0),"Apogée","") &amp; IF(AND(Poussee=0,Q737&gt;0),"Fin de propulsion","") &amp; IF(AND(L739&gt;L_rampe,pos_xz&lt;=L_rampe),"Sortie de rampe","")</f>
        <v/>
      </c>
      <c r="Z738" s="455" t="str">
        <f aca="false">IF(ABS(t-T_para)&lt;pas/2,"Para","")</f>
        <v/>
      </c>
      <c r="AA738" s="456" t="str">
        <f aca="false">IF(ABS(t-T_satellite)&lt;pas/2,"Satellite","")</f>
        <v/>
      </c>
      <c r="AB738" s="444"/>
      <c r="AC738" s="452" t="e">
        <f aca="false">IF(ABS(t-ROUND(t,0))&lt;0.001,t,NA())</f>
        <v>#N/A</v>
      </c>
      <c r="AD738" s="457" t="e">
        <f aca="false">IF(ABS(t-ROUND(t,0))&lt;0.001,pos_x,NA())</f>
        <v>#N/A</v>
      </c>
      <c r="AE738" s="458" t="e">
        <f aca="false">IF(t&lt;T_para, pos_z, NA())</f>
        <v>#N/A</v>
      </c>
      <c r="AF738" s="444"/>
      <c r="AG738" s="450" t="n">
        <f aca="false">IF(AND(L737&lt;L_rampe,Poussee&lt;Poids*SIN(M737)),0,(-W737+Poussee)/m-Poids*SIN(M737)/m)</f>
        <v>3.700413342304</v>
      </c>
      <c r="AH738" s="449" t="n">
        <f aca="false">IF(AND(L737&lt;L_rampe,Poussee&lt;Poids*SIN(M737)), g*SIN(M737), (-W737+Poussee)/m)</f>
        <v>-6.01728752333408</v>
      </c>
    </row>
    <row r="739" customFormat="false" ht="12" hidden="false" customHeight="false" outlineLevel="0" collapsed="false">
      <c r="A739" s="448" t="n">
        <f aca="false">IF(B738+0.01&lt;=T_ini+ROUNDUP(Temps_fin_propu,0), 0.01, IF(K738&gt;0, 0.1, 0.0001))</f>
        <v>0.0001</v>
      </c>
      <c r="B739" s="449" t="n">
        <f aca="false">B738+pas</f>
        <v>35.7018000000003</v>
      </c>
      <c r="C739" s="432"/>
      <c r="D739" s="450" t="n">
        <f aca="false">IF(AND(L738&lt;L_rampe,Poussee&lt;Poids*SIN(M738)),0,(-W738+Poussee)/m*COS(M738)-U738/m*SIN(M738))</f>
        <v>-0.823485570059224</v>
      </c>
      <c r="E739" s="451" t="n">
        <f aca="false">IF(AND(L738&lt;L_rampe,Poussee&lt;Poids*SIN(M738)),0,(-W738+Poussee)/m*SIN(M738)+U738/m*COS(M738)-Poids/m)</f>
        <v>-3.84928631257711</v>
      </c>
      <c r="F739" s="449" t="n">
        <f aca="false">SQRT(acc_x^2+acc_z^2)</f>
        <v>3.93638585510735</v>
      </c>
      <c r="G739" s="450" t="n">
        <f aca="false">G738+acc_x*pas</f>
        <v>18.9081780416375</v>
      </c>
      <c r="H739" s="451" t="n">
        <f aca="false">H738+acc_z*pas</f>
        <v>-136.865839055633</v>
      </c>
      <c r="I739" s="449" t="n">
        <f aca="false">SQRT(vit_x^2+vit_z^2)</f>
        <v>138.165759496543</v>
      </c>
      <c r="J739" s="450" t="n">
        <f aca="false">J738+0.5*(vit_x+G738)*pas*(K738&gt;=0)</f>
        <v>1017.12580762709</v>
      </c>
      <c r="K739" s="451" t="n">
        <f aca="false">K738+0.5*(vit_z+H738)*pas</f>
        <v>-12.6626720628135</v>
      </c>
      <c r="L739" s="449" t="n">
        <f aca="false">SQRT(pos_x^2+pos_z^2)</f>
        <v>1017.20462631903</v>
      </c>
      <c r="M739" s="450" t="n">
        <f aca="false">IF(AND(L738&gt;L_rampe,G739&gt;0),ATAN2(G739,H739),$M$4)</f>
        <v>-1.43351411720689</v>
      </c>
      <c r="N739" s="449" t="n">
        <f aca="false">DEGREES(Beta)</f>
        <v>-82.1343087883767</v>
      </c>
      <c r="O739" s="438"/>
      <c r="P739" s="452" t="n">
        <f aca="false">MATCH(t-pas/2-T_ini,CdP_t)</f>
        <v>23</v>
      </c>
      <c r="Q739" s="449" t="n">
        <f aca="false">(INDEX(CdP,2,i_P+1)-INDEX(CdP,2,i_P+0))/(INDEX(CdP,1,i_P+1)-INDEX(CdP,1,i_P+0))*(t-pas/2-T_ini-INDEX(CdP,1,i_P+0))+INDEX(CdP,2,i_P+0)</f>
        <v>0</v>
      </c>
      <c r="R739" s="450" t="n">
        <f aca="false">Poussee/(g*ISP)</f>
        <v>0</v>
      </c>
      <c r="S739" s="451" t="n">
        <f aca="false">S738-Débit*pas</f>
        <v>8.652</v>
      </c>
      <c r="T739" s="449" t="n">
        <f aca="false">m*g</f>
        <v>84.87612</v>
      </c>
      <c r="U739" s="453" t="n">
        <f aca="false">IF(pos_xz&lt;L_rampe,Poids*COS(Beta),0)</f>
        <v>0</v>
      </c>
      <c r="V739" s="450" t="n">
        <f aca="false">Rho_moyen*(20000-Alt_rampe-pos_z)/(20000+Alt_rampe+pos_z)</f>
        <v>1.22655216005238</v>
      </c>
      <c r="W739" s="449" t="n">
        <f aca="false">1/2*Rho*Sref*Cx*vit_xz^2</f>
        <v>52.0622718978487</v>
      </c>
      <c r="X739" s="438"/>
      <c r="Y739" s="454" t="str">
        <f aca="false">IF(AND(pos_z&lt;=0,K738&gt;0),"Impact balistique","") &amp; IF(AND(H740&lt;0,vit_z&gt;=0),"Apogée","") &amp; IF(AND(Poussee=0,Q738&gt;0),"Fin de propulsion","") &amp; IF(AND(L740&gt;L_rampe,pos_xz&lt;=L_rampe),"Sortie de rampe","")</f>
        <v/>
      </c>
      <c r="Z739" s="455" t="str">
        <f aca="false">IF(ABS(t-T_para)&lt;pas/2,"Para","")</f>
        <v/>
      </c>
      <c r="AA739" s="456" t="str">
        <f aca="false">IF(ABS(t-T_satellite)&lt;pas/2,"Satellite","")</f>
        <v/>
      </c>
      <c r="AB739" s="444"/>
      <c r="AC739" s="452" t="e">
        <f aca="false">IF(ABS(t-ROUND(t,0))&lt;0.001,t,NA())</f>
        <v>#N/A</v>
      </c>
      <c r="AD739" s="457" t="e">
        <f aca="false">IF(ABS(t-ROUND(t,0))&lt;0.001,pos_x,NA())</f>
        <v>#N/A</v>
      </c>
      <c r="AE739" s="458" t="e">
        <f aca="false">IF(t&lt;T_para, pos_z, NA())</f>
        <v>#N/A</v>
      </c>
      <c r="AF739" s="444"/>
      <c r="AG739" s="450" t="n">
        <f aca="false">IF(AND(L738&lt;L_rampe,Poussee&lt;Poids*SIN(M738)),0,(-W738+Poussee)/m-Poids*SIN(M738)/m)</f>
        <v>3.70037417946093</v>
      </c>
      <c r="AH739" s="449" t="n">
        <f aca="false">IF(AND(L738&lt;L_rampe,Poussee&lt;Poids*SIN(M738)), g*SIN(M738), (-W738+Poussee)/m)</f>
        <v>-6.01732799068876</v>
      </c>
    </row>
    <row r="740" customFormat="false" ht="12" hidden="false" customHeight="false" outlineLevel="0" collapsed="false">
      <c r="A740" s="448" t="n">
        <f aca="false">IF(B739+0.01&lt;=T_ini+ROUNDUP(Temps_fin_propu,0), 0.01, IF(K739&gt;0, 0.1, 0.0001))</f>
        <v>0.0001</v>
      </c>
      <c r="B740" s="449" t="n">
        <f aca="false">B739+pas</f>
        <v>35.7019000000003</v>
      </c>
      <c r="C740" s="432"/>
      <c r="D740" s="450" t="n">
        <f aca="false">IF(AND(L739&lt;L_rampe,Poussee&lt;Poids*SIN(M739)),0,(-W739+Poussee)/m*COS(M739)-U739/m*SIN(M739))</f>
        <v>-0.823485316180434</v>
      </c>
      <c r="E740" s="451" t="n">
        <f aca="false">IF(AND(L739&lt;L_rampe,Poussee&lt;Poids*SIN(M739)),0,(-W739+Poussee)/m*SIN(M739)+U739/m*COS(M739)-Poids/m)</f>
        <v>-3.8492454259296</v>
      </c>
      <c r="F740" s="449" t="n">
        <f aca="false">SQRT(acc_x^2+acc_z^2)</f>
        <v>3.93634582004742</v>
      </c>
      <c r="G740" s="450" t="n">
        <f aca="false">G739+acc_x*pas</f>
        <v>18.9080956931059</v>
      </c>
      <c r="H740" s="451" t="n">
        <f aca="false">H739+acc_z*pas</f>
        <v>-136.866223980175</v>
      </c>
      <c r="I740" s="449" t="n">
        <f aca="false">SQRT(vit_x^2+vit_z^2)</f>
        <v>138.16612953011</v>
      </c>
      <c r="J740" s="450" t="n">
        <f aca="false">J739+0.5*(vit_x+G739)*pas*(K739&gt;=0)</f>
        <v>1017.12580762709</v>
      </c>
      <c r="K740" s="451" t="n">
        <f aca="false">K739+0.5*(vit_z+H739)*pas</f>
        <v>-12.6763586659653</v>
      </c>
      <c r="L740" s="449" t="n">
        <f aca="false">SQRT(pos_x^2+pos_z^2)</f>
        <v>1017.20479678877</v>
      </c>
      <c r="M740" s="450" t="n">
        <f aca="false">IF(AND(L739&gt;L_rampe,G740&gt;0),ATAN2(G740,H740),$M$4)</f>
        <v>-1.43351508887213</v>
      </c>
      <c r="N740" s="449" t="n">
        <f aca="false">DEGREES(Beta)</f>
        <v>-82.1343644606944</v>
      </c>
      <c r="O740" s="438"/>
      <c r="P740" s="452" t="n">
        <f aca="false">MATCH(t-pas/2-T_ini,CdP_t)</f>
        <v>23</v>
      </c>
      <c r="Q740" s="449" t="n">
        <f aca="false">(INDEX(CdP,2,i_P+1)-INDEX(CdP,2,i_P+0))/(INDEX(CdP,1,i_P+1)-INDEX(CdP,1,i_P+0))*(t-pas/2-T_ini-INDEX(CdP,1,i_P+0))+INDEX(CdP,2,i_P+0)</f>
        <v>0</v>
      </c>
      <c r="R740" s="450" t="n">
        <f aca="false">Poussee/(g*ISP)</f>
        <v>0</v>
      </c>
      <c r="S740" s="451" t="n">
        <f aca="false">S739-Débit*pas</f>
        <v>8.652</v>
      </c>
      <c r="T740" s="449" t="n">
        <f aca="false">m*g</f>
        <v>84.87612</v>
      </c>
      <c r="U740" s="453" t="n">
        <f aca="false">IF(pos_xz&lt;L_rampe,Poids*COS(Beta),0)</f>
        <v>0</v>
      </c>
      <c r="V740" s="450" t="n">
        <f aca="false">Rho_moyen*(20000-Alt_rampe-pos_z)/(20000+Alt_rampe+pos_z)</f>
        <v>1.22655383878747</v>
      </c>
      <c r="W740" s="449" t="n">
        <f aca="false">1/2*Rho*Sref*Cx*vit_xz^2</f>
        <v>52.062622019115</v>
      </c>
      <c r="X740" s="438"/>
      <c r="Y740" s="454" t="str">
        <f aca="false">IF(AND(pos_z&lt;=0,K739&gt;0),"Impact balistique","") &amp; IF(AND(H741&lt;0,vit_z&gt;=0),"Apogée","") &amp; IF(AND(Poussee=0,Q739&gt;0),"Fin de propulsion","") &amp; IF(AND(L741&gt;L_rampe,pos_xz&lt;=L_rampe),"Sortie de rampe","")</f>
        <v/>
      </c>
      <c r="Z740" s="455" t="str">
        <f aca="false">IF(ABS(t-T_para)&lt;pas/2,"Para","")</f>
        <v/>
      </c>
      <c r="AA740" s="456" t="str">
        <f aca="false">IF(ABS(t-T_satellite)&lt;pas/2,"Satellite","")</f>
        <v/>
      </c>
      <c r="AB740" s="444"/>
      <c r="AC740" s="452" t="e">
        <f aca="false">IF(ABS(t-ROUND(t,0))&lt;0.001,t,NA())</f>
        <v>#N/A</v>
      </c>
      <c r="AD740" s="457" t="e">
        <f aca="false">IF(ABS(t-ROUND(t,0))&lt;0.001,pos_x,NA())</f>
        <v>#N/A</v>
      </c>
      <c r="AE740" s="458" t="e">
        <f aca="false">IF(t&lt;T_para, pos_z, NA())</f>
        <v>#N/A</v>
      </c>
      <c r="AF740" s="444"/>
      <c r="AG740" s="450" t="n">
        <f aca="false">IF(AND(L739&lt;L_rampe,Poussee&lt;Poids*SIN(M739)),0,(-W739+Poussee)/m-Poids*SIN(M739)/m)</f>
        <v>3.70033501672814</v>
      </c>
      <c r="AH740" s="449" t="n">
        <f aca="false">IF(AND(L739&lt;L_rampe,Poussee&lt;Poids*SIN(M739)), g*SIN(M739), (-W739+Poussee)/m)</f>
        <v>-6.01736845791131</v>
      </c>
    </row>
    <row r="741" customFormat="false" ht="12" hidden="false" customHeight="false" outlineLevel="0" collapsed="false">
      <c r="A741" s="448" t="n">
        <f aca="false">IF(B740+0.01&lt;=T_ini+ROUNDUP(Temps_fin_propu,0), 0.01, IF(K740&gt;0, 0.1, 0.0001))</f>
        <v>0.0001</v>
      </c>
      <c r="B741" s="449" t="n">
        <f aca="false">B740+pas</f>
        <v>35.7020000000003</v>
      </c>
      <c r="C741" s="432"/>
      <c r="D741" s="450" t="n">
        <f aca="false">IF(AND(L740&lt;L_rampe,Poussee&lt;Poids*SIN(M740)),0,(-W740+Poussee)/m*COS(M740)-U740/m*SIN(M740))</f>
        <v>-0.82348506226113</v>
      </c>
      <c r="E741" s="451" t="n">
        <f aca="false">IF(AND(L740&lt;L_rampe,Poussee&lt;Poids*SIN(M740)),0,(-W740+Poussee)/m*SIN(M740)+U740/m*COS(M740)-Poids/m)</f>
        <v>-3.84920453941562</v>
      </c>
      <c r="F741" s="449" t="n">
        <f aca="false">SQRT(acc_x^2+acc_z^2)</f>
        <v>3.9363057851271</v>
      </c>
      <c r="G741" s="450" t="n">
        <f aca="false">G740+acc_x*pas</f>
        <v>18.9080133445997</v>
      </c>
      <c r="H741" s="451" t="n">
        <f aca="false">H740+acc_z*pas</f>
        <v>-136.866608900629</v>
      </c>
      <c r="I741" s="449" t="n">
        <f aca="false">SQRT(vit_x^2+vit_z^2)</f>
        <v>138.166499559761</v>
      </c>
      <c r="J741" s="450" t="n">
        <f aca="false">J740+0.5*(vit_x+G740)*pas*(K740&gt;=0)</f>
        <v>1017.12580762709</v>
      </c>
      <c r="K741" s="451" t="n">
        <f aca="false">K740+0.5*(vit_z+H740)*pas</f>
        <v>-12.6900453076093</v>
      </c>
      <c r="L741" s="449" t="n">
        <f aca="false">SQRT(pos_x^2+pos_z^2)</f>
        <v>1017.20496744312</v>
      </c>
      <c r="M741" s="450" t="n">
        <f aca="false">IF(AND(L740&gt;L_rampe,G741&gt;0),ATAN2(G741,H741),$M$4)</f>
        <v>-1.43351606052795</v>
      </c>
      <c r="N741" s="449" t="n">
        <f aca="false">DEGREES(Beta)</f>
        <v>-82.1344201324715</v>
      </c>
      <c r="O741" s="438"/>
      <c r="P741" s="452" t="n">
        <f aca="false">MATCH(t-pas/2-T_ini,CdP_t)</f>
        <v>23</v>
      </c>
      <c r="Q741" s="449" t="n">
        <f aca="false">(INDEX(CdP,2,i_P+1)-INDEX(CdP,2,i_P+0))/(INDEX(CdP,1,i_P+1)-INDEX(CdP,1,i_P+0))*(t-pas/2-T_ini-INDEX(CdP,1,i_P+0))+INDEX(CdP,2,i_P+0)</f>
        <v>0</v>
      </c>
      <c r="R741" s="450" t="n">
        <f aca="false">Poussee/(g*ISP)</f>
        <v>0</v>
      </c>
      <c r="S741" s="451" t="n">
        <f aca="false">S740-Débit*pas</f>
        <v>8.652</v>
      </c>
      <c r="T741" s="449" t="n">
        <f aca="false">m*g</f>
        <v>84.87612</v>
      </c>
      <c r="U741" s="453" t="n">
        <f aca="false">IF(pos_xz&lt;L_rampe,Poids*COS(Beta),0)</f>
        <v>0</v>
      </c>
      <c r="V741" s="450" t="n">
        <f aca="false">Rho_moyen*(20000-Alt_rampe-pos_z)/(20000+Alt_rampe+pos_z)</f>
        <v>1.22655551752958</v>
      </c>
      <c r="W741" s="449" t="n">
        <f aca="false">1/2*Rho*Sref*Cx*vit_xz^2</f>
        <v>52.0629721392381</v>
      </c>
      <c r="X741" s="438"/>
      <c r="Y741" s="454" t="str">
        <f aca="false">IF(AND(pos_z&lt;=0,K740&gt;0),"Impact balistique","") &amp; IF(AND(H742&lt;0,vit_z&gt;=0),"Apogée","") &amp; IF(AND(Poussee=0,Q740&gt;0),"Fin de propulsion","") &amp; IF(AND(L742&gt;L_rampe,pos_xz&lt;=L_rampe),"Sortie de rampe","")</f>
        <v/>
      </c>
      <c r="Z741" s="455" t="str">
        <f aca="false">IF(ABS(t-T_para)&lt;pas/2,"Para","")</f>
        <v/>
      </c>
      <c r="AA741" s="456" t="str">
        <f aca="false">IF(ABS(t-T_satellite)&lt;pas/2,"Satellite","")</f>
        <v/>
      </c>
      <c r="AB741" s="444"/>
      <c r="AC741" s="452" t="e">
        <f aca="false">IF(ABS(t-ROUND(t,0))&lt;0.001,t,NA())</f>
        <v>#N/A</v>
      </c>
      <c r="AD741" s="457" t="e">
        <f aca="false">IF(ABS(t-ROUND(t,0))&lt;0.001,pos_x,NA())</f>
        <v>#N/A</v>
      </c>
      <c r="AE741" s="458" t="e">
        <f aca="false">IF(t&lt;T_para, pos_z, NA())</f>
        <v>#N/A</v>
      </c>
      <c r="AF741" s="444"/>
      <c r="AG741" s="450" t="n">
        <f aca="false">IF(AND(L740&lt;L_rampe,Poussee&lt;Poids*SIN(M740)),0,(-W740+Poussee)/m-Poids*SIN(M740)/m)</f>
        <v>3.70029585410564</v>
      </c>
      <c r="AH741" s="449" t="n">
        <f aca="false">IF(AND(L740&lt;L_rampe,Poussee&lt;Poids*SIN(M740)), g*SIN(M740), (-W740+Poussee)/m)</f>
        <v>-6.01740892500173</v>
      </c>
    </row>
    <row r="742" customFormat="false" ht="12" hidden="false" customHeight="false" outlineLevel="0" collapsed="false">
      <c r="A742" s="448" t="n">
        <f aca="false">IF(B741+0.01&lt;=T_ini+ROUNDUP(Temps_fin_propu,0), 0.01, IF(K741&gt;0, 0.1, 0.0001))</f>
        <v>0.0001</v>
      </c>
      <c r="B742" s="449" t="n">
        <f aca="false">B741+pas</f>
        <v>35.7021000000003</v>
      </c>
      <c r="C742" s="432"/>
      <c r="D742" s="450" t="n">
        <f aca="false">IF(AND(L741&lt;L_rampe,Poussee&lt;Poids*SIN(M741)),0,(-W741+Poussee)/m*COS(M741)-U741/m*SIN(M741))</f>
        <v>-0.823484808301315</v>
      </c>
      <c r="E742" s="451" t="n">
        <f aca="false">IF(AND(L741&lt;L_rampe,Poussee&lt;Poids*SIN(M741)),0,(-W741+Poussee)/m*SIN(M741)+U741/m*COS(M741)-Poids/m)</f>
        <v>-3.84916365303517</v>
      </c>
      <c r="F742" s="449" t="n">
        <f aca="false">SQRT(acc_x^2+acc_z^2)</f>
        <v>3.9362657503464</v>
      </c>
      <c r="G742" s="450" t="n">
        <f aca="false">G741+acc_x*pas</f>
        <v>18.9079309961188</v>
      </c>
      <c r="H742" s="451" t="n">
        <f aca="false">H741+acc_z*pas</f>
        <v>-136.866993816995</v>
      </c>
      <c r="I742" s="449" t="n">
        <f aca="false">SQRT(vit_x^2+vit_z^2)</f>
        <v>138.166869585495</v>
      </c>
      <c r="J742" s="450" t="n">
        <f aca="false">J741+0.5*(vit_x+G741)*pas*(K741&gt;=0)</f>
        <v>1017.12580762709</v>
      </c>
      <c r="K742" s="451" t="n">
        <f aca="false">K741+0.5*(vit_z+H741)*pas</f>
        <v>-12.7037319877452</v>
      </c>
      <c r="L742" s="449" t="n">
        <f aca="false">SQRT(pos_x^2+pos_z^2)</f>
        <v>1017.20513828209</v>
      </c>
      <c r="M742" s="450" t="n">
        <f aca="false">IF(AND(L741&gt;L_rampe,G742&gt;0),ATAN2(G742,H742),$M$4)</f>
        <v>-1.43351703217432</v>
      </c>
      <c r="N742" s="449" t="n">
        <f aca="false">DEGREES(Beta)</f>
        <v>-82.134475803708</v>
      </c>
      <c r="O742" s="438"/>
      <c r="P742" s="452" t="n">
        <f aca="false">MATCH(t-pas/2-T_ini,CdP_t)</f>
        <v>23</v>
      </c>
      <c r="Q742" s="449" t="n">
        <f aca="false">(INDEX(CdP,2,i_P+1)-INDEX(CdP,2,i_P+0))/(INDEX(CdP,1,i_P+1)-INDEX(CdP,1,i_P+0))*(t-pas/2-T_ini-INDEX(CdP,1,i_P+0))+INDEX(CdP,2,i_P+0)</f>
        <v>0</v>
      </c>
      <c r="R742" s="450" t="n">
        <f aca="false">Poussee/(g*ISP)</f>
        <v>0</v>
      </c>
      <c r="S742" s="451" t="n">
        <f aca="false">S741-Débit*pas</f>
        <v>8.652</v>
      </c>
      <c r="T742" s="449" t="n">
        <f aca="false">m*g</f>
        <v>84.87612</v>
      </c>
      <c r="U742" s="453" t="n">
        <f aca="false">IF(pos_xz&lt;L_rampe,Poids*COS(Beta),0)</f>
        <v>0</v>
      </c>
      <c r="V742" s="450" t="n">
        <f aca="false">Rho_moyen*(20000-Alt_rampe-pos_z)/(20000+Alt_rampe+pos_z)</f>
        <v>1.22655719627871</v>
      </c>
      <c r="W742" s="449" t="n">
        <f aca="false">1/2*Rho*Sref*Cx*vit_xz^2</f>
        <v>52.063322258218</v>
      </c>
      <c r="X742" s="438"/>
      <c r="Y742" s="454" t="str">
        <f aca="false">IF(AND(pos_z&lt;=0,K741&gt;0),"Impact balistique","") &amp; IF(AND(H743&lt;0,vit_z&gt;=0),"Apogée","") &amp; IF(AND(Poussee=0,Q741&gt;0),"Fin de propulsion","") &amp; IF(AND(L743&gt;L_rampe,pos_xz&lt;=L_rampe),"Sortie de rampe","")</f>
        <v/>
      </c>
      <c r="Z742" s="455" t="str">
        <f aca="false">IF(ABS(t-T_para)&lt;pas/2,"Para","")</f>
        <v/>
      </c>
      <c r="AA742" s="456" t="str">
        <f aca="false">IF(ABS(t-T_satellite)&lt;pas/2,"Satellite","")</f>
        <v/>
      </c>
      <c r="AB742" s="444"/>
      <c r="AC742" s="452" t="e">
        <f aca="false">IF(ABS(t-ROUND(t,0))&lt;0.001,t,NA())</f>
        <v>#N/A</v>
      </c>
      <c r="AD742" s="457" t="e">
        <f aca="false">IF(ABS(t-ROUND(t,0))&lt;0.001,pos_x,NA())</f>
        <v>#N/A</v>
      </c>
      <c r="AE742" s="458" t="e">
        <f aca="false">IF(t&lt;T_para, pos_z, NA())</f>
        <v>#N/A</v>
      </c>
      <c r="AF742" s="444"/>
      <c r="AG742" s="450" t="n">
        <f aca="false">IF(AND(L741&lt;L_rampe,Poussee&lt;Poids*SIN(M741)),0,(-W741+Poussee)/m-Poids*SIN(M741)/m)</f>
        <v>3.70025669159343</v>
      </c>
      <c r="AH742" s="449" t="n">
        <f aca="false">IF(AND(L741&lt;L_rampe,Poussee&lt;Poids*SIN(M741)), g*SIN(M741), (-W741+Poussee)/m)</f>
        <v>-6.01744939196002</v>
      </c>
    </row>
    <row r="743" customFormat="false" ht="12" hidden="false" customHeight="false" outlineLevel="0" collapsed="false">
      <c r="A743" s="448" t="n">
        <f aca="false">IF(B742+0.01&lt;=T_ini+ROUNDUP(Temps_fin_propu,0), 0.01, IF(K742&gt;0, 0.1, 0.0001))</f>
        <v>0.0001</v>
      </c>
      <c r="B743" s="449" t="n">
        <f aca="false">B742+pas</f>
        <v>35.7022000000003</v>
      </c>
      <c r="C743" s="432"/>
      <c r="D743" s="450" t="n">
        <f aca="false">IF(AND(L742&lt;L_rampe,Poussee&lt;Poids*SIN(M742)),0,(-W742+Poussee)/m*COS(M742)-U742/m*SIN(M742))</f>
        <v>-0.823484554300985</v>
      </c>
      <c r="E743" s="451" t="n">
        <f aca="false">IF(AND(L742&lt;L_rampe,Poussee&lt;Poids*SIN(M742)),0,(-W742+Poussee)/m*SIN(M742)+U742/m*COS(M742)-Poids/m)</f>
        <v>-3.84912276678825</v>
      </c>
      <c r="F743" s="449" t="n">
        <f aca="false">SQRT(acc_x^2+acc_z^2)</f>
        <v>3.93622571570532</v>
      </c>
      <c r="G743" s="450" t="n">
        <f aca="false">G742+acc_x*pas</f>
        <v>18.9078486476634</v>
      </c>
      <c r="H743" s="451" t="n">
        <f aca="false">H742+acc_z*pas</f>
        <v>-136.867378729271</v>
      </c>
      <c r="I743" s="449" t="n">
        <f aca="false">SQRT(vit_x^2+vit_z^2)</f>
        <v>138.167239607313</v>
      </c>
      <c r="J743" s="450" t="n">
        <f aca="false">J742+0.5*(vit_x+G742)*pas*(K742&gt;=0)</f>
        <v>1017.12580762709</v>
      </c>
      <c r="K743" s="451" t="n">
        <f aca="false">K742+0.5*(vit_z+H742)*pas</f>
        <v>-12.7174187063725</v>
      </c>
      <c r="L743" s="449" t="n">
        <f aca="false">SQRT(pos_x^2+pos_z^2)</f>
        <v>1017.20530930565</v>
      </c>
      <c r="M743" s="450" t="n">
        <f aca="false">IF(AND(L742&gt;L_rampe,G743&gt;0),ATAN2(G743,H743),$M$4)</f>
        <v>-1.43351800381126</v>
      </c>
      <c r="N743" s="449" t="n">
        <f aca="false">DEGREES(Beta)</f>
        <v>-82.1345314744038</v>
      </c>
      <c r="O743" s="438"/>
      <c r="P743" s="452" t="n">
        <f aca="false">MATCH(t-pas/2-T_ini,CdP_t)</f>
        <v>23</v>
      </c>
      <c r="Q743" s="449" t="n">
        <f aca="false">(INDEX(CdP,2,i_P+1)-INDEX(CdP,2,i_P+0))/(INDEX(CdP,1,i_P+1)-INDEX(CdP,1,i_P+0))*(t-pas/2-T_ini-INDEX(CdP,1,i_P+0))+INDEX(CdP,2,i_P+0)</f>
        <v>0</v>
      </c>
      <c r="R743" s="450" t="n">
        <f aca="false">Poussee/(g*ISP)</f>
        <v>0</v>
      </c>
      <c r="S743" s="451" t="n">
        <f aca="false">S742-Débit*pas</f>
        <v>8.652</v>
      </c>
      <c r="T743" s="449" t="n">
        <f aca="false">m*g</f>
        <v>84.87612</v>
      </c>
      <c r="U743" s="453" t="n">
        <f aca="false">IF(pos_xz&lt;L_rampe,Poids*COS(Beta),0)</f>
        <v>0</v>
      </c>
      <c r="V743" s="450" t="n">
        <f aca="false">Rho_moyen*(20000-Alt_rampe-pos_z)/(20000+Alt_rampe+pos_z)</f>
        <v>1.22655887503486</v>
      </c>
      <c r="W743" s="449" t="n">
        <f aca="false">1/2*Rho*Sref*Cx*vit_xz^2</f>
        <v>52.0636723760547</v>
      </c>
      <c r="X743" s="438"/>
      <c r="Y743" s="454" t="str">
        <f aca="false">IF(AND(pos_z&lt;=0,K742&gt;0),"Impact balistique","") &amp; IF(AND(H744&lt;0,vit_z&gt;=0),"Apogée","") &amp; IF(AND(Poussee=0,Q742&gt;0),"Fin de propulsion","") &amp; IF(AND(L744&gt;L_rampe,pos_xz&lt;=L_rampe),"Sortie de rampe","")</f>
        <v/>
      </c>
      <c r="Z743" s="455" t="str">
        <f aca="false">IF(ABS(t-T_para)&lt;pas/2,"Para","")</f>
        <v/>
      </c>
      <c r="AA743" s="456" t="str">
        <f aca="false">IF(ABS(t-T_satellite)&lt;pas/2,"Satellite","")</f>
        <v/>
      </c>
      <c r="AB743" s="444"/>
      <c r="AC743" s="452" t="e">
        <f aca="false">IF(ABS(t-ROUND(t,0))&lt;0.001,t,NA())</f>
        <v>#N/A</v>
      </c>
      <c r="AD743" s="457" t="e">
        <f aca="false">IF(ABS(t-ROUND(t,0))&lt;0.001,pos_x,NA())</f>
        <v>#N/A</v>
      </c>
      <c r="AE743" s="458" t="e">
        <f aca="false">IF(t&lt;T_para, pos_z, NA())</f>
        <v>#N/A</v>
      </c>
      <c r="AF743" s="444"/>
      <c r="AG743" s="450" t="n">
        <f aca="false">IF(AND(L742&lt;L_rampe,Poussee&lt;Poids*SIN(M742)),0,(-W742+Poussee)/m-Poids*SIN(M742)/m)</f>
        <v>3.70021752919152</v>
      </c>
      <c r="AH743" s="449" t="n">
        <f aca="false">IF(AND(L742&lt;L_rampe,Poussee&lt;Poids*SIN(M742)), g*SIN(M742), (-W742+Poussee)/m)</f>
        <v>-6.01748985878618</v>
      </c>
    </row>
    <row r="744" customFormat="false" ht="12" hidden="false" customHeight="false" outlineLevel="0" collapsed="false">
      <c r="A744" s="448" t="n">
        <f aca="false">IF(B743+0.01&lt;=T_ini+ROUNDUP(Temps_fin_propu,0), 0.01, IF(K743&gt;0, 0.1, 0.0001))</f>
        <v>0.0001</v>
      </c>
      <c r="B744" s="449" t="n">
        <f aca="false">B743+pas</f>
        <v>35.7023000000003</v>
      </c>
      <c r="C744" s="432"/>
      <c r="D744" s="450" t="n">
        <f aca="false">IF(AND(L743&lt;L_rampe,Poussee&lt;Poids*SIN(M743)),0,(-W743+Poussee)/m*COS(M743)-U743/m*SIN(M743))</f>
        <v>-0.823484300260144</v>
      </c>
      <c r="E744" s="451" t="n">
        <f aca="false">IF(AND(L743&lt;L_rampe,Poussee&lt;Poids*SIN(M743)),0,(-W743+Poussee)/m*SIN(M743)+U743/m*COS(M743)-Poids/m)</f>
        <v>-3.84908188067485</v>
      </c>
      <c r="F744" s="449" t="n">
        <f aca="false">SQRT(acc_x^2+acc_z^2)</f>
        <v>3.93618568120387</v>
      </c>
      <c r="G744" s="450" t="n">
        <f aca="false">G743+acc_x*pas</f>
        <v>18.9077662992334</v>
      </c>
      <c r="H744" s="451" t="n">
        <f aca="false">H743+acc_z*pas</f>
        <v>-136.867763637459</v>
      </c>
      <c r="I744" s="449" t="n">
        <f aca="false">SQRT(vit_x^2+vit_z^2)</f>
        <v>138.167609625215</v>
      </c>
      <c r="J744" s="450" t="n">
        <f aca="false">J743+0.5*(vit_x+G743)*pas*(K743&gt;=0)</f>
        <v>1017.12580762709</v>
      </c>
      <c r="K744" s="451" t="n">
        <f aca="false">K743+0.5*(vit_z+H743)*pas</f>
        <v>-12.7311054634908</v>
      </c>
      <c r="L744" s="449" t="n">
        <f aca="false">SQRT(pos_x^2+pos_z^2)</f>
        <v>1017.20548051383</v>
      </c>
      <c r="M744" s="450" t="n">
        <f aca="false">IF(AND(L743&gt;L_rampe,G744&gt;0),ATAN2(G744,H744),$M$4)</f>
        <v>-1.43351897543876</v>
      </c>
      <c r="N744" s="449" t="n">
        <f aca="false">DEGREES(Beta)</f>
        <v>-82.1345871445589</v>
      </c>
      <c r="O744" s="438"/>
      <c r="P744" s="452" t="n">
        <f aca="false">MATCH(t-pas/2-T_ini,CdP_t)</f>
        <v>23</v>
      </c>
      <c r="Q744" s="449" t="n">
        <f aca="false">(INDEX(CdP,2,i_P+1)-INDEX(CdP,2,i_P+0))/(INDEX(CdP,1,i_P+1)-INDEX(CdP,1,i_P+0))*(t-pas/2-T_ini-INDEX(CdP,1,i_P+0))+INDEX(CdP,2,i_P+0)</f>
        <v>0</v>
      </c>
      <c r="R744" s="450" t="n">
        <f aca="false">Poussee/(g*ISP)</f>
        <v>0</v>
      </c>
      <c r="S744" s="451" t="n">
        <f aca="false">S743-Débit*pas</f>
        <v>8.652</v>
      </c>
      <c r="T744" s="449" t="n">
        <f aca="false">m*g</f>
        <v>84.87612</v>
      </c>
      <c r="U744" s="453" t="n">
        <f aca="false">IF(pos_xz&lt;L_rampe,Poids*COS(Beta),0)</f>
        <v>0</v>
      </c>
      <c r="V744" s="450" t="n">
        <f aca="false">Rho_moyen*(20000-Alt_rampe-pos_z)/(20000+Alt_rampe+pos_z)</f>
        <v>1.22656055379803</v>
      </c>
      <c r="W744" s="449" t="n">
        <f aca="false">1/2*Rho*Sref*Cx*vit_xz^2</f>
        <v>52.064022492748</v>
      </c>
      <c r="X744" s="438"/>
      <c r="Y744" s="454" t="str">
        <f aca="false">IF(AND(pos_z&lt;=0,K743&gt;0),"Impact balistique","") &amp; IF(AND(H745&lt;0,vit_z&gt;=0),"Apogée","") &amp; IF(AND(Poussee=0,Q743&gt;0),"Fin de propulsion","") &amp; IF(AND(L745&gt;L_rampe,pos_xz&lt;=L_rampe),"Sortie de rampe","")</f>
        <v/>
      </c>
      <c r="Z744" s="455" t="str">
        <f aca="false">IF(ABS(t-T_para)&lt;pas/2,"Para","")</f>
        <v/>
      </c>
      <c r="AA744" s="456" t="str">
        <f aca="false">IF(ABS(t-T_satellite)&lt;pas/2,"Satellite","")</f>
        <v/>
      </c>
      <c r="AB744" s="444"/>
      <c r="AC744" s="452" t="e">
        <f aca="false">IF(ABS(t-ROUND(t,0))&lt;0.001,t,NA())</f>
        <v>#N/A</v>
      </c>
      <c r="AD744" s="457" t="e">
        <f aca="false">IF(ABS(t-ROUND(t,0))&lt;0.001,pos_x,NA())</f>
        <v>#N/A</v>
      </c>
      <c r="AE744" s="458" t="e">
        <f aca="false">IF(t&lt;T_para, pos_z, NA())</f>
        <v>#N/A</v>
      </c>
      <c r="AF744" s="444"/>
      <c r="AG744" s="450" t="n">
        <f aca="false">IF(AND(L743&lt;L_rampe,Poussee&lt;Poids*SIN(M743)),0,(-W743+Poussee)/m-Poids*SIN(M743)/m)</f>
        <v>3.7001783668999</v>
      </c>
      <c r="AH744" s="449" t="n">
        <f aca="false">IF(AND(L743&lt;L_rampe,Poussee&lt;Poids*SIN(M743)), g*SIN(M743), (-W743+Poussee)/m)</f>
        <v>-6.0175303254802</v>
      </c>
    </row>
    <row r="745" customFormat="false" ht="12" hidden="false" customHeight="false" outlineLevel="0" collapsed="false">
      <c r="A745" s="448" t="n">
        <f aca="false">IF(B744+0.01&lt;=T_ini+ROUNDUP(Temps_fin_propu,0), 0.01, IF(K744&gt;0, 0.1, 0.0001))</f>
        <v>0.0001</v>
      </c>
      <c r="B745" s="449" t="n">
        <f aca="false">B744+pas</f>
        <v>35.7024000000003</v>
      </c>
      <c r="C745" s="432"/>
      <c r="D745" s="450" t="n">
        <f aca="false">IF(AND(L744&lt;L_rampe,Poussee&lt;Poids*SIN(M744)),0,(-W744+Poussee)/m*COS(M744)-U744/m*SIN(M744))</f>
        <v>-0.823484046178793</v>
      </c>
      <c r="E745" s="451" t="n">
        <f aca="false">IF(AND(L744&lt;L_rampe,Poussee&lt;Poids*SIN(M744)),0,(-W744+Poussee)/m*SIN(M744)+U744/m*COS(M744)-Poids/m)</f>
        <v>-3.84904099469499</v>
      </c>
      <c r="F745" s="449" t="n">
        <f aca="false">SQRT(acc_x^2+acc_z^2)</f>
        <v>3.93614564684205</v>
      </c>
      <c r="G745" s="450" t="n">
        <f aca="false">G744+acc_x*pas</f>
        <v>18.9076839508288</v>
      </c>
      <c r="H745" s="451" t="n">
        <f aca="false">H744+acc_z*pas</f>
        <v>-136.868148541559</v>
      </c>
      <c r="I745" s="449" t="n">
        <f aca="false">SQRT(vit_x^2+vit_z^2)</f>
        <v>138.167979639201</v>
      </c>
      <c r="J745" s="450" t="n">
        <f aca="false">J744+0.5*(vit_x+G744)*pas*(K744&gt;=0)</f>
        <v>1017.12580762709</v>
      </c>
      <c r="K745" s="451" t="n">
        <f aca="false">K744+0.5*(vit_z+H744)*pas</f>
        <v>-12.7447922590998</v>
      </c>
      <c r="L745" s="449" t="n">
        <f aca="false">SQRT(pos_x^2+pos_z^2)</f>
        <v>1017.20565190663</v>
      </c>
      <c r="M745" s="450" t="n">
        <f aca="false">IF(AND(L744&gt;L_rampe,G745&gt;0),ATAN2(G745,H745),$M$4)</f>
        <v>-1.43351994705683</v>
      </c>
      <c r="N745" s="449" t="n">
        <f aca="false">DEGREES(Beta)</f>
        <v>-82.1346428141735</v>
      </c>
      <c r="O745" s="438"/>
      <c r="P745" s="452" t="n">
        <f aca="false">MATCH(t-pas/2-T_ini,CdP_t)</f>
        <v>23</v>
      </c>
      <c r="Q745" s="449" t="n">
        <f aca="false">(INDEX(CdP,2,i_P+1)-INDEX(CdP,2,i_P+0))/(INDEX(CdP,1,i_P+1)-INDEX(CdP,1,i_P+0))*(t-pas/2-T_ini-INDEX(CdP,1,i_P+0))+INDEX(CdP,2,i_P+0)</f>
        <v>0</v>
      </c>
      <c r="R745" s="450" t="n">
        <f aca="false">Poussee/(g*ISP)</f>
        <v>0</v>
      </c>
      <c r="S745" s="451" t="n">
        <f aca="false">S744-Débit*pas</f>
        <v>8.652</v>
      </c>
      <c r="T745" s="449" t="n">
        <f aca="false">m*g</f>
        <v>84.87612</v>
      </c>
      <c r="U745" s="453" t="n">
        <f aca="false">IF(pos_xz&lt;L_rampe,Poids*COS(Beta),0)</f>
        <v>0</v>
      </c>
      <c r="V745" s="450" t="n">
        <f aca="false">Rho_moyen*(20000-Alt_rampe-pos_z)/(20000+Alt_rampe+pos_z)</f>
        <v>1.22656223256822</v>
      </c>
      <c r="W745" s="449" t="n">
        <f aca="false">1/2*Rho*Sref*Cx*vit_xz^2</f>
        <v>52.0643726082981</v>
      </c>
      <c r="X745" s="438"/>
      <c r="Y745" s="454" t="str">
        <f aca="false">IF(AND(pos_z&lt;=0,K744&gt;0),"Impact balistique","") &amp; IF(AND(H746&lt;0,vit_z&gt;=0),"Apogée","") &amp; IF(AND(Poussee=0,Q744&gt;0),"Fin de propulsion","") &amp; IF(AND(L746&gt;L_rampe,pos_xz&lt;=L_rampe),"Sortie de rampe","")</f>
        <v/>
      </c>
      <c r="Z745" s="455" t="str">
        <f aca="false">IF(ABS(t-T_para)&lt;pas/2,"Para","")</f>
        <v/>
      </c>
      <c r="AA745" s="456" t="str">
        <f aca="false">IF(ABS(t-T_satellite)&lt;pas/2,"Satellite","")</f>
        <v/>
      </c>
      <c r="AB745" s="444"/>
      <c r="AC745" s="452" t="e">
        <f aca="false">IF(ABS(t-ROUND(t,0))&lt;0.001,t,NA())</f>
        <v>#N/A</v>
      </c>
      <c r="AD745" s="457" t="e">
        <f aca="false">IF(ABS(t-ROUND(t,0))&lt;0.001,pos_x,NA())</f>
        <v>#N/A</v>
      </c>
      <c r="AE745" s="458" t="e">
        <f aca="false">IF(t&lt;T_para, pos_z, NA())</f>
        <v>#N/A</v>
      </c>
      <c r="AF745" s="444"/>
      <c r="AG745" s="450" t="n">
        <f aca="false">IF(AND(L744&lt;L_rampe,Poussee&lt;Poids*SIN(M744)),0,(-W744+Poussee)/m-Poids*SIN(M744)/m)</f>
        <v>3.70013920471857</v>
      </c>
      <c r="AH745" s="449" t="n">
        <f aca="false">IF(AND(L744&lt;L_rampe,Poussee&lt;Poids*SIN(M744)), g*SIN(M744), (-W744+Poussee)/m)</f>
        <v>-6.01757079204207</v>
      </c>
    </row>
    <row r="746" customFormat="false" ht="12" hidden="false" customHeight="false" outlineLevel="0" collapsed="false">
      <c r="A746" s="448" t="n">
        <f aca="false">IF(B745+0.01&lt;=T_ini+ROUNDUP(Temps_fin_propu,0), 0.01, IF(K745&gt;0, 0.1, 0.0001))</f>
        <v>0.0001</v>
      </c>
      <c r="B746" s="449" t="n">
        <f aca="false">B745+pas</f>
        <v>35.7025000000003</v>
      </c>
      <c r="C746" s="432"/>
      <c r="D746" s="450" t="n">
        <f aca="false">IF(AND(L745&lt;L_rampe,Poussee&lt;Poids*SIN(M745)),0,(-W745+Poussee)/m*COS(M745)-U745/m*SIN(M745))</f>
        <v>-0.82348379205693</v>
      </c>
      <c r="E746" s="451" t="n">
        <f aca="false">IF(AND(L745&lt;L_rampe,Poussee&lt;Poids*SIN(M745)),0,(-W745+Poussee)/m*SIN(M745)+U745/m*COS(M745)-Poids/m)</f>
        <v>-3.84900010884867</v>
      </c>
      <c r="F746" s="449" t="n">
        <f aca="false">SQRT(acc_x^2+acc_z^2)</f>
        <v>3.93610561261986</v>
      </c>
      <c r="G746" s="450" t="n">
        <f aca="false">G745+acc_x*pas</f>
        <v>18.9076016024496</v>
      </c>
      <c r="H746" s="451" t="n">
        <f aca="false">H745+acc_z*pas</f>
        <v>-136.86853344157</v>
      </c>
      <c r="I746" s="449" t="n">
        <f aca="false">SQRT(vit_x^2+vit_z^2)</f>
        <v>138.16834964927</v>
      </c>
      <c r="J746" s="450" t="n">
        <f aca="false">J745+0.5*(vit_x+G745)*pas*(K745&gt;=0)</f>
        <v>1017.12580762709</v>
      </c>
      <c r="K746" s="451" t="n">
        <f aca="false">K745+0.5*(vit_z+H745)*pas</f>
        <v>-12.7584790931989</v>
      </c>
      <c r="L746" s="449" t="n">
        <f aca="false">SQRT(pos_x^2+pos_z^2)</f>
        <v>1017.20582348403</v>
      </c>
      <c r="M746" s="450" t="n">
        <f aca="false">IF(AND(L745&gt;L_rampe,G746&gt;0),ATAN2(G746,H746),$M$4)</f>
        <v>-1.43352091866546</v>
      </c>
      <c r="N746" s="449" t="n">
        <f aca="false">DEGREES(Beta)</f>
        <v>-82.1346984832474</v>
      </c>
      <c r="O746" s="438"/>
      <c r="P746" s="452" t="n">
        <f aca="false">MATCH(t-pas/2-T_ini,CdP_t)</f>
        <v>23</v>
      </c>
      <c r="Q746" s="449" t="n">
        <f aca="false">(INDEX(CdP,2,i_P+1)-INDEX(CdP,2,i_P+0))/(INDEX(CdP,1,i_P+1)-INDEX(CdP,1,i_P+0))*(t-pas/2-T_ini-INDEX(CdP,1,i_P+0))+INDEX(CdP,2,i_P+0)</f>
        <v>0</v>
      </c>
      <c r="R746" s="450" t="n">
        <f aca="false">Poussee/(g*ISP)</f>
        <v>0</v>
      </c>
      <c r="S746" s="451" t="n">
        <f aca="false">S745-Débit*pas</f>
        <v>8.652</v>
      </c>
      <c r="T746" s="449" t="n">
        <f aca="false">m*g</f>
        <v>84.87612</v>
      </c>
      <c r="U746" s="453" t="n">
        <f aca="false">IF(pos_xz&lt;L_rampe,Poids*COS(Beta),0)</f>
        <v>0</v>
      </c>
      <c r="V746" s="450" t="n">
        <f aca="false">Rho_moyen*(20000-Alt_rampe-pos_z)/(20000+Alt_rampe+pos_z)</f>
        <v>1.22656391134543</v>
      </c>
      <c r="W746" s="449" t="n">
        <f aca="false">1/2*Rho*Sref*Cx*vit_xz^2</f>
        <v>52.0647227227049</v>
      </c>
      <c r="X746" s="438"/>
      <c r="Y746" s="454" t="str">
        <f aca="false">IF(AND(pos_z&lt;=0,K745&gt;0),"Impact balistique","") &amp; IF(AND(H747&lt;0,vit_z&gt;=0),"Apogée","") &amp; IF(AND(Poussee=0,Q745&gt;0),"Fin de propulsion","") &amp; IF(AND(L747&gt;L_rampe,pos_xz&lt;=L_rampe),"Sortie de rampe","")</f>
        <v/>
      </c>
      <c r="Z746" s="455" t="str">
        <f aca="false">IF(ABS(t-T_para)&lt;pas/2,"Para","")</f>
        <v/>
      </c>
      <c r="AA746" s="456" t="str">
        <f aca="false">IF(ABS(t-T_satellite)&lt;pas/2,"Satellite","")</f>
        <v/>
      </c>
      <c r="AB746" s="444"/>
      <c r="AC746" s="452" t="e">
        <f aca="false">IF(ABS(t-ROUND(t,0))&lt;0.001,t,NA())</f>
        <v>#N/A</v>
      </c>
      <c r="AD746" s="457" t="e">
        <f aca="false">IF(ABS(t-ROUND(t,0))&lt;0.001,pos_x,NA())</f>
        <v>#N/A</v>
      </c>
      <c r="AE746" s="458" t="e">
        <f aca="false">IF(t&lt;T_para, pos_z, NA())</f>
        <v>#N/A</v>
      </c>
      <c r="AF746" s="444"/>
      <c r="AG746" s="450" t="n">
        <f aca="false">IF(AND(L745&lt;L_rampe,Poussee&lt;Poids*SIN(M745)),0,(-W745+Poussee)/m-Poids*SIN(M745)/m)</f>
        <v>3.70010004264755</v>
      </c>
      <c r="AH746" s="449" t="n">
        <f aca="false">IF(AND(L745&lt;L_rampe,Poussee&lt;Poids*SIN(M745)), g*SIN(M745), (-W745+Poussee)/m)</f>
        <v>-6.01761125847181</v>
      </c>
    </row>
    <row r="747" customFormat="false" ht="12" hidden="false" customHeight="false" outlineLevel="0" collapsed="false">
      <c r="A747" s="448" t="n">
        <f aca="false">IF(B746+0.01&lt;=T_ini+ROUNDUP(Temps_fin_propu,0), 0.01, IF(K746&gt;0, 0.1, 0.0001))</f>
        <v>0.0001</v>
      </c>
      <c r="B747" s="449" t="n">
        <f aca="false">B746+pas</f>
        <v>35.7026000000003</v>
      </c>
      <c r="C747" s="432"/>
      <c r="D747" s="450" t="n">
        <f aca="false">IF(AND(L746&lt;L_rampe,Poussee&lt;Poids*SIN(M746)),0,(-W746+Poussee)/m*COS(M746)-U746/m*SIN(M746))</f>
        <v>-0.823483537894556</v>
      </c>
      <c r="E747" s="451" t="n">
        <f aca="false">IF(AND(L746&lt;L_rampe,Poussee&lt;Poids*SIN(M746)),0,(-W746+Poussee)/m*SIN(M746)+U746/m*COS(M746)-Poids/m)</f>
        <v>-3.84895922313588</v>
      </c>
      <c r="F747" s="449" t="n">
        <f aca="false">SQRT(acc_x^2+acc_z^2)</f>
        <v>3.93606557853729</v>
      </c>
      <c r="G747" s="450" t="n">
        <f aca="false">G746+acc_x*pas</f>
        <v>18.9075192540958</v>
      </c>
      <c r="H747" s="451" t="n">
        <f aca="false">H746+acc_z*pas</f>
        <v>-136.868918337492</v>
      </c>
      <c r="I747" s="449" t="n">
        <f aca="false">SQRT(vit_x^2+vit_z^2)</f>
        <v>138.168719655424</v>
      </c>
      <c r="J747" s="450" t="n">
        <f aca="false">J746+0.5*(vit_x+G746)*pas*(K746&gt;=0)</f>
        <v>1017.12580762709</v>
      </c>
      <c r="K747" s="451" t="n">
        <f aca="false">K746+0.5*(vit_z+H746)*pas</f>
        <v>-12.7721659657879</v>
      </c>
      <c r="L747" s="449" t="n">
        <f aca="false">SQRT(pos_x^2+pos_z^2)</f>
        <v>1017.20599524605</v>
      </c>
      <c r="M747" s="450" t="n">
        <f aca="false">IF(AND(L746&gt;L_rampe,G747&gt;0),ATAN2(G747,H747),$M$4)</f>
        <v>-1.43352189026466</v>
      </c>
      <c r="N747" s="449" t="n">
        <f aca="false">DEGREES(Beta)</f>
        <v>-82.1347541517807</v>
      </c>
      <c r="O747" s="438"/>
      <c r="P747" s="452" t="n">
        <f aca="false">MATCH(t-pas/2-T_ini,CdP_t)</f>
        <v>23</v>
      </c>
      <c r="Q747" s="449" t="n">
        <f aca="false">(INDEX(CdP,2,i_P+1)-INDEX(CdP,2,i_P+0))/(INDEX(CdP,1,i_P+1)-INDEX(CdP,1,i_P+0))*(t-pas/2-T_ini-INDEX(CdP,1,i_P+0))+INDEX(CdP,2,i_P+0)</f>
        <v>0</v>
      </c>
      <c r="R747" s="450" t="n">
        <f aca="false">Poussee/(g*ISP)</f>
        <v>0</v>
      </c>
      <c r="S747" s="451" t="n">
        <f aca="false">S746-Débit*pas</f>
        <v>8.652</v>
      </c>
      <c r="T747" s="449" t="n">
        <f aca="false">m*g</f>
        <v>84.87612</v>
      </c>
      <c r="U747" s="453" t="n">
        <f aca="false">IF(pos_xz&lt;L_rampe,Poids*COS(Beta),0)</f>
        <v>0</v>
      </c>
      <c r="V747" s="450" t="n">
        <f aca="false">Rho_moyen*(20000-Alt_rampe-pos_z)/(20000+Alt_rampe+pos_z)</f>
        <v>1.22656559012966</v>
      </c>
      <c r="W747" s="449" t="n">
        <f aca="false">1/2*Rho*Sref*Cx*vit_xz^2</f>
        <v>52.0650728359683</v>
      </c>
      <c r="X747" s="438"/>
      <c r="Y747" s="454" t="str">
        <f aca="false">IF(AND(pos_z&lt;=0,K746&gt;0),"Impact balistique","") &amp; IF(AND(H748&lt;0,vit_z&gt;=0),"Apogée","") &amp; IF(AND(Poussee=0,Q746&gt;0),"Fin de propulsion","") &amp; IF(AND(L748&gt;L_rampe,pos_xz&lt;=L_rampe),"Sortie de rampe","")</f>
        <v/>
      </c>
      <c r="Z747" s="455" t="str">
        <f aca="false">IF(ABS(t-T_para)&lt;pas/2,"Para","")</f>
        <v/>
      </c>
      <c r="AA747" s="456" t="str">
        <f aca="false">IF(ABS(t-T_satellite)&lt;pas/2,"Satellite","")</f>
        <v/>
      </c>
      <c r="AB747" s="444"/>
      <c r="AC747" s="452" t="e">
        <f aca="false">IF(ABS(t-ROUND(t,0))&lt;0.001,t,NA())</f>
        <v>#N/A</v>
      </c>
      <c r="AD747" s="457" t="e">
        <f aca="false">IF(ABS(t-ROUND(t,0))&lt;0.001,pos_x,NA())</f>
        <v>#N/A</v>
      </c>
      <c r="AE747" s="458" t="e">
        <f aca="false">IF(t&lt;T_para, pos_z, NA())</f>
        <v>#N/A</v>
      </c>
      <c r="AF747" s="444"/>
      <c r="AG747" s="450" t="n">
        <f aca="false">IF(AND(L746&lt;L_rampe,Poussee&lt;Poids*SIN(M746)),0,(-W746+Poussee)/m-Poids*SIN(M746)/m)</f>
        <v>3.70006088068683</v>
      </c>
      <c r="AH747" s="449" t="n">
        <f aca="false">IF(AND(L746&lt;L_rampe,Poussee&lt;Poids*SIN(M746)), g*SIN(M746), (-W746+Poussee)/m)</f>
        <v>-6.0176517247694</v>
      </c>
    </row>
    <row r="748" customFormat="false" ht="12" hidden="false" customHeight="false" outlineLevel="0" collapsed="false">
      <c r="A748" s="448" t="n">
        <f aca="false">IF(B747+0.01&lt;=T_ini+ROUNDUP(Temps_fin_propu,0), 0.01, IF(K747&gt;0, 0.1, 0.0001))</f>
        <v>0.0001</v>
      </c>
      <c r="B748" s="449" t="n">
        <f aca="false">B747+pas</f>
        <v>35.7027000000003</v>
      </c>
      <c r="C748" s="432"/>
      <c r="D748" s="450" t="n">
        <f aca="false">IF(AND(L747&lt;L_rampe,Poussee&lt;Poids*SIN(M747)),0,(-W747+Poussee)/m*COS(M747)-U747/m*SIN(M747))</f>
        <v>-0.823483283691672</v>
      </c>
      <c r="E748" s="451" t="n">
        <f aca="false">IF(AND(L747&lt;L_rampe,Poussee&lt;Poids*SIN(M747)),0,(-W747+Poussee)/m*SIN(M747)+U747/m*COS(M747)-Poids/m)</f>
        <v>-3.84891833755663</v>
      </c>
      <c r="F748" s="449" t="n">
        <f aca="false">SQRT(acc_x^2+acc_z^2)</f>
        <v>3.93602554459436</v>
      </c>
      <c r="G748" s="450" t="n">
        <f aca="false">G747+acc_x*pas</f>
        <v>18.9074369057674</v>
      </c>
      <c r="H748" s="451" t="n">
        <f aca="false">H747+acc_z*pas</f>
        <v>-136.869303229326</v>
      </c>
      <c r="I748" s="449" t="n">
        <f aca="false">SQRT(vit_x^2+vit_z^2)</f>
        <v>138.169089657661</v>
      </c>
      <c r="J748" s="450" t="n">
        <f aca="false">J747+0.5*(vit_x+G747)*pas*(K747&gt;=0)</f>
        <v>1017.12580762709</v>
      </c>
      <c r="K748" s="451" t="n">
        <f aca="false">K747+0.5*(vit_z+H747)*pas</f>
        <v>-12.7858528768662</v>
      </c>
      <c r="L748" s="449" t="n">
        <f aca="false">SQRT(pos_x^2+pos_z^2)</f>
        <v>1017.20616719269</v>
      </c>
      <c r="M748" s="450" t="n">
        <f aca="false">IF(AND(L747&gt;L_rampe,G748&gt;0),ATAN2(G748,H748),$M$4)</f>
        <v>-1.43352286185442</v>
      </c>
      <c r="N748" s="449" t="n">
        <f aca="false">DEGREES(Beta)</f>
        <v>-82.1348098197734</v>
      </c>
      <c r="O748" s="438"/>
      <c r="P748" s="452" t="n">
        <f aca="false">MATCH(t-pas/2-T_ini,CdP_t)</f>
        <v>23</v>
      </c>
      <c r="Q748" s="449" t="n">
        <f aca="false">(INDEX(CdP,2,i_P+1)-INDEX(CdP,2,i_P+0))/(INDEX(CdP,1,i_P+1)-INDEX(CdP,1,i_P+0))*(t-pas/2-T_ini-INDEX(CdP,1,i_P+0))+INDEX(CdP,2,i_P+0)</f>
        <v>0</v>
      </c>
      <c r="R748" s="450" t="n">
        <f aca="false">Poussee/(g*ISP)</f>
        <v>0</v>
      </c>
      <c r="S748" s="451" t="n">
        <f aca="false">S747-Débit*pas</f>
        <v>8.652</v>
      </c>
      <c r="T748" s="449" t="n">
        <f aca="false">m*g</f>
        <v>84.87612</v>
      </c>
      <c r="U748" s="453" t="n">
        <f aca="false">IF(pos_xz&lt;L_rampe,Poids*COS(Beta),0)</f>
        <v>0</v>
      </c>
      <c r="V748" s="450" t="n">
        <f aca="false">Rho_moyen*(20000-Alt_rampe-pos_z)/(20000+Alt_rampe+pos_z)</f>
        <v>1.22656726892091</v>
      </c>
      <c r="W748" s="449" t="n">
        <f aca="false">1/2*Rho*Sref*Cx*vit_xz^2</f>
        <v>52.0654229480884</v>
      </c>
      <c r="X748" s="438"/>
      <c r="Y748" s="454" t="str">
        <f aca="false">IF(AND(pos_z&lt;=0,K747&gt;0),"Impact balistique","") &amp; IF(AND(H749&lt;0,vit_z&gt;=0),"Apogée","") &amp; IF(AND(Poussee=0,Q747&gt;0),"Fin de propulsion","") &amp; IF(AND(L749&gt;L_rampe,pos_xz&lt;=L_rampe),"Sortie de rampe","")</f>
        <v/>
      </c>
      <c r="Z748" s="455" t="str">
        <f aca="false">IF(ABS(t-T_para)&lt;pas/2,"Para","")</f>
        <v/>
      </c>
      <c r="AA748" s="456" t="str">
        <f aca="false">IF(ABS(t-T_satellite)&lt;pas/2,"Satellite","")</f>
        <v/>
      </c>
      <c r="AB748" s="444"/>
      <c r="AC748" s="452" t="e">
        <f aca="false">IF(ABS(t-ROUND(t,0))&lt;0.001,t,NA())</f>
        <v>#N/A</v>
      </c>
      <c r="AD748" s="457" t="e">
        <f aca="false">IF(ABS(t-ROUND(t,0))&lt;0.001,pos_x,NA())</f>
        <v>#N/A</v>
      </c>
      <c r="AE748" s="458" t="e">
        <f aca="false">IF(t&lt;T_para, pos_z, NA())</f>
        <v>#N/A</v>
      </c>
      <c r="AF748" s="444"/>
      <c r="AG748" s="450" t="n">
        <f aca="false">IF(AND(L747&lt;L_rampe,Poussee&lt;Poids*SIN(M747)),0,(-W747+Poussee)/m-Poids*SIN(M747)/m)</f>
        <v>3.70002171883642</v>
      </c>
      <c r="AH748" s="449" t="n">
        <f aca="false">IF(AND(L747&lt;L_rampe,Poussee&lt;Poids*SIN(M747)), g*SIN(M747), (-W747+Poussee)/m)</f>
        <v>-6.01769219093484</v>
      </c>
    </row>
    <row r="749" customFormat="false" ht="12" hidden="false" customHeight="false" outlineLevel="0" collapsed="false">
      <c r="A749" s="448" t="n">
        <f aca="false">IF(B748+0.01&lt;=T_ini+ROUNDUP(Temps_fin_propu,0), 0.01, IF(K748&gt;0, 0.1, 0.0001))</f>
        <v>0.0001</v>
      </c>
      <c r="B749" s="449" t="n">
        <f aca="false">B748+pas</f>
        <v>35.7028000000003</v>
      </c>
      <c r="C749" s="432"/>
      <c r="D749" s="450" t="n">
        <f aca="false">IF(AND(L748&lt;L_rampe,Poussee&lt;Poids*SIN(M748)),0,(-W748+Poussee)/m*COS(M748)-U748/m*SIN(M748))</f>
        <v>-0.823483029448277</v>
      </c>
      <c r="E749" s="451" t="n">
        <f aca="false">IF(AND(L748&lt;L_rampe,Poussee&lt;Poids*SIN(M748)),0,(-W748+Poussee)/m*SIN(M748)+U748/m*COS(M748)-Poids/m)</f>
        <v>-3.84887745211093</v>
      </c>
      <c r="F749" s="449" t="n">
        <f aca="false">SQRT(acc_x^2+acc_z^2)</f>
        <v>3.93598551079107</v>
      </c>
      <c r="G749" s="450" t="n">
        <f aca="false">G748+acc_x*pas</f>
        <v>18.9073545574644</v>
      </c>
      <c r="H749" s="451" t="n">
        <f aca="false">H748+acc_z*pas</f>
        <v>-136.869688117071</v>
      </c>
      <c r="I749" s="449" t="n">
        <f aca="false">SQRT(vit_x^2+vit_z^2)</f>
        <v>138.169459655982</v>
      </c>
      <c r="J749" s="450" t="n">
        <f aca="false">J748+0.5*(vit_x+G748)*pas*(K748&gt;=0)</f>
        <v>1017.12580762709</v>
      </c>
      <c r="K749" s="451" t="n">
        <f aca="false">K748+0.5*(vit_z+H748)*pas</f>
        <v>-12.7995398264336</v>
      </c>
      <c r="L749" s="449" t="n">
        <f aca="false">SQRT(pos_x^2+pos_z^2)</f>
        <v>1017.20633932395</v>
      </c>
      <c r="M749" s="450" t="n">
        <f aca="false">IF(AND(L748&gt;L_rampe,G749&gt;0),ATAN2(G749,H749),$M$4)</f>
        <v>-1.43352383343474</v>
      </c>
      <c r="N749" s="449" t="n">
        <f aca="false">DEGREES(Beta)</f>
        <v>-82.1348654872256</v>
      </c>
      <c r="O749" s="438"/>
      <c r="P749" s="452" t="n">
        <f aca="false">MATCH(t-pas/2-T_ini,CdP_t)</f>
        <v>23</v>
      </c>
      <c r="Q749" s="449" t="n">
        <f aca="false">(INDEX(CdP,2,i_P+1)-INDEX(CdP,2,i_P+0))/(INDEX(CdP,1,i_P+1)-INDEX(CdP,1,i_P+0))*(t-pas/2-T_ini-INDEX(CdP,1,i_P+0))+INDEX(CdP,2,i_P+0)</f>
        <v>0</v>
      </c>
      <c r="R749" s="450" t="n">
        <f aca="false">Poussee/(g*ISP)</f>
        <v>0</v>
      </c>
      <c r="S749" s="451" t="n">
        <f aca="false">S748-Débit*pas</f>
        <v>8.652</v>
      </c>
      <c r="T749" s="449" t="n">
        <f aca="false">m*g</f>
        <v>84.87612</v>
      </c>
      <c r="U749" s="453" t="n">
        <f aca="false">IF(pos_xz&lt;L_rampe,Poids*COS(Beta),0)</f>
        <v>0</v>
      </c>
      <c r="V749" s="450" t="n">
        <f aca="false">Rho_moyen*(20000-Alt_rampe-pos_z)/(20000+Alt_rampe+pos_z)</f>
        <v>1.22656894771918</v>
      </c>
      <c r="W749" s="449" t="n">
        <f aca="false">1/2*Rho*Sref*Cx*vit_xz^2</f>
        <v>52.065773059065</v>
      </c>
      <c r="X749" s="438"/>
      <c r="Y749" s="454" t="str">
        <f aca="false">IF(AND(pos_z&lt;=0,K748&gt;0),"Impact balistique","") &amp; IF(AND(H750&lt;0,vit_z&gt;=0),"Apogée","") &amp; IF(AND(Poussee=0,Q748&gt;0),"Fin de propulsion","") &amp; IF(AND(L750&gt;L_rampe,pos_xz&lt;=L_rampe),"Sortie de rampe","")</f>
        <v/>
      </c>
      <c r="Z749" s="455" t="str">
        <f aca="false">IF(ABS(t-T_para)&lt;pas/2,"Para","")</f>
        <v/>
      </c>
      <c r="AA749" s="456" t="str">
        <f aca="false">IF(ABS(t-T_satellite)&lt;pas/2,"Satellite","")</f>
        <v/>
      </c>
      <c r="AB749" s="444"/>
      <c r="AC749" s="452" t="e">
        <f aca="false">IF(ABS(t-ROUND(t,0))&lt;0.001,t,NA())</f>
        <v>#N/A</v>
      </c>
      <c r="AD749" s="457" t="e">
        <f aca="false">IF(ABS(t-ROUND(t,0))&lt;0.001,pos_x,NA())</f>
        <v>#N/A</v>
      </c>
      <c r="AE749" s="458" t="e">
        <f aca="false">IF(t&lt;T_para, pos_z, NA())</f>
        <v>#N/A</v>
      </c>
      <c r="AF749" s="444"/>
      <c r="AG749" s="450" t="n">
        <f aca="false">IF(AND(L748&lt;L_rampe,Poussee&lt;Poids*SIN(M748)),0,(-W748+Poussee)/m-Poids*SIN(M748)/m)</f>
        <v>3.69998255709631</v>
      </c>
      <c r="AH749" s="449" t="n">
        <f aca="false">IF(AND(L748&lt;L_rampe,Poussee&lt;Poids*SIN(M748)), g*SIN(M748), (-W748+Poussee)/m)</f>
        <v>-6.01773265696814</v>
      </c>
    </row>
    <row r="750" customFormat="false" ht="12" hidden="false" customHeight="false" outlineLevel="0" collapsed="false">
      <c r="A750" s="448" t="n">
        <f aca="false">IF(B749+0.01&lt;=T_ini+ROUNDUP(Temps_fin_propu,0), 0.01, IF(K749&gt;0, 0.1, 0.0001))</f>
        <v>0.0001</v>
      </c>
      <c r="B750" s="449" t="n">
        <f aca="false">B749+pas</f>
        <v>35.7029000000003</v>
      </c>
      <c r="C750" s="432"/>
      <c r="D750" s="450" t="n">
        <f aca="false">IF(AND(L749&lt;L_rampe,Poussee&lt;Poids*SIN(M749)),0,(-W749+Poussee)/m*COS(M749)-U749/m*SIN(M749))</f>
        <v>-0.823482775164371</v>
      </c>
      <c r="E750" s="451" t="n">
        <f aca="false">IF(AND(L749&lt;L_rampe,Poussee&lt;Poids*SIN(M749)),0,(-W749+Poussee)/m*SIN(M749)+U749/m*COS(M749)-Poids/m)</f>
        <v>-3.84883656679877</v>
      </c>
      <c r="F750" s="449" t="n">
        <f aca="false">SQRT(acc_x^2+acc_z^2)</f>
        <v>3.93594547712742</v>
      </c>
      <c r="G750" s="450" t="n">
        <f aca="false">G749+acc_x*pas</f>
        <v>18.9072722091869</v>
      </c>
      <c r="H750" s="451" t="n">
        <f aca="false">H749+acc_z*pas</f>
        <v>-136.870073000728</v>
      </c>
      <c r="I750" s="449" t="n">
        <f aca="false">SQRT(vit_x^2+vit_z^2)</f>
        <v>138.169829650387</v>
      </c>
      <c r="J750" s="450" t="n">
        <f aca="false">J749+0.5*(vit_x+G749)*pas*(K749&gt;=0)</f>
        <v>1017.12580762709</v>
      </c>
      <c r="K750" s="451" t="n">
        <f aca="false">K749+0.5*(vit_z+H749)*pas</f>
        <v>-12.8132268144895</v>
      </c>
      <c r="L750" s="449" t="n">
        <f aca="false">SQRT(pos_x^2+pos_z^2)</f>
        <v>1017.20651163982</v>
      </c>
      <c r="M750" s="450" t="n">
        <f aca="false">IF(AND(L749&gt;L_rampe,G750&gt;0),ATAN2(G750,H750),$M$4)</f>
        <v>-1.43352480500563</v>
      </c>
      <c r="N750" s="449" t="n">
        <f aca="false">DEGREES(Beta)</f>
        <v>-82.1349211541371</v>
      </c>
      <c r="O750" s="438"/>
      <c r="P750" s="452" t="n">
        <f aca="false">MATCH(t-pas/2-T_ini,CdP_t)</f>
        <v>23</v>
      </c>
      <c r="Q750" s="449" t="n">
        <f aca="false">(INDEX(CdP,2,i_P+1)-INDEX(CdP,2,i_P+0))/(INDEX(CdP,1,i_P+1)-INDEX(CdP,1,i_P+0))*(t-pas/2-T_ini-INDEX(CdP,1,i_P+0))+INDEX(CdP,2,i_P+0)</f>
        <v>0</v>
      </c>
      <c r="R750" s="450" t="n">
        <f aca="false">Poussee/(g*ISP)</f>
        <v>0</v>
      </c>
      <c r="S750" s="451" t="n">
        <f aca="false">S749-Débit*pas</f>
        <v>8.652</v>
      </c>
      <c r="T750" s="449" t="n">
        <f aca="false">m*g</f>
        <v>84.87612</v>
      </c>
      <c r="U750" s="453" t="n">
        <f aca="false">IF(pos_xz&lt;L_rampe,Poids*COS(Beta),0)</f>
        <v>0</v>
      </c>
      <c r="V750" s="450" t="n">
        <f aca="false">Rho_moyen*(20000-Alt_rampe-pos_z)/(20000+Alt_rampe+pos_z)</f>
        <v>1.22657062652447</v>
      </c>
      <c r="W750" s="449" t="n">
        <f aca="false">1/2*Rho*Sref*Cx*vit_xz^2</f>
        <v>52.0661231688983</v>
      </c>
      <c r="X750" s="438"/>
      <c r="Y750" s="454" t="str">
        <f aca="false">IF(AND(pos_z&lt;=0,K749&gt;0),"Impact balistique","") &amp; IF(AND(H751&lt;0,vit_z&gt;=0),"Apogée","") &amp; IF(AND(Poussee=0,Q749&gt;0),"Fin de propulsion","") &amp; IF(AND(L751&gt;L_rampe,pos_xz&lt;=L_rampe),"Sortie de rampe","")</f>
        <v/>
      </c>
      <c r="Z750" s="455" t="str">
        <f aca="false">IF(ABS(t-T_para)&lt;pas/2,"Para","")</f>
        <v/>
      </c>
      <c r="AA750" s="456" t="str">
        <f aca="false">IF(ABS(t-T_satellite)&lt;pas/2,"Satellite","")</f>
        <v/>
      </c>
      <c r="AB750" s="444"/>
      <c r="AC750" s="452" t="e">
        <f aca="false">IF(ABS(t-ROUND(t,0))&lt;0.001,t,NA())</f>
        <v>#N/A</v>
      </c>
      <c r="AD750" s="457" t="e">
        <f aca="false">IF(ABS(t-ROUND(t,0))&lt;0.001,pos_x,NA())</f>
        <v>#N/A</v>
      </c>
      <c r="AE750" s="458" t="e">
        <f aca="false">IF(t&lt;T_para, pos_z, NA())</f>
        <v>#N/A</v>
      </c>
      <c r="AF750" s="444"/>
      <c r="AG750" s="450" t="n">
        <f aca="false">IF(AND(L749&lt;L_rampe,Poussee&lt;Poids*SIN(M749)),0,(-W749+Poussee)/m-Poids*SIN(M749)/m)</f>
        <v>3.69994339546653</v>
      </c>
      <c r="AH750" s="449" t="n">
        <f aca="false">IF(AND(L749&lt;L_rampe,Poussee&lt;Poids*SIN(M749)), g*SIN(M749), (-W749+Poussee)/m)</f>
        <v>-6.01777312286928</v>
      </c>
    </row>
    <row r="751" customFormat="false" ht="12" hidden="false" customHeight="false" outlineLevel="0" collapsed="false">
      <c r="A751" s="448" t="n">
        <f aca="false">IF(B750+0.01&lt;=T_ini+ROUNDUP(Temps_fin_propu,0), 0.01, IF(K750&gt;0, 0.1, 0.0001))</f>
        <v>0.0001</v>
      </c>
      <c r="B751" s="449" t="n">
        <f aca="false">B750+pas</f>
        <v>35.7030000000003</v>
      </c>
      <c r="C751" s="432"/>
      <c r="D751" s="450" t="n">
        <f aca="false">IF(AND(L750&lt;L_rampe,Poussee&lt;Poids*SIN(M750)),0,(-W750+Poussee)/m*COS(M750)-U750/m*SIN(M750))</f>
        <v>-0.823482520839958</v>
      </c>
      <c r="E751" s="451" t="n">
        <f aca="false">IF(AND(L750&lt;L_rampe,Poussee&lt;Poids*SIN(M750)),0,(-W750+Poussee)/m*SIN(M750)+U750/m*COS(M750)-Poids/m)</f>
        <v>-3.84879568162015</v>
      </c>
      <c r="F751" s="449" t="n">
        <f aca="false">SQRT(acc_x^2+acc_z^2)</f>
        <v>3.9359054436034</v>
      </c>
      <c r="G751" s="450" t="n">
        <f aca="false">G750+acc_x*pas</f>
        <v>18.9071898609348</v>
      </c>
      <c r="H751" s="451" t="n">
        <f aca="false">H750+acc_z*pas</f>
        <v>-136.870457880296</v>
      </c>
      <c r="I751" s="449" t="n">
        <f aca="false">SQRT(vit_x^2+vit_z^2)</f>
        <v>138.170199640875</v>
      </c>
      <c r="J751" s="450" t="n">
        <f aca="false">J750+0.5*(vit_x+G750)*pas*(K750&gt;=0)</f>
        <v>1017.12580762709</v>
      </c>
      <c r="K751" s="451" t="n">
        <f aca="false">K750+0.5*(vit_z+H750)*pas</f>
        <v>-12.8269138410335</v>
      </c>
      <c r="L751" s="449" t="n">
        <f aca="false">SQRT(pos_x^2+pos_z^2)</f>
        <v>1017.20668414032</v>
      </c>
      <c r="M751" s="450" t="n">
        <f aca="false">IF(AND(L750&gt;L_rampe,G751&gt;0),ATAN2(G751,H751),$M$4)</f>
        <v>-1.43352577656709</v>
      </c>
      <c r="N751" s="449" t="n">
        <f aca="false">DEGREES(Beta)</f>
        <v>-82.134976820508</v>
      </c>
      <c r="O751" s="438"/>
      <c r="P751" s="452" t="n">
        <f aca="false">MATCH(t-pas/2-T_ini,CdP_t)</f>
        <v>23</v>
      </c>
      <c r="Q751" s="449" t="n">
        <f aca="false">(INDEX(CdP,2,i_P+1)-INDEX(CdP,2,i_P+0))/(INDEX(CdP,1,i_P+1)-INDEX(CdP,1,i_P+0))*(t-pas/2-T_ini-INDEX(CdP,1,i_P+0))+INDEX(CdP,2,i_P+0)</f>
        <v>0</v>
      </c>
      <c r="R751" s="450" t="n">
        <f aca="false">Poussee/(g*ISP)</f>
        <v>0</v>
      </c>
      <c r="S751" s="451" t="n">
        <f aca="false">S750-Débit*pas</f>
        <v>8.652</v>
      </c>
      <c r="T751" s="449" t="n">
        <f aca="false">m*g</f>
        <v>84.87612</v>
      </c>
      <c r="U751" s="453" t="n">
        <f aca="false">IF(pos_xz&lt;L_rampe,Poids*COS(Beta),0)</f>
        <v>0</v>
      </c>
      <c r="V751" s="450" t="n">
        <f aca="false">Rho_moyen*(20000-Alt_rampe-pos_z)/(20000+Alt_rampe+pos_z)</f>
        <v>1.22657230533678</v>
      </c>
      <c r="W751" s="449" t="n">
        <f aca="false">1/2*Rho*Sref*Cx*vit_xz^2</f>
        <v>52.0664732775882</v>
      </c>
      <c r="X751" s="438"/>
      <c r="Y751" s="454" t="str">
        <f aca="false">IF(AND(pos_z&lt;=0,K750&gt;0),"Impact balistique","") &amp; IF(AND(H752&lt;0,vit_z&gt;=0),"Apogée","") &amp; IF(AND(Poussee=0,Q750&gt;0),"Fin de propulsion","") &amp; IF(AND(L752&gt;L_rampe,pos_xz&lt;=L_rampe),"Sortie de rampe","")</f>
        <v/>
      </c>
      <c r="Z751" s="455" t="str">
        <f aca="false">IF(ABS(t-T_para)&lt;pas/2,"Para","")</f>
        <v/>
      </c>
      <c r="AA751" s="456" t="str">
        <f aca="false">IF(ABS(t-T_satellite)&lt;pas/2,"Satellite","")</f>
        <v/>
      </c>
      <c r="AB751" s="444"/>
      <c r="AC751" s="452" t="e">
        <f aca="false">IF(ABS(t-ROUND(t,0))&lt;0.001,t,NA())</f>
        <v>#N/A</v>
      </c>
      <c r="AD751" s="457" t="e">
        <f aca="false">IF(ABS(t-ROUND(t,0))&lt;0.001,pos_x,NA())</f>
        <v>#N/A</v>
      </c>
      <c r="AE751" s="458" t="e">
        <f aca="false">IF(t&lt;T_para, pos_z, NA())</f>
        <v>#N/A</v>
      </c>
      <c r="AF751" s="444"/>
      <c r="AG751" s="450" t="n">
        <f aca="false">IF(AND(L750&lt;L_rampe,Poussee&lt;Poids*SIN(M750)),0,(-W750+Poussee)/m-Poids*SIN(M750)/m)</f>
        <v>3.69990423394705</v>
      </c>
      <c r="AH751" s="449" t="n">
        <f aca="false">IF(AND(L750&lt;L_rampe,Poussee&lt;Poids*SIN(M750)), g*SIN(M750), (-W750+Poussee)/m)</f>
        <v>-6.01781358863827</v>
      </c>
    </row>
    <row r="752" customFormat="false" ht="12" hidden="false" customHeight="false" outlineLevel="0" collapsed="false">
      <c r="A752" s="448" t="n">
        <f aca="false">IF(B751+0.01&lt;=T_ini+ROUNDUP(Temps_fin_propu,0), 0.01, IF(K751&gt;0, 0.1, 0.0001))</f>
        <v>0.0001</v>
      </c>
      <c r="B752" s="449" t="n">
        <f aca="false">B751+pas</f>
        <v>35.7031000000003</v>
      </c>
      <c r="C752" s="432"/>
      <c r="D752" s="450" t="n">
        <f aca="false">IF(AND(L751&lt;L_rampe,Poussee&lt;Poids*SIN(M751)),0,(-W751+Poussee)/m*COS(M751)-U751/m*SIN(M751))</f>
        <v>-0.823482266475034</v>
      </c>
      <c r="E752" s="451" t="n">
        <f aca="false">IF(AND(L751&lt;L_rampe,Poussee&lt;Poids*SIN(M751)),0,(-W751+Poussee)/m*SIN(M751)+U751/m*COS(M751)-Poids/m)</f>
        <v>-3.8487547965751</v>
      </c>
      <c r="F752" s="449" t="n">
        <f aca="false">SQRT(acc_x^2+acc_z^2)</f>
        <v>3.93586541021904</v>
      </c>
      <c r="G752" s="450" t="n">
        <f aca="false">G751+acc_x*pas</f>
        <v>18.9071075127082</v>
      </c>
      <c r="H752" s="451" t="n">
        <f aca="false">H751+acc_z*pas</f>
        <v>-136.870842755776</v>
      </c>
      <c r="I752" s="449" t="n">
        <f aca="false">SQRT(vit_x^2+vit_z^2)</f>
        <v>138.170569627448</v>
      </c>
      <c r="J752" s="450" t="n">
        <f aca="false">J751+0.5*(vit_x+G751)*pas*(K751&gt;=0)</f>
        <v>1017.12580762709</v>
      </c>
      <c r="K752" s="451" t="n">
        <f aca="false">K751+0.5*(vit_z+H751)*pas</f>
        <v>-12.8406009060653</v>
      </c>
      <c r="L752" s="449" t="n">
        <f aca="false">SQRT(pos_x^2+pos_z^2)</f>
        <v>1017.20685682544</v>
      </c>
      <c r="M752" s="450" t="n">
        <f aca="false">IF(AND(L751&gt;L_rampe,G752&gt;0),ATAN2(G752,H752),$M$4)</f>
        <v>-1.43352674811911</v>
      </c>
      <c r="N752" s="449" t="n">
        <f aca="false">DEGREES(Beta)</f>
        <v>-82.1350324863384</v>
      </c>
      <c r="O752" s="438"/>
      <c r="P752" s="452" t="n">
        <f aca="false">MATCH(t-pas/2-T_ini,CdP_t)</f>
        <v>23</v>
      </c>
      <c r="Q752" s="449" t="n">
        <f aca="false">(INDEX(CdP,2,i_P+1)-INDEX(CdP,2,i_P+0))/(INDEX(CdP,1,i_P+1)-INDEX(CdP,1,i_P+0))*(t-pas/2-T_ini-INDEX(CdP,1,i_P+0))+INDEX(CdP,2,i_P+0)</f>
        <v>0</v>
      </c>
      <c r="R752" s="450" t="n">
        <f aca="false">Poussee/(g*ISP)</f>
        <v>0</v>
      </c>
      <c r="S752" s="451" t="n">
        <f aca="false">S751-Débit*pas</f>
        <v>8.652</v>
      </c>
      <c r="T752" s="449" t="n">
        <f aca="false">m*g</f>
        <v>84.87612</v>
      </c>
      <c r="U752" s="453" t="n">
        <f aca="false">IF(pos_xz&lt;L_rampe,Poids*COS(Beta),0)</f>
        <v>0</v>
      </c>
      <c r="V752" s="450" t="n">
        <f aca="false">Rho_moyen*(20000-Alt_rampe-pos_z)/(20000+Alt_rampe+pos_z)</f>
        <v>1.22657398415611</v>
      </c>
      <c r="W752" s="449" t="n">
        <f aca="false">1/2*Rho*Sref*Cx*vit_xz^2</f>
        <v>52.0668233851346</v>
      </c>
      <c r="X752" s="438"/>
      <c r="Y752" s="454" t="str">
        <f aca="false">IF(AND(pos_z&lt;=0,K751&gt;0),"Impact balistique","") &amp; IF(AND(H753&lt;0,vit_z&gt;=0),"Apogée","") &amp; IF(AND(Poussee=0,Q751&gt;0),"Fin de propulsion","") &amp; IF(AND(L753&gt;L_rampe,pos_xz&lt;=L_rampe),"Sortie de rampe","")</f>
        <v/>
      </c>
      <c r="Z752" s="455" t="str">
        <f aca="false">IF(ABS(t-T_para)&lt;pas/2,"Para","")</f>
        <v/>
      </c>
      <c r="AA752" s="456" t="str">
        <f aca="false">IF(ABS(t-T_satellite)&lt;pas/2,"Satellite","")</f>
        <v/>
      </c>
      <c r="AB752" s="444"/>
      <c r="AC752" s="452" t="e">
        <f aca="false">IF(ABS(t-ROUND(t,0))&lt;0.001,t,NA())</f>
        <v>#N/A</v>
      </c>
      <c r="AD752" s="457" t="e">
        <f aca="false">IF(ABS(t-ROUND(t,0))&lt;0.001,pos_x,NA())</f>
        <v>#N/A</v>
      </c>
      <c r="AE752" s="458" t="e">
        <f aca="false">IF(t&lt;T_para, pos_z, NA())</f>
        <v>#N/A</v>
      </c>
      <c r="AF752" s="444"/>
      <c r="AG752" s="450" t="n">
        <f aca="false">IF(AND(L751&lt;L_rampe,Poussee&lt;Poids*SIN(M751)),0,(-W751+Poussee)/m-Poids*SIN(M751)/m)</f>
        <v>3.6998650725379</v>
      </c>
      <c r="AH752" s="449" t="n">
        <f aca="false">IF(AND(L751&lt;L_rampe,Poussee&lt;Poids*SIN(M751)), g*SIN(M751), (-W751+Poussee)/m)</f>
        <v>-6.0178540542751</v>
      </c>
    </row>
    <row r="753" customFormat="false" ht="12" hidden="false" customHeight="false" outlineLevel="0" collapsed="false">
      <c r="A753" s="448" t="n">
        <f aca="false">IF(B752+0.01&lt;=T_ini+ROUNDUP(Temps_fin_propu,0), 0.01, IF(K752&gt;0, 0.1, 0.0001))</f>
        <v>0.0001</v>
      </c>
      <c r="B753" s="449" t="n">
        <f aca="false">B752+pas</f>
        <v>35.7032000000003</v>
      </c>
      <c r="C753" s="432"/>
      <c r="D753" s="450" t="n">
        <f aca="false">IF(AND(L752&lt;L_rampe,Poussee&lt;Poids*SIN(M752)),0,(-W752+Poussee)/m*COS(M752)-U752/m*SIN(M752))</f>
        <v>-0.823482012069602</v>
      </c>
      <c r="E753" s="451" t="n">
        <f aca="false">IF(AND(L752&lt;L_rampe,Poussee&lt;Poids*SIN(M752)),0,(-W752+Poussee)/m*SIN(M752)+U752/m*COS(M752)-Poids/m)</f>
        <v>-3.84871391166359</v>
      </c>
      <c r="F753" s="449" t="n">
        <f aca="false">SQRT(acc_x^2+acc_z^2)</f>
        <v>3.93582537697432</v>
      </c>
      <c r="G753" s="450" t="n">
        <f aca="false">G752+acc_x*pas</f>
        <v>18.907025164507</v>
      </c>
      <c r="H753" s="451" t="n">
        <f aca="false">H752+acc_z*pas</f>
        <v>-136.871227627167</v>
      </c>
      <c r="I753" s="449" t="n">
        <f aca="false">SQRT(vit_x^2+vit_z^2)</f>
        <v>138.170939610104</v>
      </c>
      <c r="J753" s="450" t="n">
        <f aca="false">J752+0.5*(vit_x+G752)*pas*(K752&gt;=0)</f>
        <v>1017.12580762709</v>
      </c>
      <c r="K753" s="451" t="n">
        <f aca="false">K752+0.5*(vit_z+H752)*pas</f>
        <v>-12.8542880095845</v>
      </c>
      <c r="L753" s="449" t="n">
        <f aca="false">SQRT(pos_x^2+pos_z^2)</f>
        <v>1017.20702969518</v>
      </c>
      <c r="M753" s="450" t="n">
        <f aca="false">IF(AND(L752&gt;L_rampe,G753&gt;0),ATAN2(G753,H753),$M$4)</f>
        <v>-1.4335277196617</v>
      </c>
      <c r="N753" s="449" t="n">
        <f aca="false">DEGREES(Beta)</f>
        <v>-82.1350881516282</v>
      </c>
      <c r="O753" s="438"/>
      <c r="P753" s="452" t="n">
        <f aca="false">MATCH(t-pas/2-T_ini,CdP_t)</f>
        <v>23</v>
      </c>
      <c r="Q753" s="449" t="n">
        <f aca="false">(INDEX(CdP,2,i_P+1)-INDEX(CdP,2,i_P+0))/(INDEX(CdP,1,i_P+1)-INDEX(CdP,1,i_P+0))*(t-pas/2-T_ini-INDEX(CdP,1,i_P+0))+INDEX(CdP,2,i_P+0)</f>
        <v>0</v>
      </c>
      <c r="R753" s="450" t="n">
        <f aca="false">Poussee/(g*ISP)</f>
        <v>0</v>
      </c>
      <c r="S753" s="451" t="n">
        <f aca="false">S752-Débit*pas</f>
        <v>8.652</v>
      </c>
      <c r="T753" s="449" t="n">
        <f aca="false">m*g</f>
        <v>84.87612</v>
      </c>
      <c r="U753" s="453" t="n">
        <f aca="false">IF(pos_xz&lt;L_rampe,Poids*COS(Beta),0)</f>
        <v>0</v>
      </c>
      <c r="V753" s="450" t="n">
        <f aca="false">Rho_moyen*(20000-Alt_rampe-pos_z)/(20000+Alt_rampe+pos_z)</f>
        <v>1.22657566298246</v>
      </c>
      <c r="W753" s="449" t="n">
        <f aca="false">1/2*Rho*Sref*Cx*vit_xz^2</f>
        <v>52.0671734915376</v>
      </c>
      <c r="X753" s="438"/>
      <c r="Y753" s="454" t="str">
        <f aca="false">IF(AND(pos_z&lt;=0,K752&gt;0),"Impact balistique","") &amp; IF(AND(H754&lt;0,vit_z&gt;=0),"Apogée","") &amp; IF(AND(Poussee=0,Q752&gt;0),"Fin de propulsion","") &amp; IF(AND(L754&gt;L_rampe,pos_xz&lt;=L_rampe),"Sortie de rampe","")</f>
        <v/>
      </c>
      <c r="Z753" s="455" t="str">
        <f aca="false">IF(ABS(t-T_para)&lt;pas/2,"Para","")</f>
        <v/>
      </c>
      <c r="AA753" s="456" t="str">
        <f aca="false">IF(ABS(t-T_satellite)&lt;pas/2,"Satellite","")</f>
        <v/>
      </c>
      <c r="AB753" s="444"/>
      <c r="AC753" s="452" t="e">
        <f aca="false">IF(ABS(t-ROUND(t,0))&lt;0.001,t,NA())</f>
        <v>#N/A</v>
      </c>
      <c r="AD753" s="457" t="e">
        <f aca="false">IF(ABS(t-ROUND(t,0))&lt;0.001,pos_x,NA())</f>
        <v>#N/A</v>
      </c>
      <c r="AE753" s="458" t="e">
        <f aca="false">IF(t&lt;T_para, pos_z, NA())</f>
        <v>#N/A</v>
      </c>
      <c r="AF753" s="444"/>
      <c r="AG753" s="450" t="n">
        <f aca="false">IF(AND(L752&lt;L_rampe,Poussee&lt;Poids*SIN(M752)),0,(-W752+Poussee)/m-Poids*SIN(M752)/m)</f>
        <v>3.69982591123907</v>
      </c>
      <c r="AH753" s="449" t="n">
        <f aca="false">IF(AND(L752&lt;L_rampe,Poussee&lt;Poids*SIN(M752)), g*SIN(M752), (-W752+Poussee)/m)</f>
        <v>-6.01789451977977</v>
      </c>
    </row>
    <row r="754" customFormat="false" ht="12" hidden="false" customHeight="false" outlineLevel="0" collapsed="false">
      <c r="A754" s="448" t="n">
        <f aca="false">IF(B753+0.01&lt;=T_ini+ROUNDUP(Temps_fin_propu,0), 0.01, IF(K753&gt;0, 0.1, 0.0001))</f>
        <v>0.0001</v>
      </c>
      <c r="B754" s="449" t="n">
        <f aca="false">B753+pas</f>
        <v>35.7033000000003</v>
      </c>
      <c r="C754" s="432"/>
      <c r="D754" s="450" t="n">
        <f aca="false">IF(AND(L753&lt;L_rampe,Poussee&lt;Poids*SIN(M753)),0,(-W753+Poussee)/m*COS(M753)-U753/m*SIN(M753))</f>
        <v>-0.823481757623663</v>
      </c>
      <c r="E754" s="451" t="n">
        <f aca="false">IF(AND(L753&lt;L_rampe,Poussee&lt;Poids*SIN(M753)),0,(-W753+Poussee)/m*SIN(M753)+U753/m*COS(M753)-Poids/m)</f>
        <v>-3.84867302688563</v>
      </c>
      <c r="F754" s="449" t="n">
        <f aca="false">SQRT(acc_x^2+acc_z^2)</f>
        <v>3.93578534386925</v>
      </c>
      <c r="G754" s="450" t="n">
        <f aca="false">G753+acc_x*pas</f>
        <v>18.9069428163312</v>
      </c>
      <c r="H754" s="451" t="n">
        <f aca="false">H753+acc_z*pas</f>
        <v>-136.871612494469</v>
      </c>
      <c r="I754" s="449" t="n">
        <f aca="false">SQRT(vit_x^2+vit_z^2)</f>
        <v>138.171309588844</v>
      </c>
      <c r="J754" s="450" t="n">
        <f aca="false">J753+0.5*(vit_x+G753)*pas*(K753&gt;=0)</f>
        <v>1017.12580762709</v>
      </c>
      <c r="K754" s="451" t="n">
        <f aca="false">K753+0.5*(vit_z+H753)*pas</f>
        <v>-12.8679751515905</v>
      </c>
      <c r="L754" s="449" t="n">
        <f aca="false">SQRT(pos_x^2+pos_z^2)</f>
        <v>1017.20720274955</v>
      </c>
      <c r="M754" s="450" t="n">
        <f aca="false">IF(AND(L753&gt;L_rampe,G754&gt;0),ATAN2(G754,H754),$M$4)</f>
        <v>-1.43352869119485</v>
      </c>
      <c r="N754" s="449" t="n">
        <f aca="false">DEGREES(Beta)</f>
        <v>-82.1351438163775</v>
      </c>
      <c r="O754" s="438"/>
      <c r="P754" s="452" t="n">
        <f aca="false">MATCH(t-pas/2-T_ini,CdP_t)</f>
        <v>23</v>
      </c>
      <c r="Q754" s="449" t="n">
        <f aca="false">(INDEX(CdP,2,i_P+1)-INDEX(CdP,2,i_P+0))/(INDEX(CdP,1,i_P+1)-INDEX(CdP,1,i_P+0))*(t-pas/2-T_ini-INDEX(CdP,1,i_P+0))+INDEX(CdP,2,i_P+0)</f>
        <v>0</v>
      </c>
      <c r="R754" s="450" t="n">
        <f aca="false">Poussee/(g*ISP)</f>
        <v>0</v>
      </c>
      <c r="S754" s="451" t="n">
        <f aca="false">S753-Débit*pas</f>
        <v>8.652</v>
      </c>
      <c r="T754" s="449" t="n">
        <f aca="false">m*g</f>
        <v>84.87612</v>
      </c>
      <c r="U754" s="453" t="n">
        <f aca="false">IF(pos_xz&lt;L_rampe,Poids*COS(Beta),0)</f>
        <v>0</v>
      </c>
      <c r="V754" s="450" t="n">
        <f aca="false">Rho_moyen*(20000-Alt_rampe-pos_z)/(20000+Alt_rampe+pos_z)</f>
        <v>1.22657734181583</v>
      </c>
      <c r="W754" s="449" t="n">
        <f aca="false">1/2*Rho*Sref*Cx*vit_xz^2</f>
        <v>52.0675235967971</v>
      </c>
      <c r="X754" s="438"/>
      <c r="Y754" s="454" t="str">
        <f aca="false">IF(AND(pos_z&lt;=0,K753&gt;0),"Impact balistique","") &amp; IF(AND(H755&lt;0,vit_z&gt;=0),"Apogée","") &amp; IF(AND(Poussee=0,Q753&gt;0),"Fin de propulsion","") &amp; IF(AND(L755&gt;L_rampe,pos_xz&lt;=L_rampe),"Sortie de rampe","")</f>
        <v/>
      </c>
      <c r="Z754" s="455" t="str">
        <f aca="false">IF(ABS(t-T_para)&lt;pas/2,"Para","")</f>
        <v/>
      </c>
      <c r="AA754" s="456" t="str">
        <f aca="false">IF(ABS(t-T_satellite)&lt;pas/2,"Satellite","")</f>
        <v/>
      </c>
      <c r="AB754" s="444"/>
      <c r="AC754" s="452" t="e">
        <f aca="false">IF(ABS(t-ROUND(t,0))&lt;0.001,t,NA())</f>
        <v>#N/A</v>
      </c>
      <c r="AD754" s="457" t="e">
        <f aca="false">IF(ABS(t-ROUND(t,0))&lt;0.001,pos_x,NA())</f>
        <v>#N/A</v>
      </c>
      <c r="AE754" s="458" t="e">
        <f aca="false">IF(t&lt;T_para, pos_z, NA())</f>
        <v>#N/A</v>
      </c>
      <c r="AF754" s="444"/>
      <c r="AG754" s="450" t="n">
        <f aca="false">IF(AND(L753&lt;L_rampe,Poussee&lt;Poids*SIN(M753)),0,(-W753+Poussee)/m-Poids*SIN(M753)/m)</f>
        <v>3.69978675005055</v>
      </c>
      <c r="AH754" s="449" t="n">
        <f aca="false">IF(AND(L753&lt;L_rampe,Poussee&lt;Poids*SIN(M753)), g*SIN(M753), (-W753+Poussee)/m)</f>
        <v>-6.01793498515229</v>
      </c>
    </row>
    <row r="755" customFormat="false" ht="12" hidden="false" customHeight="false" outlineLevel="0" collapsed="false">
      <c r="A755" s="448" t="n">
        <f aca="false">IF(B754+0.01&lt;=T_ini+ROUNDUP(Temps_fin_propu,0), 0.01, IF(K754&gt;0, 0.1, 0.0001))</f>
        <v>0.0001</v>
      </c>
      <c r="B755" s="449" t="n">
        <f aca="false">B754+pas</f>
        <v>35.7034000000003</v>
      </c>
      <c r="C755" s="432"/>
      <c r="D755" s="450" t="n">
        <f aca="false">IF(AND(L754&lt;L_rampe,Poussee&lt;Poids*SIN(M754)),0,(-W754+Poussee)/m*COS(M754)-U754/m*SIN(M754))</f>
        <v>-0.823481503137214</v>
      </c>
      <c r="E755" s="451" t="n">
        <f aca="false">IF(AND(L754&lt;L_rampe,Poussee&lt;Poids*SIN(M754)),0,(-W754+Poussee)/m*SIN(M754)+U754/m*COS(M754)-Poids/m)</f>
        <v>-3.84863214224123</v>
      </c>
      <c r="F755" s="449" t="n">
        <f aca="false">SQRT(acc_x^2+acc_z^2)</f>
        <v>3.93574531090383</v>
      </c>
      <c r="G755" s="450" t="n">
        <f aca="false">G754+acc_x*pas</f>
        <v>18.9068604681809</v>
      </c>
      <c r="H755" s="451" t="n">
        <f aca="false">H754+acc_z*pas</f>
        <v>-136.871997357684</v>
      </c>
      <c r="I755" s="449" t="n">
        <f aca="false">SQRT(vit_x^2+vit_z^2)</f>
        <v>138.171679563668</v>
      </c>
      <c r="J755" s="450" t="n">
        <f aca="false">J754+0.5*(vit_x+G754)*pas*(K754&gt;=0)</f>
        <v>1017.12580762709</v>
      </c>
      <c r="K755" s="451" t="n">
        <f aca="false">K754+0.5*(vit_z+H754)*pas</f>
        <v>-12.8816623320831</v>
      </c>
      <c r="L755" s="449" t="n">
        <f aca="false">SQRT(pos_x^2+pos_z^2)</f>
        <v>1017.20737598854</v>
      </c>
      <c r="M755" s="450" t="n">
        <f aca="false">IF(AND(L754&gt;L_rampe,G755&gt;0),ATAN2(G755,H755),$M$4)</f>
        <v>-1.43352966271857</v>
      </c>
      <c r="N755" s="449" t="n">
        <f aca="false">DEGREES(Beta)</f>
        <v>-82.1351994805862</v>
      </c>
      <c r="O755" s="438"/>
      <c r="P755" s="452" t="n">
        <f aca="false">MATCH(t-pas/2-T_ini,CdP_t)</f>
        <v>23</v>
      </c>
      <c r="Q755" s="449" t="n">
        <f aca="false">(INDEX(CdP,2,i_P+1)-INDEX(CdP,2,i_P+0))/(INDEX(CdP,1,i_P+1)-INDEX(CdP,1,i_P+0))*(t-pas/2-T_ini-INDEX(CdP,1,i_P+0))+INDEX(CdP,2,i_P+0)</f>
        <v>0</v>
      </c>
      <c r="R755" s="450" t="n">
        <f aca="false">Poussee/(g*ISP)</f>
        <v>0</v>
      </c>
      <c r="S755" s="451" t="n">
        <f aca="false">S754-Débit*pas</f>
        <v>8.652</v>
      </c>
      <c r="T755" s="449" t="n">
        <f aca="false">m*g</f>
        <v>84.87612</v>
      </c>
      <c r="U755" s="453" t="n">
        <f aca="false">IF(pos_xz&lt;L_rampe,Poids*COS(Beta),0)</f>
        <v>0</v>
      </c>
      <c r="V755" s="450" t="n">
        <f aca="false">Rho_moyen*(20000-Alt_rampe-pos_z)/(20000+Alt_rampe+pos_z)</f>
        <v>1.22657902065623</v>
      </c>
      <c r="W755" s="449" t="n">
        <f aca="false">1/2*Rho*Sref*Cx*vit_xz^2</f>
        <v>52.0678737009131</v>
      </c>
      <c r="X755" s="438"/>
      <c r="Y755" s="454" t="str">
        <f aca="false">IF(AND(pos_z&lt;=0,K754&gt;0),"Impact balistique","") &amp; IF(AND(H756&lt;0,vit_z&gt;=0),"Apogée","") &amp; IF(AND(Poussee=0,Q754&gt;0),"Fin de propulsion","") &amp; IF(AND(L756&gt;L_rampe,pos_xz&lt;=L_rampe),"Sortie de rampe","")</f>
        <v/>
      </c>
      <c r="Z755" s="455" t="str">
        <f aca="false">IF(ABS(t-T_para)&lt;pas/2,"Para","")</f>
        <v/>
      </c>
      <c r="AA755" s="456" t="str">
        <f aca="false">IF(ABS(t-T_satellite)&lt;pas/2,"Satellite","")</f>
        <v/>
      </c>
      <c r="AB755" s="444"/>
      <c r="AC755" s="452" t="e">
        <f aca="false">IF(ABS(t-ROUND(t,0))&lt;0.001,t,NA())</f>
        <v>#N/A</v>
      </c>
      <c r="AD755" s="457" t="e">
        <f aca="false">IF(ABS(t-ROUND(t,0))&lt;0.001,pos_x,NA())</f>
        <v>#N/A</v>
      </c>
      <c r="AE755" s="458" t="e">
        <f aca="false">IF(t&lt;T_para, pos_z, NA())</f>
        <v>#N/A</v>
      </c>
      <c r="AF755" s="444"/>
      <c r="AG755" s="450" t="n">
        <f aca="false">IF(AND(L754&lt;L_rampe,Poussee&lt;Poids*SIN(M754)),0,(-W754+Poussee)/m-Poids*SIN(M754)/m)</f>
        <v>3.69974758897236</v>
      </c>
      <c r="AH755" s="449" t="n">
        <f aca="false">IF(AND(L754&lt;L_rampe,Poussee&lt;Poids*SIN(M754)), g*SIN(M754), (-W754+Poussee)/m)</f>
        <v>-6.01797545039264</v>
      </c>
    </row>
    <row r="756" customFormat="false" ht="12" hidden="false" customHeight="false" outlineLevel="0" collapsed="false">
      <c r="A756" s="448" t="n">
        <f aca="false">IF(B755+0.01&lt;=T_ini+ROUNDUP(Temps_fin_propu,0), 0.01, IF(K755&gt;0, 0.1, 0.0001))</f>
        <v>0.0001</v>
      </c>
      <c r="B756" s="449" t="n">
        <f aca="false">B755+pas</f>
        <v>35.7035000000003</v>
      </c>
      <c r="C756" s="432"/>
      <c r="D756" s="450" t="n">
        <f aca="false">IF(AND(L755&lt;L_rampe,Poussee&lt;Poids*SIN(M755)),0,(-W755+Poussee)/m*COS(M755)-U755/m*SIN(M755))</f>
        <v>-0.823481248610258</v>
      </c>
      <c r="E756" s="451" t="n">
        <f aca="false">IF(AND(L755&lt;L_rampe,Poussee&lt;Poids*SIN(M755)),0,(-W755+Poussee)/m*SIN(M755)+U755/m*COS(M755)-Poids/m)</f>
        <v>-3.8485912577304</v>
      </c>
      <c r="F756" s="449" t="n">
        <f aca="false">SQRT(acc_x^2+acc_z^2)</f>
        <v>3.93570527807807</v>
      </c>
      <c r="G756" s="450" t="n">
        <f aca="false">G755+acc_x*pas</f>
        <v>18.9067781200561</v>
      </c>
      <c r="H756" s="451" t="n">
        <f aca="false">H755+acc_z*pas</f>
        <v>-136.872382216809</v>
      </c>
      <c r="I756" s="449" t="n">
        <f aca="false">SQRT(vit_x^2+vit_z^2)</f>
        <v>138.172049534576</v>
      </c>
      <c r="J756" s="450" t="n">
        <f aca="false">J755+0.5*(vit_x+G755)*pas*(K755&gt;=0)</f>
        <v>1017.12580762709</v>
      </c>
      <c r="K756" s="451" t="n">
        <f aca="false">K755+0.5*(vit_z+H755)*pas</f>
        <v>-12.8953495510619</v>
      </c>
      <c r="L756" s="449" t="n">
        <f aca="false">SQRT(pos_x^2+pos_z^2)</f>
        <v>1017.20754941217</v>
      </c>
      <c r="M756" s="450" t="n">
        <f aca="false">IF(AND(L755&gt;L_rampe,G756&gt;0),ATAN2(G756,H756),$M$4)</f>
        <v>-1.43353063423285</v>
      </c>
      <c r="N756" s="449" t="n">
        <f aca="false">DEGREES(Beta)</f>
        <v>-82.1352551442544</v>
      </c>
      <c r="O756" s="438"/>
      <c r="P756" s="452" t="n">
        <f aca="false">MATCH(t-pas/2-T_ini,CdP_t)</f>
        <v>23</v>
      </c>
      <c r="Q756" s="449" t="n">
        <f aca="false">(INDEX(CdP,2,i_P+1)-INDEX(CdP,2,i_P+0))/(INDEX(CdP,1,i_P+1)-INDEX(CdP,1,i_P+0))*(t-pas/2-T_ini-INDEX(CdP,1,i_P+0))+INDEX(CdP,2,i_P+0)</f>
        <v>0</v>
      </c>
      <c r="R756" s="450" t="n">
        <f aca="false">Poussee/(g*ISP)</f>
        <v>0</v>
      </c>
      <c r="S756" s="451" t="n">
        <f aca="false">S755-Débit*pas</f>
        <v>8.652</v>
      </c>
      <c r="T756" s="449" t="n">
        <f aca="false">m*g</f>
        <v>84.87612</v>
      </c>
      <c r="U756" s="453" t="n">
        <f aca="false">IF(pos_xz&lt;L_rampe,Poids*COS(Beta),0)</f>
        <v>0</v>
      </c>
      <c r="V756" s="450" t="n">
        <f aca="false">Rho_moyen*(20000-Alt_rampe-pos_z)/(20000+Alt_rampe+pos_z)</f>
        <v>1.22658069950364</v>
      </c>
      <c r="W756" s="449" t="n">
        <f aca="false">1/2*Rho*Sref*Cx*vit_xz^2</f>
        <v>52.0682238038855</v>
      </c>
      <c r="X756" s="438"/>
      <c r="Y756" s="454" t="str">
        <f aca="false">IF(AND(pos_z&lt;=0,K755&gt;0),"Impact balistique","") &amp; IF(AND(H757&lt;0,vit_z&gt;=0),"Apogée","") &amp; IF(AND(Poussee=0,Q755&gt;0),"Fin de propulsion","") &amp; IF(AND(L757&gt;L_rampe,pos_xz&lt;=L_rampe),"Sortie de rampe","")</f>
        <v/>
      </c>
      <c r="Z756" s="455" t="str">
        <f aca="false">IF(ABS(t-T_para)&lt;pas/2,"Para","")</f>
        <v/>
      </c>
      <c r="AA756" s="456" t="str">
        <f aca="false">IF(ABS(t-T_satellite)&lt;pas/2,"Satellite","")</f>
        <v/>
      </c>
      <c r="AB756" s="444"/>
      <c r="AC756" s="452" t="e">
        <f aca="false">IF(ABS(t-ROUND(t,0))&lt;0.001,t,NA())</f>
        <v>#N/A</v>
      </c>
      <c r="AD756" s="457" t="e">
        <f aca="false">IF(ABS(t-ROUND(t,0))&lt;0.001,pos_x,NA())</f>
        <v>#N/A</v>
      </c>
      <c r="AE756" s="458" t="e">
        <f aca="false">IF(t&lt;T_para, pos_z, NA())</f>
        <v>#N/A</v>
      </c>
      <c r="AF756" s="444"/>
      <c r="AG756" s="450" t="n">
        <f aca="false">IF(AND(L755&lt;L_rampe,Poussee&lt;Poids*SIN(M755)),0,(-W755+Poussee)/m-Poids*SIN(M755)/m)</f>
        <v>3.69970842800451</v>
      </c>
      <c r="AH756" s="449" t="n">
        <f aca="false">IF(AND(L755&lt;L_rampe,Poussee&lt;Poids*SIN(M755)), g*SIN(M755), (-W755+Poussee)/m)</f>
        <v>-6.01801591550082</v>
      </c>
    </row>
    <row r="757" customFormat="false" ht="12" hidden="false" customHeight="false" outlineLevel="0" collapsed="false">
      <c r="A757" s="448" t="n">
        <f aca="false">IF(B756+0.01&lt;=T_ini+ROUNDUP(Temps_fin_propu,0), 0.01, IF(K756&gt;0, 0.1, 0.0001))</f>
        <v>0.0001</v>
      </c>
      <c r="B757" s="449" t="n">
        <f aca="false">B756+pas</f>
        <v>35.7036000000003</v>
      </c>
      <c r="C757" s="432"/>
      <c r="D757" s="450" t="n">
        <f aca="false">IF(AND(L756&lt;L_rampe,Poussee&lt;Poids*SIN(M756)),0,(-W756+Poussee)/m*COS(M756)-U756/m*SIN(M756))</f>
        <v>-0.823480994042793</v>
      </c>
      <c r="E757" s="451" t="n">
        <f aca="false">IF(AND(L756&lt;L_rampe,Poussee&lt;Poids*SIN(M756)),0,(-W756+Poussee)/m*SIN(M756)+U756/m*COS(M756)-Poids/m)</f>
        <v>-3.84855037335312</v>
      </c>
      <c r="F757" s="449" t="n">
        <f aca="false">SQRT(acc_x^2+acc_z^2)</f>
        <v>3.93566524539196</v>
      </c>
      <c r="G757" s="450" t="n">
        <f aca="false">G756+acc_x*pas</f>
        <v>18.9066957719566</v>
      </c>
      <c r="H757" s="451" t="n">
        <f aca="false">H756+acc_z*pas</f>
        <v>-136.872767071847</v>
      </c>
      <c r="I757" s="449" t="n">
        <f aca="false">SQRT(vit_x^2+vit_z^2)</f>
        <v>138.172419501568</v>
      </c>
      <c r="J757" s="450" t="n">
        <f aca="false">J756+0.5*(vit_x+G756)*pas*(K756&gt;=0)</f>
        <v>1017.12580762709</v>
      </c>
      <c r="K757" s="451" t="n">
        <f aca="false">K756+0.5*(vit_z+H756)*pas</f>
        <v>-12.9090368085263</v>
      </c>
      <c r="L757" s="449" t="n">
        <f aca="false">SQRT(pos_x^2+pos_z^2)</f>
        <v>1017.20772302042</v>
      </c>
      <c r="M757" s="450" t="n">
        <f aca="false">IF(AND(L756&gt;L_rampe,G757&gt;0),ATAN2(G757,H757),$M$4)</f>
        <v>-1.4335316057377</v>
      </c>
      <c r="N757" s="449" t="n">
        <f aca="false">DEGREES(Beta)</f>
        <v>-82.1353108073821</v>
      </c>
      <c r="O757" s="438"/>
      <c r="P757" s="452" t="n">
        <f aca="false">MATCH(t-pas/2-T_ini,CdP_t)</f>
        <v>23</v>
      </c>
      <c r="Q757" s="449" t="n">
        <f aca="false">(INDEX(CdP,2,i_P+1)-INDEX(CdP,2,i_P+0))/(INDEX(CdP,1,i_P+1)-INDEX(CdP,1,i_P+0))*(t-pas/2-T_ini-INDEX(CdP,1,i_P+0))+INDEX(CdP,2,i_P+0)</f>
        <v>0</v>
      </c>
      <c r="R757" s="450" t="n">
        <f aca="false">Poussee/(g*ISP)</f>
        <v>0</v>
      </c>
      <c r="S757" s="451" t="n">
        <f aca="false">S756-Débit*pas</f>
        <v>8.652</v>
      </c>
      <c r="T757" s="449" t="n">
        <f aca="false">m*g</f>
        <v>84.87612</v>
      </c>
      <c r="U757" s="453" t="n">
        <f aca="false">IF(pos_xz&lt;L_rampe,Poids*COS(Beta),0)</f>
        <v>0</v>
      </c>
      <c r="V757" s="450" t="n">
        <f aca="false">Rho_moyen*(20000-Alt_rampe-pos_z)/(20000+Alt_rampe+pos_z)</f>
        <v>1.22658237835807</v>
      </c>
      <c r="W757" s="449" t="n">
        <f aca="false">1/2*Rho*Sref*Cx*vit_xz^2</f>
        <v>52.0685739057145</v>
      </c>
      <c r="X757" s="438"/>
      <c r="Y757" s="454" t="str">
        <f aca="false">IF(AND(pos_z&lt;=0,K756&gt;0),"Impact balistique","") &amp; IF(AND(H758&lt;0,vit_z&gt;=0),"Apogée","") &amp; IF(AND(Poussee=0,Q756&gt;0),"Fin de propulsion","") &amp; IF(AND(L758&gt;L_rampe,pos_xz&lt;=L_rampe),"Sortie de rampe","")</f>
        <v/>
      </c>
      <c r="Z757" s="455" t="str">
        <f aca="false">IF(ABS(t-T_para)&lt;pas/2,"Para","")</f>
        <v/>
      </c>
      <c r="AA757" s="456" t="str">
        <f aca="false">IF(ABS(t-T_satellite)&lt;pas/2,"Satellite","")</f>
        <v/>
      </c>
      <c r="AB757" s="444"/>
      <c r="AC757" s="452" t="e">
        <f aca="false">IF(ABS(t-ROUND(t,0))&lt;0.001,t,NA())</f>
        <v>#N/A</v>
      </c>
      <c r="AD757" s="457" t="e">
        <f aca="false">IF(ABS(t-ROUND(t,0))&lt;0.001,pos_x,NA())</f>
        <v>#N/A</v>
      </c>
      <c r="AE757" s="458" t="e">
        <f aca="false">IF(t&lt;T_para, pos_z, NA())</f>
        <v>#N/A</v>
      </c>
      <c r="AF757" s="444"/>
      <c r="AG757" s="450" t="n">
        <f aca="false">IF(AND(L756&lt;L_rampe,Poussee&lt;Poids*SIN(M756)),0,(-W756+Poussee)/m-Poids*SIN(M756)/m)</f>
        <v>3.69966926714699</v>
      </c>
      <c r="AH757" s="449" t="n">
        <f aca="false">IF(AND(L756&lt;L_rampe,Poussee&lt;Poids*SIN(M756)), g*SIN(M756), (-W756+Poussee)/m)</f>
        <v>-6.01805638047683</v>
      </c>
    </row>
    <row r="758" customFormat="false" ht="12" hidden="false" customHeight="false" outlineLevel="0" collapsed="false">
      <c r="A758" s="448" t="n">
        <f aca="false">IF(B757+0.01&lt;=T_ini+ROUNDUP(Temps_fin_propu,0), 0.01, IF(K757&gt;0, 0.1, 0.0001))</f>
        <v>0.0001</v>
      </c>
      <c r="B758" s="449" t="n">
        <f aca="false">B757+pas</f>
        <v>35.7037000000003</v>
      </c>
      <c r="C758" s="432"/>
      <c r="D758" s="450" t="n">
        <f aca="false">IF(AND(L757&lt;L_rampe,Poussee&lt;Poids*SIN(M757)),0,(-W757+Poussee)/m*COS(M757)-U757/m*SIN(M757))</f>
        <v>-0.823480739434824</v>
      </c>
      <c r="E758" s="451" t="n">
        <f aca="false">IF(AND(L757&lt;L_rampe,Poussee&lt;Poids*SIN(M757)),0,(-W757+Poussee)/m*SIN(M757)+U757/m*COS(M757)-Poids/m)</f>
        <v>-3.84850948910941</v>
      </c>
      <c r="F758" s="449" t="n">
        <f aca="false">SQRT(acc_x^2+acc_z^2)</f>
        <v>3.93562521284552</v>
      </c>
      <c r="G758" s="450" t="n">
        <f aca="false">G757+acc_x*pas</f>
        <v>18.9066134238827</v>
      </c>
      <c r="H758" s="451" t="n">
        <f aca="false">H757+acc_z*pas</f>
        <v>-136.873151922796</v>
      </c>
      <c r="I758" s="449" t="n">
        <f aca="false">SQRT(vit_x^2+vit_z^2)</f>
        <v>138.172789464644</v>
      </c>
      <c r="J758" s="450" t="n">
        <f aca="false">J757+0.5*(vit_x+G757)*pas*(K757&gt;=0)</f>
        <v>1017.12580762709</v>
      </c>
      <c r="K758" s="451" t="n">
        <f aca="false">K757+0.5*(vit_z+H757)*pas</f>
        <v>-12.922724104476</v>
      </c>
      <c r="L758" s="449" t="n">
        <f aca="false">SQRT(pos_x^2+pos_z^2)</f>
        <v>1017.2078968133</v>
      </c>
      <c r="M758" s="450" t="n">
        <f aca="false">IF(AND(L757&gt;L_rampe,G758&gt;0),ATAN2(G758,H758),$M$4)</f>
        <v>-1.43353257723312</v>
      </c>
      <c r="N758" s="449" t="n">
        <f aca="false">DEGREES(Beta)</f>
        <v>-82.1353664699692</v>
      </c>
      <c r="O758" s="438"/>
      <c r="P758" s="452" t="n">
        <f aca="false">MATCH(t-pas/2-T_ini,CdP_t)</f>
        <v>23</v>
      </c>
      <c r="Q758" s="449" t="n">
        <f aca="false">(INDEX(CdP,2,i_P+1)-INDEX(CdP,2,i_P+0))/(INDEX(CdP,1,i_P+1)-INDEX(CdP,1,i_P+0))*(t-pas/2-T_ini-INDEX(CdP,1,i_P+0))+INDEX(CdP,2,i_P+0)</f>
        <v>0</v>
      </c>
      <c r="R758" s="450" t="n">
        <f aca="false">Poussee/(g*ISP)</f>
        <v>0</v>
      </c>
      <c r="S758" s="451" t="n">
        <f aca="false">S757-Débit*pas</f>
        <v>8.652</v>
      </c>
      <c r="T758" s="449" t="n">
        <f aca="false">m*g</f>
        <v>84.87612</v>
      </c>
      <c r="U758" s="453" t="n">
        <f aca="false">IF(pos_xz&lt;L_rampe,Poids*COS(Beta),0)</f>
        <v>0</v>
      </c>
      <c r="V758" s="450" t="n">
        <f aca="false">Rho_moyen*(20000-Alt_rampe-pos_z)/(20000+Alt_rampe+pos_z)</f>
        <v>1.22658405721952</v>
      </c>
      <c r="W758" s="449" t="n">
        <f aca="false">1/2*Rho*Sref*Cx*vit_xz^2</f>
        <v>52.0689240063998</v>
      </c>
      <c r="X758" s="438"/>
      <c r="Y758" s="454" t="str">
        <f aca="false">IF(AND(pos_z&lt;=0,K757&gt;0),"Impact balistique","") &amp; IF(AND(H759&lt;0,vit_z&gt;=0),"Apogée","") &amp; IF(AND(Poussee=0,Q757&gt;0),"Fin de propulsion","") &amp; IF(AND(L759&gt;L_rampe,pos_xz&lt;=L_rampe),"Sortie de rampe","")</f>
        <v/>
      </c>
      <c r="Z758" s="455" t="str">
        <f aca="false">IF(ABS(t-T_para)&lt;pas/2,"Para","")</f>
        <v/>
      </c>
      <c r="AA758" s="456" t="str">
        <f aca="false">IF(ABS(t-T_satellite)&lt;pas/2,"Satellite","")</f>
        <v/>
      </c>
      <c r="AB758" s="444"/>
      <c r="AC758" s="452" t="e">
        <f aca="false">IF(ABS(t-ROUND(t,0))&lt;0.001,t,NA())</f>
        <v>#N/A</v>
      </c>
      <c r="AD758" s="457" t="e">
        <f aca="false">IF(ABS(t-ROUND(t,0))&lt;0.001,pos_x,NA())</f>
        <v>#N/A</v>
      </c>
      <c r="AE758" s="458" t="e">
        <f aca="false">IF(t&lt;T_para, pos_z, NA())</f>
        <v>#N/A</v>
      </c>
      <c r="AF758" s="444"/>
      <c r="AG758" s="450" t="n">
        <f aca="false">IF(AND(L757&lt;L_rampe,Poussee&lt;Poids*SIN(M757)),0,(-W757+Poussee)/m-Poids*SIN(M757)/m)</f>
        <v>3.6996301063998</v>
      </c>
      <c r="AH758" s="449" t="n">
        <f aca="false">IF(AND(L757&lt;L_rampe,Poussee&lt;Poids*SIN(M757)), g*SIN(M757), (-W757+Poussee)/m)</f>
        <v>-6.01809684532067</v>
      </c>
    </row>
    <row r="759" customFormat="false" ht="12" hidden="false" customHeight="false" outlineLevel="0" collapsed="false">
      <c r="A759" s="448" t="n">
        <f aca="false">IF(B758+0.01&lt;=T_ini+ROUNDUP(Temps_fin_propu,0), 0.01, IF(K758&gt;0, 0.1, 0.0001))</f>
        <v>0.0001</v>
      </c>
      <c r="B759" s="449" t="n">
        <f aca="false">B758+pas</f>
        <v>35.7038000000003</v>
      </c>
      <c r="C759" s="432"/>
      <c r="D759" s="450" t="n">
        <f aca="false">IF(AND(L758&lt;L_rampe,Poussee&lt;Poids*SIN(M758)),0,(-W758+Poussee)/m*COS(M758)-U758/m*SIN(M758))</f>
        <v>-0.823480484786346</v>
      </c>
      <c r="E759" s="451" t="n">
        <f aca="false">IF(AND(L758&lt;L_rampe,Poussee&lt;Poids*SIN(M758)),0,(-W758+Poussee)/m*SIN(M758)+U758/m*COS(M758)-Poids/m)</f>
        <v>-3.84846860499927</v>
      </c>
      <c r="F759" s="449" t="n">
        <f aca="false">SQRT(acc_x^2+acc_z^2)</f>
        <v>3.93558518043874</v>
      </c>
      <c r="G759" s="450" t="n">
        <f aca="false">G758+acc_x*pas</f>
        <v>18.9065310758342</v>
      </c>
      <c r="H759" s="451" t="n">
        <f aca="false">H758+acc_z*pas</f>
        <v>-136.873536769656</v>
      </c>
      <c r="I759" s="449" t="n">
        <f aca="false">SQRT(vit_x^2+vit_z^2)</f>
        <v>138.173159423804</v>
      </c>
      <c r="J759" s="450" t="n">
        <f aca="false">J758+0.5*(vit_x+G758)*pas*(K758&gt;=0)</f>
        <v>1017.12580762709</v>
      </c>
      <c r="K759" s="451" t="n">
        <f aca="false">K758+0.5*(vit_z+H758)*pas</f>
        <v>-12.9364114389107</v>
      </c>
      <c r="L759" s="449" t="n">
        <f aca="false">SQRT(pos_x^2+pos_z^2)</f>
        <v>1017.20807079082</v>
      </c>
      <c r="M759" s="450" t="n">
        <f aca="false">IF(AND(L758&gt;L_rampe,G759&gt;0),ATAN2(G759,H759),$M$4)</f>
        <v>-1.4335335487191</v>
      </c>
      <c r="N759" s="449" t="n">
        <f aca="false">DEGREES(Beta)</f>
        <v>-82.1354221320158</v>
      </c>
      <c r="O759" s="438"/>
      <c r="P759" s="452" t="n">
        <f aca="false">MATCH(t-pas/2-T_ini,CdP_t)</f>
        <v>23</v>
      </c>
      <c r="Q759" s="449" t="n">
        <f aca="false">(INDEX(CdP,2,i_P+1)-INDEX(CdP,2,i_P+0))/(INDEX(CdP,1,i_P+1)-INDEX(CdP,1,i_P+0))*(t-pas/2-T_ini-INDEX(CdP,1,i_P+0))+INDEX(CdP,2,i_P+0)</f>
        <v>0</v>
      </c>
      <c r="R759" s="450" t="n">
        <f aca="false">Poussee/(g*ISP)</f>
        <v>0</v>
      </c>
      <c r="S759" s="451" t="n">
        <f aca="false">S758-Débit*pas</f>
        <v>8.652</v>
      </c>
      <c r="T759" s="449" t="n">
        <f aca="false">m*g</f>
        <v>84.87612</v>
      </c>
      <c r="U759" s="453" t="n">
        <f aca="false">IF(pos_xz&lt;L_rampe,Poids*COS(Beta),0)</f>
        <v>0</v>
      </c>
      <c r="V759" s="450" t="n">
        <f aca="false">Rho_moyen*(20000-Alt_rampe-pos_z)/(20000+Alt_rampe+pos_z)</f>
        <v>1.22658573608799</v>
      </c>
      <c r="W759" s="449" t="n">
        <f aca="false">1/2*Rho*Sref*Cx*vit_xz^2</f>
        <v>52.0692741059415</v>
      </c>
      <c r="X759" s="438"/>
      <c r="Y759" s="454" t="str">
        <f aca="false">IF(AND(pos_z&lt;=0,K758&gt;0),"Impact balistique","") &amp; IF(AND(H760&lt;0,vit_z&gt;=0),"Apogée","") &amp; IF(AND(Poussee=0,Q758&gt;0),"Fin de propulsion","") &amp; IF(AND(L760&gt;L_rampe,pos_xz&lt;=L_rampe),"Sortie de rampe","")</f>
        <v/>
      </c>
      <c r="Z759" s="455" t="str">
        <f aca="false">IF(ABS(t-T_para)&lt;pas/2,"Para","")</f>
        <v/>
      </c>
      <c r="AA759" s="456" t="str">
        <f aca="false">IF(ABS(t-T_satellite)&lt;pas/2,"Satellite","")</f>
        <v/>
      </c>
      <c r="AB759" s="444"/>
      <c r="AC759" s="452" t="e">
        <f aca="false">IF(ABS(t-ROUND(t,0))&lt;0.001,t,NA())</f>
        <v>#N/A</v>
      </c>
      <c r="AD759" s="457" t="e">
        <f aca="false">IF(ABS(t-ROUND(t,0))&lt;0.001,pos_x,NA())</f>
        <v>#N/A</v>
      </c>
      <c r="AE759" s="458" t="e">
        <f aca="false">IF(t&lt;T_para, pos_z, NA())</f>
        <v>#N/A</v>
      </c>
      <c r="AF759" s="444"/>
      <c r="AG759" s="450" t="n">
        <f aca="false">IF(AND(L758&lt;L_rampe,Poussee&lt;Poids*SIN(M758)),0,(-W758+Poussee)/m-Poids*SIN(M758)/m)</f>
        <v>3.69959094576295</v>
      </c>
      <c r="AH759" s="449" t="n">
        <f aca="false">IF(AND(L758&lt;L_rampe,Poussee&lt;Poids*SIN(M758)), g*SIN(M758), (-W758+Poussee)/m)</f>
        <v>-6.01813731003234</v>
      </c>
    </row>
    <row r="760" customFormat="false" ht="12" hidden="false" customHeight="false" outlineLevel="0" collapsed="false">
      <c r="A760" s="448" t="n">
        <f aca="false">IF(B759+0.01&lt;=T_ini+ROUNDUP(Temps_fin_propu,0), 0.01, IF(K759&gt;0, 0.1, 0.0001))</f>
        <v>0.0001</v>
      </c>
      <c r="B760" s="449" t="n">
        <f aca="false">B759+pas</f>
        <v>35.7039000000003</v>
      </c>
      <c r="C760" s="432"/>
      <c r="D760" s="450" t="n">
        <f aca="false">IF(AND(L759&lt;L_rampe,Poussee&lt;Poids*SIN(M759)),0,(-W759+Poussee)/m*COS(M759)-U759/m*SIN(M759))</f>
        <v>-0.823480230097362</v>
      </c>
      <c r="E760" s="451" t="n">
        <f aca="false">IF(AND(L759&lt;L_rampe,Poussee&lt;Poids*SIN(M759)),0,(-W759+Poussee)/m*SIN(M759)+U759/m*COS(M759)-Poids/m)</f>
        <v>-3.8484277210227</v>
      </c>
      <c r="F760" s="449" t="n">
        <f aca="false">SQRT(acc_x^2+acc_z^2)</f>
        <v>3.93554514817162</v>
      </c>
      <c r="G760" s="450" t="n">
        <f aca="false">G759+acc_x*pas</f>
        <v>18.9064487278112</v>
      </c>
      <c r="H760" s="451" t="n">
        <f aca="false">H759+acc_z*pas</f>
        <v>-136.873921612428</v>
      </c>
      <c r="I760" s="449" t="n">
        <f aca="false">SQRT(vit_x^2+vit_z^2)</f>
        <v>138.173529379048</v>
      </c>
      <c r="J760" s="450" t="n">
        <f aca="false">J759+0.5*(vit_x+G759)*pas*(K759&gt;=0)</f>
        <v>1017.12580762709</v>
      </c>
      <c r="K760" s="451" t="n">
        <f aca="false">K759+0.5*(vit_z+H759)*pas</f>
        <v>-12.9500988118298</v>
      </c>
      <c r="L760" s="449" t="n">
        <f aca="false">SQRT(pos_x^2+pos_z^2)</f>
        <v>1017.20824495297</v>
      </c>
      <c r="M760" s="450" t="n">
        <f aca="false">IF(AND(L759&gt;L_rampe,G760&gt;0),ATAN2(G760,H760),$M$4)</f>
        <v>-1.43353452019565</v>
      </c>
      <c r="N760" s="449" t="n">
        <f aca="false">DEGREES(Beta)</f>
        <v>-82.135477793522</v>
      </c>
      <c r="O760" s="438"/>
      <c r="P760" s="452" t="n">
        <f aca="false">MATCH(t-pas/2-T_ini,CdP_t)</f>
        <v>23</v>
      </c>
      <c r="Q760" s="449" t="n">
        <f aca="false">(INDEX(CdP,2,i_P+1)-INDEX(CdP,2,i_P+0))/(INDEX(CdP,1,i_P+1)-INDEX(CdP,1,i_P+0))*(t-pas/2-T_ini-INDEX(CdP,1,i_P+0))+INDEX(CdP,2,i_P+0)</f>
        <v>0</v>
      </c>
      <c r="R760" s="450" t="n">
        <f aca="false">Poussee/(g*ISP)</f>
        <v>0</v>
      </c>
      <c r="S760" s="451" t="n">
        <f aca="false">S759-Débit*pas</f>
        <v>8.652</v>
      </c>
      <c r="T760" s="449" t="n">
        <f aca="false">m*g</f>
        <v>84.87612</v>
      </c>
      <c r="U760" s="453" t="n">
        <f aca="false">IF(pos_xz&lt;L_rampe,Poids*COS(Beta),0)</f>
        <v>0</v>
      </c>
      <c r="V760" s="450" t="n">
        <f aca="false">Rho_moyen*(20000-Alt_rampe-pos_z)/(20000+Alt_rampe+pos_z)</f>
        <v>1.22658741496348</v>
      </c>
      <c r="W760" s="449" t="n">
        <f aca="false">1/2*Rho*Sref*Cx*vit_xz^2</f>
        <v>52.0696242043397</v>
      </c>
      <c r="X760" s="438"/>
      <c r="Y760" s="454" t="str">
        <f aca="false">IF(AND(pos_z&lt;=0,K759&gt;0),"Impact balistique","") &amp; IF(AND(H761&lt;0,vit_z&gt;=0),"Apogée","") &amp; IF(AND(Poussee=0,Q759&gt;0),"Fin de propulsion","") &amp; IF(AND(L761&gt;L_rampe,pos_xz&lt;=L_rampe),"Sortie de rampe","")</f>
        <v/>
      </c>
      <c r="Z760" s="455" t="str">
        <f aca="false">IF(ABS(t-T_para)&lt;pas/2,"Para","")</f>
        <v/>
      </c>
      <c r="AA760" s="456" t="str">
        <f aca="false">IF(ABS(t-T_satellite)&lt;pas/2,"Satellite","")</f>
        <v/>
      </c>
      <c r="AB760" s="444"/>
      <c r="AC760" s="452" t="e">
        <f aca="false">IF(ABS(t-ROUND(t,0))&lt;0.001,t,NA())</f>
        <v>#N/A</v>
      </c>
      <c r="AD760" s="457" t="e">
        <f aca="false">IF(ABS(t-ROUND(t,0))&lt;0.001,pos_x,NA())</f>
        <v>#N/A</v>
      </c>
      <c r="AE760" s="458" t="e">
        <f aca="false">IF(t&lt;T_para, pos_z, NA())</f>
        <v>#N/A</v>
      </c>
      <c r="AF760" s="444"/>
      <c r="AG760" s="450" t="n">
        <f aca="false">IF(AND(L759&lt;L_rampe,Poussee&lt;Poids*SIN(M759)),0,(-W759+Poussee)/m-Poids*SIN(M759)/m)</f>
        <v>3.69955178523645</v>
      </c>
      <c r="AH760" s="449" t="n">
        <f aca="false">IF(AND(L759&lt;L_rampe,Poussee&lt;Poids*SIN(M759)), g*SIN(M759), (-W759+Poussee)/m)</f>
        <v>-6.01817777461183</v>
      </c>
    </row>
    <row r="761" customFormat="false" ht="12" hidden="false" customHeight="false" outlineLevel="0" collapsed="false">
      <c r="A761" s="448" t="n">
        <f aca="false">IF(B760+0.01&lt;=T_ini+ROUNDUP(Temps_fin_propu,0), 0.01, IF(K760&gt;0, 0.1, 0.0001))</f>
        <v>0.0001</v>
      </c>
      <c r="B761" s="449" t="n">
        <f aca="false">B760+pas</f>
        <v>35.7040000000003</v>
      </c>
      <c r="C761" s="432"/>
      <c r="D761" s="450" t="n">
        <f aca="false">IF(AND(L760&lt;L_rampe,Poussee&lt;Poids*SIN(M760)),0,(-W760+Poussee)/m*COS(M760)-U760/m*SIN(M760))</f>
        <v>-0.823479975367871</v>
      </c>
      <c r="E761" s="451" t="n">
        <f aca="false">IF(AND(L760&lt;L_rampe,Poussee&lt;Poids*SIN(M760)),0,(-W760+Poussee)/m*SIN(M760)+U760/m*COS(M760)-Poids/m)</f>
        <v>-3.8483868371797</v>
      </c>
      <c r="F761" s="449" t="n">
        <f aca="false">SQRT(acc_x^2+acc_z^2)</f>
        <v>3.93550511604417</v>
      </c>
      <c r="G761" s="450" t="n">
        <f aca="false">G760+acc_x*pas</f>
        <v>18.9063663798137</v>
      </c>
      <c r="H761" s="451" t="n">
        <f aca="false">H760+acc_z*pas</f>
        <v>-136.874306451112</v>
      </c>
      <c r="I761" s="449" t="n">
        <f aca="false">SQRT(vit_x^2+vit_z^2)</f>
        <v>138.173899330375</v>
      </c>
      <c r="J761" s="450" t="n">
        <f aca="false">J760+0.5*(vit_x+G760)*pas*(K760&gt;=0)</f>
        <v>1017.12580762709</v>
      </c>
      <c r="K761" s="451" t="n">
        <f aca="false">K760+0.5*(vit_z+H760)*pas</f>
        <v>-12.9637862232329</v>
      </c>
      <c r="L761" s="449" t="n">
        <f aca="false">SQRT(pos_x^2+pos_z^2)</f>
        <v>1017.20841929975</v>
      </c>
      <c r="M761" s="450" t="n">
        <f aca="false">IF(AND(L760&gt;L_rampe,G761&gt;0),ATAN2(G761,H761),$M$4)</f>
        <v>-1.43353549166276</v>
      </c>
      <c r="N761" s="449" t="n">
        <f aca="false">DEGREES(Beta)</f>
        <v>-82.1355334544876</v>
      </c>
      <c r="O761" s="438"/>
      <c r="P761" s="452" t="n">
        <f aca="false">MATCH(t-pas/2-T_ini,CdP_t)</f>
        <v>23</v>
      </c>
      <c r="Q761" s="449" t="n">
        <f aca="false">(INDEX(CdP,2,i_P+1)-INDEX(CdP,2,i_P+0))/(INDEX(CdP,1,i_P+1)-INDEX(CdP,1,i_P+0))*(t-pas/2-T_ini-INDEX(CdP,1,i_P+0))+INDEX(CdP,2,i_P+0)</f>
        <v>0</v>
      </c>
      <c r="R761" s="450" t="n">
        <f aca="false">Poussee/(g*ISP)</f>
        <v>0</v>
      </c>
      <c r="S761" s="451" t="n">
        <f aca="false">S760-Débit*pas</f>
        <v>8.652</v>
      </c>
      <c r="T761" s="449" t="n">
        <f aca="false">m*g</f>
        <v>84.87612</v>
      </c>
      <c r="U761" s="453" t="n">
        <f aca="false">IF(pos_xz&lt;L_rampe,Poids*COS(Beta),0)</f>
        <v>0</v>
      </c>
      <c r="V761" s="450" t="n">
        <f aca="false">Rho_moyen*(20000-Alt_rampe-pos_z)/(20000+Alt_rampe+pos_z)</f>
        <v>1.22658909384599</v>
      </c>
      <c r="W761" s="449" t="n">
        <f aca="false">1/2*Rho*Sref*Cx*vit_xz^2</f>
        <v>52.0699743015942</v>
      </c>
      <c r="X761" s="438"/>
      <c r="Y761" s="454" t="str">
        <f aca="false">IF(AND(pos_z&lt;=0,K760&gt;0),"Impact balistique","") &amp; IF(AND(H762&lt;0,vit_z&gt;=0),"Apogée","") &amp; IF(AND(Poussee=0,Q760&gt;0),"Fin de propulsion","") &amp; IF(AND(L762&gt;L_rampe,pos_xz&lt;=L_rampe),"Sortie de rampe","")</f>
        <v/>
      </c>
      <c r="Z761" s="455" t="str">
        <f aca="false">IF(ABS(t-T_para)&lt;pas/2,"Para","")</f>
        <v/>
      </c>
      <c r="AA761" s="456" t="str">
        <f aca="false">IF(ABS(t-T_satellite)&lt;pas/2,"Satellite","")</f>
        <v/>
      </c>
      <c r="AB761" s="444"/>
      <c r="AC761" s="452" t="e">
        <f aca="false">IF(ABS(t-ROUND(t,0))&lt;0.001,t,NA())</f>
        <v>#N/A</v>
      </c>
      <c r="AD761" s="457" t="e">
        <f aca="false">IF(ABS(t-ROUND(t,0))&lt;0.001,pos_x,NA())</f>
        <v>#N/A</v>
      </c>
      <c r="AE761" s="458" t="e">
        <f aca="false">IF(t&lt;T_para, pos_z, NA())</f>
        <v>#N/A</v>
      </c>
      <c r="AF761" s="444"/>
      <c r="AG761" s="450" t="n">
        <f aca="false">IF(AND(L760&lt;L_rampe,Poussee&lt;Poids*SIN(M760)),0,(-W760+Poussee)/m-Poids*SIN(M760)/m)</f>
        <v>3.69951262482029</v>
      </c>
      <c r="AH761" s="449" t="n">
        <f aca="false">IF(AND(L760&lt;L_rampe,Poussee&lt;Poids*SIN(M760)), g*SIN(M760), (-W760+Poussee)/m)</f>
        <v>-6.01821823905914</v>
      </c>
    </row>
    <row r="762" customFormat="false" ht="12" hidden="false" customHeight="false" outlineLevel="0" collapsed="false">
      <c r="A762" s="448" t="n">
        <f aca="false">IF(B761+0.01&lt;=T_ini+ROUNDUP(Temps_fin_propu,0), 0.01, IF(K761&gt;0, 0.1, 0.0001))</f>
        <v>0.0001</v>
      </c>
      <c r="B762" s="449" t="n">
        <f aca="false">B761+pas</f>
        <v>35.7041000000003</v>
      </c>
      <c r="C762" s="432"/>
      <c r="D762" s="450" t="n">
        <f aca="false">IF(AND(L761&lt;L_rampe,Poussee&lt;Poids*SIN(M761)),0,(-W761+Poussee)/m*COS(M761)-U761/m*SIN(M761))</f>
        <v>-0.823479720597876</v>
      </c>
      <c r="E762" s="451" t="n">
        <f aca="false">IF(AND(L761&lt;L_rampe,Poussee&lt;Poids*SIN(M761)),0,(-W761+Poussee)/m*SIN(M761)+U761/m*COS(M761)-Poids/m)</f>
        <v>-3.84834595347027</v>
      </c>
      <c r="F762" s="449" t="n">
        <f aca="false">SQRT(acc_x^2+acc_z^2)</f>
        <v>3.93546508405639</v>
      </c>
      <c r="G762" s="450" t="n">
        <f aca="false">G761+acc_x*pas</f>
        <v>18.9062840318416</v>
      </c>
      <c r="H762" s="451" t="n">
        <f aca="false">H761+acc_z*pas</f>
        <v>-136.874691285707</v>
      </c>
      <c r="I762" s="449" t="n">
        <f aca="false">SQRT(vit_x^2+vit_z^2)</f>
        <v>138.174269277787</v>
      </c>
      <c r="J762" s="450" t="n">
        <f aca="false">J761+0.5*(vit_x+G761)*pas*(K761&gt;=0)</f>
        <v>1017.12580762709</v>
      </c>
      <c r="K762" s="451" t="n">
        <f aca="false">K761+0.5*(vit_z+H761)*pas</f>
        <v>-12.9774736731198</v>
      </c>
      <c r="L762" s="449" t="n">
        <f aca="false">SQRT(pos_x^2+pos_z^2)</f>
        <v>1017.20859383117</v>
      </c>
      <c r="M762" s="450" t="n">
        <f aca="false">IF(AND(L761&gt;L_rampe,G762&gt;0),ATAN2(G762,H762),$M$4)</f>
        <v>-1.43353646312044</v>
      </c>
      <c r="N762" s="449" t="n">
        <f aca="false">DEGREES(Beta)</f>
        <v>-82.1355891149127</v>
      </c>
      <c r="O762" s="438"/>
      <c r="P762" s="452" t="n">
        <f aca="false">MATCH(t-pas/2-T_ini,CdP_t)</f>
        <v>23</v>
      </c>
      <c r="Q762" s="449" t="n">
        <f aca="false">(INDEX(CdP,2,i_P+1)-INDEX(CdP,2,i_P+0))/(INDEX(CdP,1,i_P+1)-INDEX(CdP,1,i_P+0))*(t-pas/2-T_ini-INDEX(CdP,1,i_P+0))+INDEX(CdP,2,i_P+0)</f>
        <v>0</v>
      </c>
      <c r="R762" s="450" t="n">
        <f aca="false">Poussee/(g*ISP)</f>
        <v>0</v>
      </c>
      <c r="S762" s="451" t="n">
        <f aca="false">S761-Débit*pas</f>
        <v>8.652</v>
      </c>
      <c r="T762" s="449" t="n">
        <f aca="false">m*g</f>
        <v>84.87612</v>
      </c>
      <c r="U762" s="453" t="n">
        <f aca="false">IF(pos_xz&lt;L_rampe,Poids*COS(Beta),0)</f>
        <v>0</v>
      </c>
      <c r="V762" s="450" t="n">
        <f aca="false">Rho_moyen*(20000-Alt_rampe-pos_z)/(20000+Alt_rampe+pos_z)</f>
        <v>1.22659077273552</v>
      </c>
      <c r="W762" s="449" t="n">
        <f aca="false">1/2*Rho*Sref*Cx*vit_xz^2</f>
        <v>52.0703243977051</v>
      </c>
      <c r="X762" s="438"/>
      <c r="Y762" s="454" t="str">
        <f aca="false">IF(AND(pos_z&lt;=0,K761&gt;0),"Impact balistique","") &amp; IF(AND(H763&lt;0,vit_z&gt;=0),"Apogée","") &amp; IF(AND(Poussee=0,Q761&gt;0),"Fin de propulsion","") &amp; IF(AND(L763&gt;L_rampe,pos_xz&lt;=L_rampe),"Sortie de rampe","")</f>
        <v/>
      </c>
      <c r="Z762" s="455" t="str">
        <f aca="false">IF(ABS(t-T_para)&lt;pas/2,"Para","")</f>
        <v/>
      </c>
      <c r="AA762" s="456" t="str">
        <f aca="false">IF(ABS(t-T_satellite)&lt;pas/2,"Satellite","")</f>
        <v/>
      </c>
      <c r="AB762" s="444"/>
      <c r="AC762" s="452" t="e">
        <f aca="false">IF(ABS(t-ROUND(t,0))&lt;0.001,t,NA())</f>
        <v>#N/A</v>
      </c>
      <c r="AD762" s="457" t="e">
        <f aca="false">IF(ABS(t-ROUND(t,0))&lt;0.001,pos_x,NA())</f>
        <v>#N/A</v>
      </c>
      <c r="AE762" s="458" t="e">
        <f aca="false">IF(t&lt;T_para, pos_z, NA())</f>
        <v>#N/A</v>
      </c>
      <c r="AF762" s="444"/>
      <c r="AG762" s="450" t="n">
        <f aca="false">IF(AND(L761&lt;L_rampe,Poussee&lt;Poids*SIN(M761)),0,(-W761+Poussee)/m-Poids*SIN(M761)/m)</f>
        <v>3.69947346451447</v>
      </c>
      <c r="AH762" s="449" t="n">
        <f aca="false">IF(AND(L761&lt;L_rampe,Poussee&lt;Poids*SIN(M761)), g*SIN(M761), (-W761+Poussee)/m)</f>
        <v>-6.01825870337428</v>
      </c>
    </row>
    <row r="763" customFormat="false" ht="12" hidden="false" customHeight="false" outlineLevel="0" collapsed="false">
      <c r="A763" s="448" t="n">
        <f aca="false">IF(B762+0.01&lt;=T_ini+ROUNDUP(Temps_fin_propu,0), 0.01, IF(K762&gt;0, 0.1, 0.0001))</f>
        <v>0.0001</v>
      </c>
      <c r="B763" s="449" t="n">
        <f aca="false">B762+pas</f>
        <v>35.7042000000003</v>
      </c>
      <c r="C763" s="432"/>
      <c r="D763" s="450" t="n">
        <f aca="false">IF(AND(L762&lt;L_rampe,Poussee&lt;Poids*SIN(M762)),0,(-W762+Poussee)/m*COS(M762)-U762/m*SIN(M762))</f>
        <v>-0.823479465787376</v>
      </c>
      <c r="E763" s="451" t="n">
        <f aca="false">IF(AND(L762&lt;L_rampe,Poussee&lt;Poids*SIN(M762)),0,(-W762+Poussee)/m*SIN(M762)+U762/m*COS(M762)-Poids/m)</f>
        <v>-3.84830506989442</v>
      </c>
      <c r="F763" s="449" t="n">
        <f aca="false">SQRT(acc_x^2+acc_z^2)</f>
        <v>3.93542505220829</v>
      </c>
      <c r="G763" s="450" t="n">
        <f aca="false">G762+acc_x*pas</f>
        <v>18.906201683895</v>
      </c>
      <c r="H763" s="451" t="n">
        <f aca="false">H762+acc_z*pas</f>
        <v>-136.875076116214</v>
      </c>
      <c r="I763" s="449" t="n">
        <f aca="false">SQRT(vit_x^2+vit_z^2)</f>
        <v>138.174639221282</v>
      </c>
      <c r="J763" s="450" t="n">
        <f aca="false">J762+0.5*(vit_x+G762)*pas*(K762&gt;=0)</f>
        <v>1017.12580762709</v>
      </c>
      <c r="K763" s="451" t="n">
        <f aca="false">K762+0.5*(vit_z+H762)*pas</f>
        <v>-12.9911611614899</v>
      </c>
      <c r="L763" s="449" t="n">
        <f aca="false">SQRT(pos_x^2+pos_z^2)</f>
        <v>1017.20876854724</v>
      </c>
      <c r="M763" s="450" t="n">
        <f aca="false">IF(AND(L762&gt;L_rampe,G763&gt;0),ATAN2(G763,H763),$M$4)</f>
        <v>-1.43353743456869</v>
      </c>
      <c r="N763" s="449" t="n">
        <f aca="false">DEGREES(Beta)</f>
        <v>-82.1356447747974</v>
      </c>
      <c r="O763" s="438"/>
      <c r="P763" s="452" t="n">
        <f aca="false">MATCH(t-pas/2-T_ini,CdP_t)</f>
        <v>23</v>
      </c>
      <c r="Q763" s="449" t="n">
        <f aca="false">(INDEX(CdP,2,i_P+1)-INDEX(CdP,2,i_P+0))/(INDEX(CdP,1,i_P+1)-INDEX(CdP,1,i_P+0))*(t-pas/2-T_ini-INDEX(CdP,1,i_P+0))+INDEX(CdP,2,i_P+0)</f>
        <v>0</v>
      </c>
      <c r="R763" s="450" t="n">
        <f aca="false">Poussee/(g*ISP)</f>
        <v>0</v>
      </c>
      <c r="S763" s="451" t="n">
        <f aca="false">S762-Débit*pas</f>
        <v>8.652</v>
      </c>
      <c r="T763" s="449" t="n">
        <f aca="false">m*g</f>
        <v>84.87612</v>
      </c>
      <c r="U763" s="453" t="n">
        <f aca="false">IF(pos_xz&lt;L_rampe,Poids*COS(Beta),0)</f>
        <v>0</v>
      </c>
      <c r="V763" s="450" t="n">
        <f aca="false">Rho_moyen*(20000-Alt_rampe-pos_z)/(20000+Alt_rampe+pos_z)</f>
        <v>1.22659245163207</v>
      </c>
      <c r="W763" s="449" t="n">
        <f aca="false">1/2*Rho*Sref*Cx*vit_xz^2</f>
        <v>52.0706744926723</v>
      </c>
      <c r="X763" s="438"/>
      <c r="Y763" s="454" t="str">
        <f aca="false">IF(AND(pos_z&lt;=0,K762&gt;0),"Impact balistique","") &amp; IF(AND(H764&lt;0,vit_z&gt;=0),"Apogée","") &amp; IF(AND(Poussee=0,Q762&gt;0),"Fin de propulsion","") &amp; IF(AND(L764&gt;L_rampe,pos_xz&lt;=L_rampe),"Sortie de rampe","")</f>
        <v/>
      </c>
      <c r="Z763" s="455" t="str">
        <f aca="false">IF(ABS(t-T_para)&lt;pas/2,"Para","")</f>
        <v/>
      </c>
      <c r="AA763" s="456" t="str">
        <f aca="false">IF(ABS(t-T_satellite)&lt;pas/2,"Satellite","")</f>
        <v/>
      </c>
      <c r="AB763" s="444"/>
      <c r="AC763" s="452" t="e">
        <f aca="false">IF(ABS(t-ROUND(t,0))&lt;0.001,t,NA())</f>
        <v>#N/A</v>
      </c>
      <c r="AD763" s="457" t="e">
        <f aca="false">IF(ABS(t-ROUND(t,0))&lt;0.001,pos_x,NA())</f>
        <v>#N/A</v>
      </c>
      <c r="AE763" s="458" t="e">
        <f aca="false">IF(t&lt;T_para, pos_z, NA())</f>
        <v>#N/A</v>
      </c>
      <c r="AF763" s="444"/>
      <c r="AG763" s="450" t="n">
        <f aca="false">IF(AND(L762&lt;L_rampe,Poussee&lt;Poids*SIN(M762)),0,(-W762+Poussee)/m-Poids*SIN(M762)/m)</f>
        <v>3.69943430431901</v>
      </c>
      <c r="AH763" s="449" t="n">
        <f aca="false">IF(AND(L762&lt;L_rampe,Poussee&lt;Poids*SIN(M762)), g*SIN(M762), (-W762+Poussee)/m)</f>
        <v>-6.01829916755723</v>
      </c>
    </row>
    <row r="764" customFormat="false" ht="12" hidden="false" customHeight="false" outlineLevel="0" collapsed="false">
      <c r="A764" s="448" t="n">
        <f aca="false">IF(B763+0.01&lt;=T_ini+ROUNDUP(Temps_fin_propu,0), 0.01, IF(K763&gt;0, 0.1, 0.0001))</f>
        <v>0.0001</v>
      </c>
      <c r="B764" s="449" t="n">
        <f aca="false">B763+pas</f>
        <v>35.7043000000003</v>
      </c>
      <c r="C764" s="432"/>
      <c r="D764" s="450" t="n">
        <f aca="false">IF(AND(L763&lt;L_rampe,Poussee&lt;Poids*SIN(M763)),0,(-W763+Poussee)/m*COS(M763)-U763/m*SIN(M763))</f>
        <v>-0.82347921093637</v>
      </c>
      <c r="E764" s="451" t="n">
        <f aca="false">IF(AND(L763&lt;L_rampe,Poussee&lt;Poids*SIN(M763)),0,(-W763+Poussee)/m*SIN(M763)+U763/m*COS(M763)-Poids/m)</f>
        <v>-3.84826418645215</v>
      </c>
      <c r="F764" s="449" t="n">
        <f aca="false">SQRT(acc_x^2+acc_z^2)</f>
        <v>3.93538502049986</v>
      </c>
      <c r="G764" s="450" t="n">
        <f aca="false">G763+acc_x*pas</f>
        <v>18.9061193359739</v>
      </c>
      <c r="H764" s="451" t="n">
        <f aca="false">H763+acc_z*pas</f>
        <v>-136.875460942633</v>
      </c>
      <c r="I764" s="449" t="n">
        <f aca="false">SQRT(vit_x^2+vit_z^2)</f>
        <v>138.175009160862</v>
      </c>
      <c r="J764" s="450" t="n">
        <f aca="false">J763+0.5*(vit_x+G763)*pas*(K763&gt;=0)</f>
        <v>1017.12580762709</v>
      </c>
      <c r="K764" s="451" t="n">
        <f aca="false">K763+0.5*(vit_z+H763)*pas</f>
        <v>-13.0048486883428</v>
      </c>
      <c r="L764" s="449" t="n">
        <f aca="false">SQRT(pos_x^2+pos_z^2)</f>
        <v>1017.20894344794</v>
      </c>
      <c r="M764" s="450" t="n">
        <f aca="false">IF(AND(L763&gt;L_rampe,G764&gt;0),ATAN2(G764,H764),$M$4)</f>
        <v>-1.43353840600751</v>
      </c>
      <c r="N764" s="449" t="n">
        <f aca="false">DEGREES(Beta)</f>
        <v>-82.1357004341416</v>
      </c>
      <c r="O764" s="438"/>
      <c r="P764" s="452" t="n">
        <f aca="false">MATCH(t-pas/2-T_ini,CdP_t)</f>
        <v>23</v>
      </c>
      <c r="Q764" s="449" t="n">
        <f aca="false">(INDEX(CdP,2,i_P+1)-INDEX(CdP,2,i_P+0))/(INDEX(CdP,1,i_P+1)-INDEX(CdP,1,i_P+0))*(t-pas/2-T_ini-INDEX(CdP,1,i_P+0))+INDEX(CdP,2,i_P+0)</f>
        <v>0</v>
      </c>
      <c r="R764" s="450" t="n">
        <f aca="false">Poussee/(g*ISP)</f>
        <v>0</v>
      </c>
      <c r="S764" s="451" t="n">
        <f aca="false">S763-Débit*pas</f>
        <v>8.652</v>
      </c>
      <c r="T764" s="449" t="n">
        <f aca="false">m*g</f>
        <v>84.87612</v>
      </c>
      <c r="U764" s="453" t="n">
        <f aca="false">IF(pos_xz&lt;L_rampe,Poids*COS(Beta),0)</f>
        <v>0</v>
      </c>
      <c r="V764" s="450" t="n">
        <f aca="false">Rho_moyen*(20000-Alt_rampe-pos_z)/(20000+Alt_rampe+pos_z)</f>
        <v>1.22659413053564</v>
      </c>
      <c r="W764" s="449" t="n">
        <f aca="false">1/2*Rho*Sref*Cx*vit_xz^2</f>
        <v>52.0710245864958</v>
      </c>
      <c r="X764" s="438"/>
      <c r="Y764" s="454" t="str">
        <f aca="false">IF(AND(pos_z&lt;=0,K763&gt;0),"Impact balistique","") &amp; IF(AND(H765&lt;0,vit_z&gt;=0),"Apogée","") &amp; IF(AND(Poussee=0,Q763&gt;0),"Fin de propulsion","") &amp; IF(AND(L765&gt;L_rampe,pos_xz&lt;=L_rampe),"Sortie de rampe","")</f>
        <v/>
      </c>
      <c r="Z764" s="455" t="str">
        <f aca="false">IF(ABS(t-T_para)&lt;pas/2,"Para","")</f>
        <v/>
      </c>
      <c r="AA764" s="456" t="str">
        <f aca="false">IF(ABS(t-T_satellite)&lt;pas/2,"Satellite","")</f>
        <v/>
      </c>
      <c r="AB764" s="444"/>
      <c r="AC764" s="452" t="e">
        <f aca="false">IF(ABS(t-ROUND(t,0))&lt;0.001,t,NA())</f>
        <v>#N/A</v>
      </c>
      <c r="AD764" s="457" t="e">
        <f aca="false">IF(ABS(t-ROUND(t,0))&lt;0.001,pos_x,NA())</f>
        <v>#N/A</v>
      </c>
      <c r="AE764" s="458" t="e">
        <f aca="false">IF(t&lt;T_para, pos_z, NA())</f>
        <v>#N/A</v>
      </c>
      <c r="AF764" s="444"/>
      <c r="AG764" s="450" t="n">
        <f aca="false">IF(AND(L763&lt;L_rampe,Poussee&lt;Poids*SIN(M763)),0,(-W763+Poussee)/m-Poids*SIN(M763)/m)</f>
        <v>3.69939514423389</v>
      </c>
      <c r="AH764" s="449" t="n">
        <f aca="false">IF(AND(L763&lt;L_rampe,Poussee&lt;Poids*SIN(M763)), g*SIN(M763), (-W763+Poussee)/m)</f>
        <v>-6.01833963160799</v>
      </c>
    </row>
    <row r="765" customFormat="false" ht="12" hidden="false" customHeight="false" outlineLevel="0" collapsed="false">
      <c r="A765" s="448" t="n">
        <f aca="false">IF(B764+0.01&lt;=T_ini+ROUNDUP(Temps_fin_propu,0), 0.01, IF(K764&gt;0, 0.1, 0.0001))</f>
        <v>0.0001</v>
      </c>
      <c r="B765" s="449" t="n">
        <f aca="false">B764+pas</f>
        <v>35.7044000000003</v>
      </c>
      <c r="C765" s="432"/>
      <c r="D765" s="450" t="n">
        <f aca="false">IF(AND(L764&lt;L_rampe,Poussee&lt;Poids*SIN(M764)),0,(-W764+Poussee)/m*COS(M764)-U764/m*SIN(M764))</f>
        <v>-0.823478956044859</v>
      </c>
      <c r="E765" s="451" t="n">
        <f aca="false">IF(AND(L764&lt;L_rampe,Poussee&lt;Poids*SIN(M764)),0,(-W764+Poussee)/m*SIN(M764)+U764/m*COS(M764)-Poids/m)</f>
        <v>-3.84822330314347</v>
      </c>
      <c r="F765" s="449" t="n">
        <f aca="false">SQRT(acc_x^2+acc_z^2)</f>
        <v>3.9353449889311</v>
      </c>
      <c r="G765" s="450" t="n">
        <f aca="false">G764+acc_x*pas</f>
        <v>18.9060369880783</v>
      </c>
      <c r="H765" s="451" t="n">
        <f aca="false">H764+acc_z*pas</f>
        <v>-136.875845764963</v>
      </c>
      <c r="I765" s="449" t="n">
        <f aca="false">SQRT(vit_x^2+vit_z^2)</f>
        <v>138.175379096526</v>
      </c>
      <c r="J765" s="450" t="n">
        <f aca="false">J764+0.5*(vit_x+G764)*pas*(K764&gt;=0)</f>
        <v>1017.12580762709</v>
      </c>
      <c r="K765" s="451" t="n">
        <f aca="false">K764+0.5*(vit_z+H764)*pas</f>
        <v>-13.0185362536782</v>
      </c>
      <c r="L765" s="449" t="n">
        <f aca="false">SQRT(pos_x^2+pos_z^2)</f>
        <v>1017.20911853328</v>
      </c>
      <c r="M765" s="450" t="n">
        <f aca="false">IF(AND(L764&gt;L_rampe,G765&gt;0),ATAN2(G765,H765),$M$4)</f>
        <v>-1.43353937743689</v>
      </c>
      <c r="N765" s="449" t="n">
        <f aca="false">DEGREES(Beta)</f>
        <v>-82.1357560929453</v>
      </c>
      <c r="O765" s="438"/>
      <c r="P765" s="452" t="n">
        <f aca="false">MATCH(t-pas/2-T_ini,CdP_t)</f>
        <v>23</v>
      </c>
      <c r="Q765" s="449" t="n">
        <f aca="false">(INDEX(CdP,2,i_P+1)-INDEX(CdP,2,i_P+0))/(INDEX(CdP,1,i_P+1)-INDEX(CdP,1,i_P+0))*(t-pas/2-T_ini-INDEX(CdP,1,i_P+0))+INDEX(CdP,2,i_P+0)</f>
        <v>0</v>
      </c>
      <c r="R765" s="450" t="n">
        <f aca="false">Poussee/(g*ISP)</f>
        <v>0</v>
      </c>
      <c r="S765" s="451" t="n">
        <f aca="false">S764-Débit*pas</f>
        <v>8.652</v>
      </c>
      <c r="T765" s="449" t="n">
        <f aca="false">m*g</f>
        <v>84.87612</v>
      </c>
      <c r="U765" s="453" t="n">
        <f aca="false">IF(pos_xz&lt;L_rampe,Poids*COS(Beta),0)</f>
        <v>0</v>
      </c>
      <c r="V765" s="450" t="n">
        <f aca="false">Rho_moyen*(20000-Alt_rampe-pos_z)/(20000+Alt_rampe+pos_z)</f>
        <v>1.22659580944623</v>
      </c>
      <c r="W765" s="449" t="n">
        <f aca="false">1/2*Rho*Sref*Cx*vit_xz^2</f>
        <v>52.0713746791757</v>
      </c>
      <c r="X765" s="438"/>
      <c r="Y765" s="454" t="str">
        <f aca="false">IF(AND(pos_z&lt;=0,K764&gt;0),"Impact balistique","") &amp; IF(AND(H766&lt;0,vit_z&gt;=0),"Apogée","") &amp; IF(AND(Poussee=0,Q764&gt;0),"Fin de propulsion","") &amp; IF(AND(L766&gt;L_rampe,pos_xz&lt;=L_rampe),"Sortie de rampe","")</f>
        <v/>
      </c>
      <c r="Z765" s="455" t="str">
        <f aca="false">IF(ABS(t-T_para)&lt;pas/2,"Para","")</f>
        <v/>
      </c>
      <c r="AA765" s="456" t="str">
        <f aca="false">IF(ABS(t-T_satellite)&lt;pas/2,"Satellite","")</f>
        <v/>
      </c>
      <c r="AB765" s="444"/>
      <c r="AC765" s="452" t="e">
        <f aca="false">IF(ABS(t-ROUND(t,0))&lt;0.001,t,NA())</f>
        <v>#N/A</v>
      </c>
      <c r="AD765" s="457" t="e">
        <f aca="false">IF(ABS(t-ROUND(t,0))&lt;0.001,pos_x,NA())</f>
        <v>#N/A</v>
      </c>
      <c r="AE765" s="458" t="e">
        <f aca="false">IF(t&lt;T_para, pos_z, NA())</f>
        <v>#N/A</v>
      </c>
      <c r="AF765" s="444"/>
      <c r="AG765" s="450" t="n">
        <f aca="false">IF(AND(L764&lt;L_rampe,Poussee&lt;Poids*SIN(M764)),0,(-W764+Poussee)/m-Poids*SIN(M764)/m)</f>
        <v>3.69935598425914</v>
      </c>
      <c r="AH765" s="449" t="n">
        <f aca="false">IF(AND(L764&lt;L_rampe,Poussee&lt;Poids*SIN(M764)), g*SIN(M764), (-W764+Poussee)/m)</f>
        <v>-6.01838009552657</v>
      </c>
    </row>
    <row r="766" customFormat="false" ht="12" hidden="false" customHeight="false" outlineLevel="0" collapsed="false">
      <c r="A766" s="448" t="n">
        <f aca="false">IF(B765+0.01&lt;=T_ini+ROUNDUP(Temps_fin_propu,0), 0.01, IF(K765&gt;0, 0.1, 0.0001))</f>
        <v>0.0001</v>
      </c>
      <c r="B766" s="449" t="n">
        <f aca="false">B765+pas</f>
        <v>35.7045000000003</v>
      </c>
      <c r="C766" s="432"/>
      <c r="D766" s="450" t="n">
        <f aca="false">IF(AND(L765&lt;L_rampe,Poussee&lt;Poids*SIN(M765)),0,(-W765+Poussee)/m*COS(M765)-U765/m*SIN(M765))</f>
        <v>-0.823478701112844</v>
      </c>
      <c r="E766" s="451" t="n">
        <f aca="false">IF(AND(L765&lt;L_rampe,Poussee&lt;Poids*SIN(M765)),0,(-W765+Poussee)/m*SIN(M765)+U765/m*COS(M765)-Poids/m)</f>
        <v>-3.84818241996836</v>
      </c>
      <c r="F766" s="449" t="n">
        <f aca="false">SQRT(acc_x^2+acc_z^2)</f>
        <v>3.93530495750203</v>
      </c>
      <c r="G766" s="450" t="n">
        <f aca="false">G765+acc_x*pas</f>
        <v>18.9059546402082</v>
      </c>
      <c r="H766" s="451" t="n">
        <f aca="false">H765+acc_z*pas</f>
        <v>-136.876230583205</v>
      </c>
      <c r="I766" s="449" t="n">
        <f aca="false">SQRT(vit_x^2+vit_z^2)</f>
        <v>138.175749028273</v>
      </c>
      <c r="J766" s="450" t="n">
        <f aca="false">J765+0.5*(vit_x+G765)*pas*(K765&gt;=0)</f>
        <v>1017.12580762709</v>
      </c>
      <c r="K766" s="451" t="n">
        <f aca="false">K765+0.5*(vit_z+H765)*pas</f>
        <v>-13.0322238574956</v>
      </c>
      <c r="L766" s="449" t="n">
        <f aca="false">SQRT(pos_x^2+pos_z^2)</f>
        <v>1017.20929380326</v>
      </c>
      <c r="M766" s="450" t="n">
        <f aca="false">IF(AND(L765&gt;L_rampe,G766&gt;0),ATAN2(G766,H766),$M$4)</f>
        <v>-1.43354034885684</v>
      </c>
      <c r="N766" s="449" t="n">
        <f aca="false">DEGREES(Beta)</f>
        <v>-82.1358117512086</v>
      </c>
      <c r="O766" s="438"/>
      <c r="P766" s="452" t="n">
        <f aca="false">MATCH(t-pas/2-T_ini,CdP_t)</f>
        <v>23</v>
      </c>
      <c r="Q766" s="449" t="n">
        <f aca="false">(INDEX(CdP,2,i_P+1)-INDEX(CdP,2,i_P+0))/(INDEX(CdP,1,i_P+1)-INDEX(CdP,1,i_P+0))*(t-pas/2-T_ini-INDEX(CdP,1,i_P+0))+INDEX(CdP,2,i_P+0)</f>
        <v>0</v>
      </c>
      <c r="R766" s="450" t="n">
        <f aca="false">Poussee/(g*ISP)</f>
        <v>0</v>
      </c>
      <c r="S766" s="451" t="n">
        <f aca="false">S765-Débit*pas</f>
        <v>8.652</v>
      </c>
      <c r="T766" s="449" t="n">
        <f aca="false">m*g</f>
        <v>84.87612</v>
      </c>
      <c r="U766" s="453" t="n">
        <f aca="false">IF(pos_xz&lt;L_rampe,Poids*COS(Beta),0)</f>
        <v>0</v>
      </c>
      <c r="V766" s="450" t="n">
        <f aca="false">Rho_moyen*(20000-Alt_rampe-pos_z)/(20000+Alt_rampe+pos_z)</f>
        <v>1.22659748836384</v>
      </c>
      <c r="W766" s="449" t="n">
        <f aca="false">1/2*Rho*Sref*Cx*vit_xz^2</f>
        <v>52.0717247707117</v>
      </c>
      <c r="X766" s="438"/>
      <c r="Y766" s="454" t="str">
        <f aca="false">IF(AND(pos_z&lt;=0,K765&gt;0),"Impact balistique","") &amp; IF(AND(H767&lt;0,vit_z&gt;=0),"Apogée","") &amp; IF(AND(Poussee=0,Q765&gt;0),"Fin de propulsion","") &amp; IF(AND(L767&gt;L_rampe,pos_xz&lt;=L_rampe),"Sortie de rampe","")</f>
        <v/>
      </c>
      <c r="Z766" s="455" t="str">
        <f aca="false">IF(ABS(t-T_para)&lt;pas/2,"Para","")</f>
        <v/>
      </c>
      <c r="AA766" s="456" t="str">
        <f aca="false">IF(ABS(t-T_satellite)&lt;pas/2,"Satellite","")</f>
        <v/>
      </c>
      <c r="AB766" s="444"/>
      <c r="AC766" s="452" t="e">
        <f aca="false">IF(ABS(t-ROUND(t,0))&lt;0.001,t,NA())</f>
        <v>#N/A</v>
      </c>
      <c r="AD766" s="457" t="e">
        <f aca="false">IF(ABS(t-ROUND(t,0))&lt;0.001,pos_x,NA())</f>
        <v>#N/A</v>
      </c>
      <c r="AE766" s="458" t="e">
        <f aca="false">IF(t&lt;T_para, pos_z, NA())</f>
        <v>#N/A</v>
      </c>
      <c r="AF766" s="444"/>
      <c r="AG766" s="450" t="n">
        <f aca="false">IF(AND(L765&lt;L_rampe,Poussee&lt;Poids*SIN(M765)),0,(-W765+Poussee)/m-Poids*SIN(M765)/m)</f>
        <v>3.69931682439474</v>
      </c>
      <c r="AH766" s="449" t="n">
        <f aca="false">IF(AND(L765&lt;L_rampe,Poussee&lt;Poids*SIN(M765)), g*SIN(M765), (-W765+Poussee)/m)</f>
        <v>-6.01842055931295</v>
      </c>
    </row>
    <row r="767" customFormat="false" ht="12" hidden="false" customHeight="false" outlineLevel="0" collapsed="false">
      <c r="A767" s="448" t="n">
        <f aca="false">IF(B766+0.01&lt;=T_ini+ROUNDUP(Temps_fin_propu,0), 0.01, IF(K766&gt;0, 0.1, 0.0001))</f>
        <v>0.0001</v>
      </c>
      <c r="B767" s="449" t="n">
        <f aca="false">B766+pas</f>
        <v>35.7046000000004</v>
      </c>
      <c r="C767" s="432"/>
      <c r="D767" s="450" t="n">
        <f aca="false">IF(AND(L766&lt;L_rampe,Poussee&lt;Poids*SIN(M766)),0,(-W766+Poussee)/m*COS(M766)-U766/m*SIN(M766))</f>
        <v>-0.823478446140325</v>
      </c>
      <c r="E767" s="451" t="n">
        <f aca="false">IF(AND(L766&lt;L_rampe,Poussee&lt;Poids*SIN(M766)),0,(-W766+Poussee)/m*SIN(M766)+U766/m*COS(M766)-Poids/m)</f>
        <v>-3.84814153692684</v>
      </c>
      <c r="F767" s="449" t="n">
        <f aca="false">SQRT(acc_x^2+acc_z^2)</f>
        <v>3.93526492621264</v>
      </c>
      <c r="G767" s="450" t="n">
        <f aca="false">G766+acc_x*pas</f>
        <v>18.9058722923636</v>
      </c>
      <c r="H767" s="451" t="n">
        <f aca="false">H766+acc_z*pas</f>
        <v>-136.876615397359</v>
      </c>
      <c r="I767" s="449" t="n">
        <f aca="false">SQRT(vit_x^2+vit_z^2)</f>
        <v>138.176118956105</v>
      </c>
      <c r="J767" s="450" t="n">
        <f aca="false">J766+0.5*(vit_x+G766)*pas*(K766&gt;=0)</f>
        <v>1017.12580762709</v>
      </c>
      <c r="K767" s="451" t="n">
        <f aca="false">K766+0.5*(vit_z+H766)*pas</f>
        <v>-13.0459114997946</v>
      </c>
      <c r="L767" s="449" t="n">
        <f aca="false">SQRT(pos_x^2+pos_z^2)</f>
        <v>1017.20946925789</v>
      </c>
      <c r="M767" s="450" t="n">
        <f aca="false">IF(AND(L766&gt;L_rampe,G767&gt;0),ATAN2(G767,H767),$M$4)</f>
        <v>-1.43354132026736</v>
      </c>
      <c r="N767" s="449" t="n">
        <f aca="false">DEGREES(Beta)</f>
        <v>-82.1358674089314</v>
      </c>
      <c r="O767" s="438"/>
      <c r="P767" s="452" t="n">
        <f aca="false">MATCH(t-pas/2-T_ini,CdP_t)</f>
        <v>23</v>
      </c>
      <c r="Q767" s="449" t="n">
        <f aca="false">(INDEX(CdP,2,i_P+1)-INDEX(CdP,2,i_P+0))/(INDEX(CdP,1,i_P+1)-INDEX(CdP,1,i_P+0))*(t-pas/2-T_ini-INDEX(CdP,1,i_P+0))+INDEX(CdP,2,i_P+0)</f>
        <v>0</v>
      </c>
      <c r="R767" s="450" t="n">
        <f aca="false">Poussee/(g*ISP)</f>
        <v>0</v>
      </c>
      <c r="S767" s="451" t="n">
        <f aca="false">S766-Débit*pas</f>
        <v>8.652</v>
      </c>
      <c r="T767" s="449" t="n">
        <f aca="false">m*g</f>
        <v>84.87612</v>
      </c>
      <c r="U767" s="453" t="n">
        <f aca="false">IF(pos_xz&lt;L_rampe,Poids*COS(Beta),0)</f>
        <v>0</v>
      </c>
      <c r="V767" s="450" t="n">
        <f aca="false">Rho_moyen*(20000-Alt_rampe-pos_z)/(20000+Alt_rampe+pos_z)</f>
        <v>1.22659916728847</v>
      </c>
      <c r="W767" s="449" t="n">
        <f aca="false">1/2*Rho*Sref*Cx*vit_xz^2</f>
        <v>52.0720748611041</v>
      </c>
      <c r="X767" s="438"/>
      <c r="Y767" s="454" t="str">
        <f aca="false">IF(AND(pos_z&lt;=0,K766&gt;0),"Impact balistique","") &amp; IF(AND(H768&lt;0,vit_z&gt;=0),"Apogée","") &amp; IF(AND(Poussee=0,Q766&gt;0),"Fin de propulsion","") &amp; IF(AND(L768&gt;L_rampe,pos_xz&lt;=L_rampe),"Sortie de rampe","")</f>
        <v/>
      </c>
      <c r="Z767" s="455" t="str">
        <f aca="false">IF(ABS(t-T_para)&lt;pas/2,"Para","")</f>
        <v/>
      </c>
      <c r="AA767" s="456" t="str">
        <f aca="false">IF(ABS(t-T_satellite)&lt;pas/2,"Satellite","")</f>
        <v/>
      </c>
      <c r="AB767" s="444"/>
      <c r="AC767" s="452" t="e">
        <f aca="false">IF(ABS(t-ROUND(t,0))&lt;0.001,t,NA())</f>
        <v>#N/A</v>
      </c>
      <c r="AD767" s="457" t="e">
        <f aca="false">IF(ABS(t-ROUND(t,0))&lt;0.001,pos_x,NA())</f>
        <v>#N/A</v>
      </c>
      <c r="AE767" s="458" t="e">
        <f aca="false">IF(t&lt;T_para, pos_z, NA())</f>
        <v>#N/A</v>
      </c>
      <c r="AF767" s="444"/>
      <c r="AG767" s="450" t="n">
        <f aca="false">IF(AND(L766&lt;L_rampe,Poussee&lt;Poids*SIN(M766)),0,(-W766+Poussee)/m-Poids*SIN(M766)/m)</f>
        <v>3.6992776646407</v>
      </c>
      <c r="AH767" s="449" t="n">
        <f aca="false">IF(AND(L766&lt;L_rampe,Poussee&lt;Poids*SIN(M766)), g*SIN(M766), (-W766+Poussee)/m)</f>
        <v>-6.01846102296715</v>
      </c>
    </row>
    <row r="768" customFormat="false" ht="12" hidden="false" customHeight="false" outlineLevel="0" collapsed="false">
      <c r="A768" s="448" t="n">
        <f aca="false">IF(B767+0.01&lt;=T_ini+ROUNDUP(Temps_fin_propu,0), 0.01, IF(K767&gt;0, 0.1, 0.0001))</f>
        <v>0.0001</v>
      </c>
      <c r="B768" s="449" t="n">
        <f aca="false">B767+pas</f>
        <v>35.7047000000004</v>
      </c>
      <c r="C768" s="432"/>
      <c r="D768" s="450" t="n">
        <f aca="false">IF(AND(L767&lt;L_rampe,Poussee&lt;Poids*SIN(M767)),0,(-W767+Poussee)/m*COS(M767)-U767/m*SIN(M767))</f>
        <v>-0.823478191127302</v>
      </c>
      <c r="E768" s="451" t="n">
        <f aca="false">IF(AND(L767&lt;L_rampe,Poussee&lt;Poids*SIN(M767)),0,(-W767+Poussee)/m*SIN(M767)+U767/m*COS(M767)-Poids/m)</f>
        <v>-3.84810065401891</v>
      </c>
      <c r="F768" s="449" t="n">
        <f aca="false">SQRT(acc_x^2+acc_z^2)</f>
        <v>3.93522489506293</v>
      </c>
      <c r="G768" s="450" t="n">
        <f aca="false">G767+acc_x*pas</f>
        <v>18.9057899445445</v>
      </c>
      <c r="H768" s="451" t="n">
        <f aca="false">H767+acc_z*pas</f>
        <v>-136.877000207424</v>
      </c>
      <c r="I768" s="449" t="n">
        <f aca="false">SQRT(vit_x^2+vit_z^2)</f>
        <v>138.176488880021</v>
      </c>
      <c r="J768" s="450" t="n">
        <f aca="false">J767+0.5*(vit_x+G767)*pas*(K767&gt;=0)</f>
        <v>1017.12580762709</v>
      </c>
      <c r="K768" s="451" t="n">
        <f aca="false">K767+0.5*(vit_z+H767)*pas</f>
        <v>-13.0595991805749</v>
      </c>
      <c r="L768" s="449" t="n">
        <f aca="false">SQRT(pos_x^2+pos_z^2)</f>
        <v>1017.20964489717</v>
      </c>
      <c r="M768" s="450" t="n">
        <f aca="false">IF(AND(L767&gt;L_rampe,G768&gt;0),ATAN2(G768,H768),$M$4)</f>
        <v>-1.43354229166844</v>
      </c>
      <c r="N768" s="449" t="n">
        <f aca="false">DEGREES(Beta)</f>
        <v>-82.1359230661138</v>
      </c>
      <c r="O768" s="438"/>
      <c r="P768" s="452" t="n">
        <f aca="false">MATCH(t-pas/2-T_ini,CdP_t)</f>
        <v>23</v>
      </c>
      <c r="Q768" s="449" t="n">
        <f aca="false">(INDEX(CdP,2,i_P+1)-INDEX(CdP,2,i_P+0))/(INDEX(CdP,1,i_P+1)-INDEX(CdP,1,i_P+0))*(t-pas/2-T_ini-INDEX(CdP,1,i_P+0))+INDEX(CdP,2,i_P+0)</f>
        <v>0</v>
      </c>
      <c r="R768" s="450" t="n">
        <f aca="false">Poussee/(g*ISP)</f>
        <v>0</v>
      </c>
      <c r="S768" s="451" t="n">
        <f aca="false">S767-Débit*pas</f>
        <v>8.652</v>
      </c>
      <c r="T768" s="449" t="n">
        <f aca="false">m*g</f>
        <v>84.87612</v>
      </c>
      <c r="U768" s="453" t="n">
        <f aca="false">IF(pos_xz&lt;L_rampe,Poids*COS(Beta),0)</f>
        <v>0</v>
      </c>
      <c r="V768" s="450" t="n">
        <f aca="false">Rho_moyen*(20000-Alt_rampe-pos_z)/(20000+Alt_rampe+pos_z)</f>
        <v>1.22660084622012</v>
      </c>
      <c r="W768" s="449" t="n">
        <f aca="false">1/2*Rho*Sref*Cx*vit_xz^2</f>
        <v>52.0724249503527</v>
      </c>
      <c r="X768" s="438"/>
      <c r="Y768" s="454" t="str">
        <f aca="false">IF(AND(pos_z&lt;=0,K767&gt;0),"Impact balistique","") &amp; IF(AND(H769&lt;0,vit_z&gt;=0),"Apogée","") &amp; IF(AND(Poussee=0,Q767&gt;0),"Fin de propulsion","") &amp; IF(AND(L769&gt;L_rampe,pos_xz&lt;=L_rampe),"Sortie de rampe","")</f>
        <v/>
      </c>
      <c r="Z768" s="455" t="str">
        <f aca="false">IF(ABS(t-T_para)&lt;pas/2,"Para","")</f>
        <v/>
      </c>
      <c r="AA768" s="456" t="str">
        <f aca="false">IF(ABS(t-T_satellite)&lt;pas/2,"Satellite","")</f>
        <v/>
      </c>
      <c r="AB768" s="444"/>
      <c r="AC768" s="452" t="e">
        <f aca="false">IF(ABS(t-ROUND(t,0))&lt;0.001,t,NA())</f>
        <v>#N/A</v>
      </c>
      <c r="AD768" s="457" t="e">
        <f aca="false">IF(ABS(t-ROUND(t,0))&lt;0.001,pos_x,NA())</f>
        <v>#N/A</v>
      </c>
      <c r="AE768" s="458" t="e">
        <f aca="false">IF(t&lt;T_para, pos_z, NA())</f>
        <v>#N/A</v>
      </c>
      <c r="AF768" s="444"/>
      <c r="AG768" s="450" t="n">
        <f aca="false">IF(AND(L767&lt;L_rampe,Poussee&lt;Poids*SIN(M767)),0,(-W767+Poussee)/m-Poids*SIN(M767)/m)</f>
        <v>3.69923850499702</v>
      </c>
      <c r="AH768" s="449" t="n">
        <f aca="false">IF(AND(L767&lt;L_rampe,Poussee&lt;Poids*SIN(M767)), g*SIN(M767), (-W767+Poussee)/m)</f>
        <v>-6.01850148648914</v>
      </c>
    </row>
    <row r="769" customFormat="false" ht="12" hidden="false" customHeight="false" outlineLevel="0" collapsed="false">
      <c r="A769" s="448" t="n">
        <f aca="false">IF(B768+0.01&lt;=T_ini+ROUNDUP(Temps_fin_propu,0), 0.01, IF(K768&gt;0, 0.1, 0.0001))</f>
        <v>0.0001</v>
      </c>
      <c r="B769" s="449" t="n">
        <f aca="false">B768+pas</f>
        <v>35.7048000000004</v>
      </c>
      <c r="C769" s="432"/>
      <c r="D769" s="450" t="n">
        <f aca="false">IF(AND(L768&lt;L_rampe,Poussee&lt;Poids*SIN(M768)),0,(-W768+Poussee)/m*COS(M768)-U768/m*SIN(M768))</f>
        <v>-0.823477936073778</v>
      </c>
      <c r="E769" s="451" t="n">
        <f aca="false">IF(AND(L768&lt;L_rampe,Poussee&lt;Poids*SIN(M768)),0,(-W768+Poussee)/m*SIN(M768)+U768/m*COS(M768)-Poids/m)</f>
        <v>-3.84805977124457</v>
      </c>
      <c r="F769" s="449" t="n">
        <f aca="false">SQRT(acc_x^2+acc_z^2)</f>
        <v>3.93518486405291</v>
      </c>
      <c r="G769" s="450" t="n">
        <f aca="false">G768+acc_x*pas</f>
        <v>18.9057075967509</v>
      </c>
      <c r="H769" s="451" t="n">
        <f aca="false">H768+acc_z*pas</f>
        <v>-136.877385013402</v>
      </c>
      <c r="I769" s="449" t="n">
        <f aca="false">SQRT(vit_x^2+vit_z^2)</f>
        <v>138.17685880002</v>
      </c>
      <c r="J769" s="450" t="n">
        <f aca="false">J768+0.5*(vit_x+G768)*pas*(K768&gt;=0)</f>
        <v>1017.12580762709</v>
      </c>
      <c r="K769" s="451" t="n">
        <f aca="false">K768+0.5*(vit_z+H768)*pas</f>
        <v>-13.0732868998359</v>
      </c>
      <c r="L769" s="449" t="n">
        <f aca="false">SQRT(pos_x^2+pos_z^2)</f>
        <v>1017.20982072109</v>
      </c>
      <c r="M769" s="450" t="n">
        <f aca="false">IF(AND(L768&gt;L_rampe,G769&gt;0),ATAN2(G769,H769),$M$4)</f>
        <v>-1.43354326306009</v>
      </c>
      <c r="N769" s="449" t="n">
        <f aca="false">DEGREES(Beta)</f>
        <v>-82.1359787227557</v>
      </c>
      <c r="O769" s="438"/>
      <c r="P769" s="452" t="n">
        <f aca="false">MATCH(t-pas/2-T_ini,CdP_t)</f>
        <v>23</v>
      </c>
      <c r="Q769" s="449" t="n">
        <f aca="false">(INDEX(CdP,2,i_P+1)-INDEX(CdP,2,i_P+0))/(INDEX(CdP,1,i_P+1)-INDEX(CdP,1,i_P+0))*(t-pas/2-T_ini-INDEX(CdP,1,i_P+0))+INDEX(CdP,2,i_P+0)</f>
        <v>0</v>
      </c>
      <c r="R769" s="450" t="n">
        <f aca="false">Poussee/(g*ISP)</f>
        <v>0</v>
      </c>
      <c r="S769" s="451" t="n">
        <f aca="false">S768-Débit*pas</f>
        <v>8.652</v>
      </c>
      <c r="T769" s="449" t="n">
        <f aca="false">m*g</f>
        <v>84.87612</v>
      </c>
      <c r="U769" s="453" t="n">
        <f aca="false">IF(pos_xz&lt;L_rampe,Poids*COS(Beta),0)</f>
        <v>0</v>
      </c>
      <c r="V769" s="450" t="n">
        <f aca="false">Rho_moyen*(20000-Alt_rampe-pos_z)/(20000+Alt_rampe+pos_z)</f>
        <v>1.22660252515879</v>
      </c>
      <c r="W769" s="449" t="n">
        <f aca="false">1/2*Rho*Sref*Cx*vit_xz^2</f>
        <v>52.0727750384574</v>
      </c>
      <c r="X769" s="438"/>
      <c r="Y769" s="454" t="str">
        <f aca="false">IF(AND(pos_z&lt;=0,K768&gt;0),"Impact balistique","") &amp; IF(AND(H770&lt;0,vit_z&gt;=0),"Apogée","") &amp; IF(AND(Poussee=0,Q768&gt;0),"Fin de propulsion","") &amp; IF(AND(L770&gt;L_rampe,pos_xz&lt;=L_rampe),"Sortie de rampe","")</f>
        <v/>
      </c>
      <c r="Z769" s="455" t="str">
        <f aca="false">IF(ABS(t-T_para)&lt;pas/2,"Para","")</f>
        <v/>
      </c>
      <c r="AA769" s="456" t="str">
        <f aca="false">IF(ABS(t-T_satellite)&lt;pas/2,"Satellite","")</f>
        <v/>
      </c>
      <c r="AB769" s="444"/>
      <c r="AC769" s="452" t="e">
        <f aca="false">IF(ABS(t-ROUND(t,0))&lt;0.001,t,NA())</f>
        <v>#N/A</v>
      </c>
      <c r="AD769" s="457" t="e">
        <f aca="false">IF(ABS(t-ROUND(t,0))&lt;0.001,pos_x,NA())</f>
        <v>#N/A</v>
      </c>
      <c r="AE769" s="458" t="e">
        <f aca="false">IF(t&lt;T_para, pos_z, NA())</f>
        <v>#N/A</v>
      </c>
      <c r="AF769" s="444"/>
      <c r="AG769" s="450" t="n">
        <f aca="false">IF(AND(L768&lt;L_rampe,Poussee&lt;Poids*SIN(M768)),0,(-W768+Poussee)/m-Poids*SIN(M768)/m)</f>
        <v>3.69919934546371</v>
      </c>
      <c r="AH769" s="449" t="n">
        <f aca="false">IF(AND(L768&lt;L_rampe,Poussee&lt;Poids*SIN(M768)), g*SIN(M768), (-W768+Poussee)/m)</f>
        <v>-6.01854194987895</v>
      </c>
    </row>
    <row r="770" customFormat="false" ht="12" hidden="false" customHeight="false" outlineLevel="0" collapsed="false">
      <c r="A770" s="448" t="n">
        <f aca="false">IF(B769+0.01&lt;=T_ini+ROUNDUP(Temps_fin_propu,0), 0.01, IF(K769&gt;0, 0.1, 0.0001))</f>
        <v>0.0001</v>
      </c>
      <c r="B770" s="449" t="n">
        <f aca="false">B769+pas</f>
        <v>35.7049000000004</v>
      </c>
      <c r="C770" s="432"/>
      <c r="D770" s="450" t="n">
        <f aca="false">IF(AND(L769&lt;L_rampe,Poussee&lt;Poids*SIN(M769)),0,(-W769+Poussee)/m*COS(M769)-U769/m*SIN(M769))</f>
        <v>-0.823477680979747</v>
      </c>
      <c r="E770" s="451" t="n">
        <f aca="false">IF(AND(L769&lt;L_rampe,Poussee&lt;Poids*SIN(M769)),0,(-W769+Poussee)/m*SIN(M769)+U769/m*COS(M769)-Poids/m)</f>
        <v>-3.84801888860383</v>
      </c>
      <c r="F770" s="449" t="n">
        <f aca="false">SQRT(acc_x^2+acc_z^2)</f>
        <v>3.93514483318259</v>
      </c>
      <c r="G770" s="450" t="n">
        <f aca="false">G769+acc_x*pas</f>
        <v>18.9056252489828</v>
      </c>
      <c r="H770" s="451" t="n">
        <f aca="false">H769+acc_z*pas</f>
        <v>-136.87776981529</v>
      </c>
      <c r="I770" s="449" t="n">
        <f aca="false">SQRT(vit_x^2+vit_z^2)</f>
        <v>138.177228716104</v>
      </c>
      <c r="J770" s="450" t="n">
        <f aca="false">J769+0.5*(vit_x+G769)*pas*(K769&gt;=0)</f>
        <v>1017.12580762709</v>
      </c>
      <c r="K770" s="451" t="n">
        <f aca="false">K769+0.5*(vit_z+H769)*pas</f>
        <v>-13.0869746575773</v>
      </c>
      <c r="L770" s="449" t="n">
        <f aca="false">SQRT(pos_x^2+pos_z^2)</f>
        <v>1017.20999672966</v>
      </c>
      <c r="M770" s="450" t="n">
        <f aca="false">IF(AND(L769&gt;L_rampe,G770&gt;0),ATAN2(G770,H770),$M$4)</f>
        <v>-1.43354423444231</v>
      </c>
      <c r="N770" s="449" t="n">
        <f aca="false">DEGREES(Beta)</f>
        <v>-82.1360343788573</v>
      </c>
      <c r="O770" s="438"/>
      <c r="P770" s="452" t="n">
        <f aca="false">MATCH(t-pas/2-T_ini,CdP_t)</f>
        <v>23</v>
      </c>
      <c r="Q770" s="449" t="n">
        <f aca="false">(INDEX(CdP,2,i_P+1)-INDEX(CdP,2,i_P+0))/(INDEX(CdP,1,i_P+1)-INDEX(CdP,1,i_P+0))*(t-pas/2-T_ini-INDEX(CdP,1,i_P+0))+INDEX(CdP,2,i_P+0)</f>
        <v>0</v>
      </c>
      <c r="R770" s="450" t="n">
        <f aca="false">Poussee/(g*ISP)</f>
        <v>0</v>
      </c>
      <c r="S770" s="451" t="n">
        <f aca="false">S769-Débit*pas</f>
        <v>8.652</v>
      </c>
      <c r="T770" s="449" t="n">
        <f aca="false">m*g</f>
        <v>84.87612</v>
      </c>
      <c r="U770" s="453" t="n">
        <f aca="false">IF(pos_xz&lt;L_rampe,Poids*COS(Beta),0)</f>
        <v>0</v>
      </c>
      <c r="V770" s="450" t="n">
        <f aca="false">Rho_moyen*(20000-Alt_rampe-pos_z)/(20000+Alt_rampe+pos_z)</f>
        <v>1.22660420410448</v>
      </c>
      <c r="W770" s="449" t="n">
        <f aca="false">1/2*Rho*Sref*Cx*vit_xz^2</f>
        <v>52.0731251254184</v>
      </c>
      <c r="X770" s="438"/>
      <c r="Y770" s="454" t="str">
        <f aca="false">IF(AND(pos_z&lt;=0,K769&gt;0),"Impact balistique","") &amp; IF(AND(H771&lt;0,vit_z&gt;=0),"Apogée","") &amp; IF(AND(Poussee=0,Q769&gt;0),"Fin de propulsion","") &amp; IF(AND(L771&gt;L_rampe,pos_xz&lt;=L_rampe),"Sortie de rampe","")</f>
        <v/>
      </c>
      <c r="Z770" s="455" t="str">
        <f aca="false">IF(ABS(t-T_para)&lt;pas/2,"Para","")</f>
        <v/>
      </c>
      <c r="AA770" s="456" t="str">
        <f aca="false">IF(ABS(t-T_satellite)&lt;pas/2,"Satellite","")</f>
        <v/>
      </c>
      <c r="AB770" s="444"/>
      <c r="AC770" s="452" t="e">
        <f aca="false">IF(ABS(t-ROUND(t,0))&lt;0.001,t,NA())</f>
        <v>#N/A</v>
      </c>
      <c r="AD770" s="457" t="e">
        <f aca="false">IF(ABS(t-ROUND(t,0))&lt;0.001,pos_x,NA())</f>
        <v>#N/A</v>
      </c>
      <c r="AE770" s="458" t="e">
        <f aca="false">IF(t&lt;T_para, pos_z, NA())</f>
        <v>#N/A</v>
      </c>
      <c r="AF770" s="444"/>
      <c r="AG770" s="450" t="n">
        <f aca="false">IF(AND(L769&lt;L_rampe,Poussee&lt;Poids*SIN(M769)),0,(-W769+Poussee)/m-Poids*SIN(M769)/m)</f>
        <v>3.69916018604078</v>
      </c>
      <c r="AH770" s="449" t="n">
        <f aca="false">IF(AND(L769&lt;L_rampe,Poussee&lt;Poids*SIN(M769)), g*SIN(M769), (-W769+Poussee)/m)</f>
        <v>-6.01858241313655</v>
      </c>
    </row>
    <row r="771" customFormat="false" ht="12" hidden="false" customHeight="false" outlineLevel="0" collapsed="false">
      <c r="A771" s="448" t="n">
        <f aca="false">IF(B770+0.01&lt;=T_ini+ROUNDUP(Temps_fin_propu,0), 0.01, IF(K770&gt;0, 0.1, 0.0001))</f>
        <v>0.0001</v>
      </c>
      <c r="B771" s="449" t="n">
        <f aca="false">B770+pas</f>
        <v>35.7050000000004</v>
      </c>
      <c r="C771" s="432"/>
      <c r="D771" s="450" t="n">
        <f aca="false">IF(AND(L770&lt;L_rampe,Poussee&lt;Poids*SIN(M770)),0,(-W770+Poussee)/m*COS(M770)-U770/m*SIN(M770))</f>
        <v>-0.823477425845217</v>
      </c>
      <c r="E771" s="451" t="n">
        <f aca="false">IF(AND(L770&lt;L_rampe,Poussee&lt;Poids*SIN(M770)),0,(-W770+Poussee)/m*SIN(M770)+U770/m*COS(M770)-Poids/m)</f>
        <v>-3.84797800609668</v>
      </c>
      <c r="F771" s="449" t="n">
        <f aca="false">SQRT(acc_x^2+acc_z^2)</f>
        <v>3.93510480245195</v>
      </c>
      <c r="G771" s="450" t="n">
        <f aca="false">G770+acc_x*pas</f>
        <v>18.9055429012402</v>
      </c>
      <c r="H771" s="451" t="n">
        <f aca="false">H770+acc_z*pas</f>
        <v>-136.878154613091</v>
      </c>
      <c r="I771" s="449" t="n">
        <f aca="false">SQRT(vit_x^2+vit_z^2)</f>
        <v>138.177598628272</v>
      </c>
      <c r="J771" s="450" t="n">
        <f aca="false">J770+0.5*(vit_x+G770)*pas*(K770&gt;=0)</f>
        <v>1017.12580762709</v>
      </c>
      <c r="K771" s="451" t="n">
        <f aca="false">K770+0.5*(vit_z+H770)*pas</f>
        <v>-13.1006624537988</v>
      </c>
      <c r="L771" s="449" t="n">
        <f aca="false">SQRT(pos_x^2+pos_z^2)</f>
        <v>1017.21017292288</v>
      </c>
      <c r="M771" s="450" t="n">
        <f aca="false">IF(AND(L770&gt;L_rampe,G771&gt;0),ATAN2(G771,H771),$M$4)</f>
        <v>-1.4335452058151</v>
      </c>
      <c r="N771" s="449" t="n">
        <f aca="false">DEGREES(Beta)</f>
        <v>-82.1360900344184</v>
      </c>
      <c r="O771" s="438"/>
      <c r="P771" s="452" t="n">
        <f aca="false">MATCH(t-pas/2-T_ini,CdP_t)</f>
        <v>23</v>
      </c>
      <c r="Q771" s="449" t="n">
        <f aca="false">(INDEX(CdP,2,i_P+1)-INDEX(CdP,2,i_P+0))/(INDEX(CdP,1,i_P+1)-INDEX(CdP,1,i_P+0))*(t-pas/2-T_ini-INDEX(CdP,1,i_P+0))+INDEX(CdP,2,i_P+0)</f>
        <v>0</v>
      </c>
      <c r="R771" s="450" t="n">
        <f aca="false">Poussee/(g*ISP)</f>
        <v>0</v>
      </c>
      <c r="S771" s="451" t="n">
        <f aca="false">S770-Débit*pas</f>
        <v>8.652</v>
      </c>
      <c r="T771" s="449" t="n">
        <f aca="false">m*g</f>
        <v>84.87612</v>
      </c>
      <c r="U771" s="453" t="n">
        <f aca="false">IF(pos_xz&lt;L_rampe,Poids*COS(Beta),0)</f>
        <v>0</v>
      </c>
      <c r="V771" s="450" t="n">
        <f aca="false">Rho_moyen*(20000-Alt_rampe-pos_z)/(20000+Alt_rampe+pos_z)</f>
        <v>1.22660588305718</v>
      </c>
      <c r="W771" s="449" t="n">
        <f aca="false">1/2*Rho*Sref*Cx*vit_xz^2</f>
        <v>52.0734752112355</v>
      </c>
      <c r="X771" s="438"/>
      <c r="Y771" s="454" t="str">
        <f aca="false">IF(AND(pos_z&lt;=0,K770&gt;0),"Impact balistique","") &amp; IF(AND(H772&lt;0,vit_z&gt;=0),"Apogée","") &amp; IF(AND(Poussee=0,Q770&gt;0),"Fin de propulsion","") &amp; IF(AND(L772&gt;L_rampe,pos_xz&lt;=L_rampe),"Sortie de rampe","")</f>
        <v/>
      </c>
      <c r="Z771" s="455" t="str">
        <f aca="false">IF(ABS(t-T_para)&lt;pas/2,"Para","")</f>
        <v/>
      </c>
      <c r="AA771" s="456" t="str">
        <f aca="false">IF(ABS(t-T_satellite)&lt;pas/2,"Satellite","")</f>
        <v/>
      </c>
      <c r="AB771" s="444"/>
      <c r="AC771" s="452" t="e">
        <f aca="false">IF(ABS(t-ROUND(t,0))&lt;0.001,t,NA())</f>
        <v>#N/A</v>
      </c>
      <c r="AD771" s="457" t="e">
        <f aca="false">IF(ABS(t-ROUND(t,0))&lt;0.001,pos_x,NA())</f>
        <v>#N/A</v>
      </c>
      <c r="AE771" s="458" t="e">
        <f aca="false">IF(t&lt;T_para, pos_z, NA())</f>
        <v>#N/A</v>
      </c>
      <c r="AF771" s="444"/>
      <c r="AG771" s="450" t="n">
        <f aca="false">IF(AND(L770&lt;L_rampe,Poussee&lt;Poids*SIN(M770)),0,(-W770+Poussee)/m-Poids*SIN(M770)/m)</f>
        <v>3.69912102672821</v>
      </c>
      <c r="AH771" s="449" t="n">
        <f aca="false">IF(AND(L770&lt;L_rampe,Poussee&lt;Poids*SIN(M770)), g*SIN(M770), (-W770+Poussee)/m)</f>
        <v>-6.01862287626195</v>
      </c>
    </row>
    <row r="772" customFormat="false" ht="12" hidden="false" customHeight="false" outlineLevel="0" collapsed="false">
      <c r="A772" s="448" t="n">
        <f aca="false">IF(B771+0.01&lt;=T_ini+ROUNDUP(Temps_fin_propu,0), 0.01, IF(K771&gt;0, 0.1, 0.0001))</f>
        <v>0.0001</v>
      </c>
      <c r="B772" s="449" t="n">
        <f aca="false">B771+pas</f>
        <v>35.7051000000004</v>
      </c>
      <c r="C772" s="432"/>
      <c r="D772" s="450" t="n">
        <f aca="false">IF(AND(L771&lt;L_rampe,Poussee&lt;Poids*SIN(M771)),0,(-W771+Poussee)/m*COS(M771)-U771/m*SIN(M771))</f>
        <v>-0.823477170670184</v>
      </c>
      <c r="E772" s="451" t="n">
        <f aca="false">IF(AND(L771&lt;L_rampe,Poussee&lt;Poids*SIN(M771)),0,(-W771+Poussee)/m*SIN(M771)+U771/m*COS(M771)-Poids/m)</f>
        <v>-3.84793712372313</v>
      </c>
      <c r="F772" s="449" t="n">
        <f aca="false">SQRT(acc_x^2+acc_z^2)</f>
        <v>3.93506477186101</v>
      </c>
      <c r="G772" s="450" t="n">
        <f aca="false">G771+acc_x*pas</f>
        <v>18.9054605535231</v>
      </c>
      <c r="H772" s="451" t="n">
        <f aca="false">H771+acc_z*pas</f>
        <v>-136.878539406803</v>
      </c>
      <c r="I772" s="449" t="n">
        <f aca="false">SQRT(vit_x^2+vit_z^2)</f>
        <v>138.177968536524</v>
      </c>
      <c r="J772" s="450" t="n">
        <f aca="false">J771+0.5*(vit_x+G771)*pas*(K771&gt;=0)</f>
        <v>1017.12580762709</v>
      </c>
      <c r="K772" s="451" t="n">
        <f aca="false">K771+0.5*(vit_z+H771)*pas</f>
        <v>-13.1143502884998</v>
      </c>
      <c r="L772" s="449" t="n">
        <f aca="false">SQRT(pos_x^2+pos_z^2)</f>
        <v>1017.21034930075</v>
      </c>
      <c r="M772" s="450" t="n">
        <f aca="false">IF(AND(L771&gt;L_rampe,G772&gt;0),ATAN2(G772,H772),$M$4)</f>
        <v>-1.43354617717846</v>
      </c>
      <c r="N772" s="449" t="n">
        <f aca="false">DEGREES(Beta)</f>
        <v>-82.1361456894391</v>
      </c>
      <c r="O772" s="438"/>
      <c r="P772" s="452" t="n">
        <f aca="false">MATCH(t-pas/2-T_ini,CdP_t)</f>
        <v>23</v>
      </c>
      <c r="Q772" s="449" t="n">
        <f aca="false">(INDEX(CdP,2,i_P+1)-INDEX(CdP,2,i_P+0))/(INDEX(CdP,1,i_P+1)-INDEX(CdP,1,i_P+0))*(t-pas/2-T_ini-INDEX(CdP,1,i_P+0))+INDEX(CdP,2,i_P+0)</f>
        <v>0</v>
      </c>
      <c r="R772" s="450" t="n">
        <f aca="false">Poussee/(g*ISP)</f>
        <v>0</v>
      </c>
      <c r="S772" s="451" t="n">
        <f aca="false">S771-Débit*pas</f>
        <v>8.652</v>
      </c>
      <c r="T772" s="449" t="n">
        <f aca="false">m*g</f>
        <v>84.87612</v>
      </c>
      <c r="U772" s="453" t="n">
        <f aca="false">IF(pos_xz&lt;L_rampe,Poids*COS(Beta),0)</f>
        <v>0</v>
      </c>
      <c r="V772" s="450" t="n">
        <f aca="false">Rho_moyen*(20000-Alt_rampe-pos_z)/(20000+Alt_rampe+pos_z)</f>
        <v>1.22660756201691</v>
      </c>
      <c r="W772" s="449" t="n">
        <f aca="false">1/2*Rho*Sref*Cx*vit_xz^2</f>
        <v>52.0738252959088</v>
      </c>
      <c r="X772" s="438"/>
      <c r="Y772" s="454" t="str">
        <f aca="false">IF(AND(pos_z&lt;=0,K771&gt;0),"Impact balistique","") &amp; IF(AND(H773&lt;0,vit_z&gt;=0),"Apogée","") &amp; IF(AND(Poussee=0,Q771&gt;0),"Fin de propulsion","") &amp; IF(AND(L773&gt;L_rampe,pos_xz&lt;=L_rampe),"Sortie de rampe","")</f>
        <v/>
      </c>
      <c r="Z772" s="455" t="str">
        <f aca="false">IF(ABS(t-T_para)&lt;pas/2,"Para","")</f>
        <v/>
      </c>
      <c r="AA772" s="456" t="str">
        <f aca="false">IF(ABS(t-T_satellite)&lt;pas/2,"Satellite","")</f>
        <v/>
      </c>
      <c r="AB772" s="444"/>
      <c r="AC772" s="452" t="e">
        <f aca="false">IF(ABS(t-ROUND(t,0))&lt;0.001,t,NA())</f>
        <v>#N/A</v>
      </c>
      <c r="AD772" s="457" t="e">
        <f aca="false">IF(ABS(t-ROUND(t,0))&lt;0.001,pos_x,NA())</f>
        <v>#N/A</v>
      </c>
      <c r="AE772" s="458" t="e">
        <f aca="false">IF(t&lt;T_para, pos_z, NA())</f>
        <v>#N/A</v>
      </c>
      <c r="AF772" s="444"/>
      <c r="AG772" s="450" t="n">
        <f aca="false">IF(AND(L771&lt;L_rampe,Poussee&lt;Poids*SIN(M771)),0,(-W771+Poussee)/m-Poids*SIN(M771)/m)</f>
        <v>3.69908186752602</v>
      </c>
      <c r="AH772" s="449" t="n">
        <f aca="false">IF(AND(L771&lt;L_rampe,Poussee&lt;Poids*SIN(M771)), g*SIN(M771), (-W771+Poussee)/m)</f>
        <v>-6.01866333925514</v>
      </c>
    </row>
    <row r="773" customFormat="false" ht="12" hidden="false" customHeight="false" outlineLevel="0" collapsed="false">
      <c r="A773" s="448" t="n">
        <f aca="false">IF(B772+0.01&lt;=T_ini+ROUNDUP(Temps_fin_propu,0), 0.01, IF(K772&gt;0, 0.1, 0.0001))</f>
        <v>0.0001</v>
      </c>
      <c r="B773" s="449" t="n">
        <f aca="false">B772+pas</f>
        <v>35.7052000000004</v>
      </c>
      <c r="C773" s="432"/>
      <c r="D773" s="450" t="n">
        <f aca="false">IF(AND(L772&lt;L_rampe,Poussee&lt;Poids*SIN(M772)),0,(-W772+Poussee)/m*COS(M772)-U772/m*SIN(M772))</f>
        <v>-0.823476915454648</v>
      </c>
      <c r="E773" s="451" t="n">
        <f aca="false">IF(AND(L772&lt;L_rampe,Poussee&lt;Poids*SIN(M772)),0,(-W772+Poussee)/m*SIN(M772)+U772/m*COS(M772)-Poids/m)</f>
        <v>-3.84789624148317</v>
      </c>
      <c r="F773" s="449" t="n">
        <f aca="false">SQRT(acc_x^2+acc_z^2)</f>
        <v>3.93502474140977</v>
      </c>
      <c r="G773" s="450" t="n">
        <f aca="false">G772+acc_x*pas</f>
        <v>18.9053782058316</v>
      </c>
      <c r="H773" s="451" t="n">
        <f aca="false">H772+acc_z*pas</f>
        <v>-136.878924196428</v>
      </c>
      <c r="I773" s="449" t="n">
        <f aca="false">SQRT(vit_x^2+vit_z^2)</f>
        <v>138.17833844086</v>
      </c>
      <c r="J773" s="450" t="n">
        <f aca="false">J772+0.5*(vit_x+G772)*pas*(K772&gt;=0)</f>
        <v>1017.12580762709</v>
      </c>
      <c r="K773" s="451" t="n">
        <f aca="false">K772+0.5*(vit_z+H772)*pas</f>
        <v>-13.1280381616799</v>
      </c>
      <c r="L773" s="449" t="n">
        <f aca="false">SQRT(pos_x^2+pos_z^2)</f>
        <v>1017.21052586327</v>
      </c>
      <c r="M773" s="450" t="n">
        <f aca="false">IF(AND(L772&gt;L_rampe,G773&gt;0),ATAN2(G773,H773),$M$4)</f>
        <v>-1.43354714853239</v>
      </c>
      <c r="N773" s="449" t="n">
        <f aca="false">DEGREES(Beta)</f>
        <v>-82.1362013439194</v>
      </c>
      <c r="O773" s="438"/>
      <c r="P773" s="452" t="n">
        <f aca="false">MATCH(t-pas/2-T_ini,CdP_t)</f>
        <v>23</v>
      </c>
      <c r="Q773" s="449" t="n">
        <f aca="false">(INDEX(CdP,2,i_P+1)-INDEX(CdP,2,i_P+0))/(INDEX(CdP,1,i_P+1)-INDEX(CdP,1,i_P+0))*(t-pas/2-T_ini-INDEX(CdP,1,i_P+0))+INDEX(CdP,2,i_P+0)</f>
        <v>0</v>
      </c>
      <c r="R773" s="450" t="n">
        <f aca="false">Poussee/(g*ISP)</f>
        <v>0</v>
      </c>
      <c r="S773" s="451" t="n">
        <f aca="false">S772-Débit*pas</f>
        <v>8.652</v>
      </c>
      <c r="T773" s="449" t="n">
        <f aca="false">m*g</f>
        <v>84.87612</v>
      </c>
      <c r="U773" s="453" t="n">
        <f aca="false">IF(pos_xz&lt;L_rampe,Poids*COS(Beta),0)</f>
        <v>0</v>
      </c>
      <c r="V773" s="450" t="n">
        <f aca="false">Rho_moyen*(20000-Alt_rampe-pos_z)/(20000+Alt_rampe+pos_z)</f>
        <v>1.22660924098366</v>
      </c>
      <c r="W773" s="449" t="n">
        <f aca="false">1/2*Rho*Sref*Cx*vit_xz^2</f>
        <v>52.0741753794381</v>
      </c>
      <c r="X773" s="438"/>
      <c r="Y773" s="454" t="str">
        <f aca="false">IF(AND(pos_z&lt;=0,K772&gt;0),"Impact balistique","") &amp; IF(AND(H774&lt;0,vit_z&gt;=0),"Apogée","") &amp; IF(AND(Poussee=0,Q772&gt;0),"Fin de propulsion","") &amp; IF(AND(L774&gt;L_rampe,pos_xz&lt;=L_rampe),"Sortie de rampe","")</f>
        <v/>
      </c>
      <c r="Z773" s="455" t="str">
        <f aca="false">IF(ABS(t-T_para)&lt;pas/2,"Para","")</f>
        <v/>
      </c>
      <c r="AA773" s="456" t="str">
        <f aca="false">IF(ABS(t-T_satellite)&lt;pas/2,"Satellite","")</f>
        <v/>
      </c>
      <c r="AB773" s="444"/>
      <c r="AC773" s="452" t="e">
        <f aca="false">IF(ABS(t-ROUND(t,0))&lt;0.001,t,NA())</f>
        <v>#N/A</v>
      </c>
      <c r="AD773" s="457" t="e">
        <f aca="false">IF(ABS(t-ROUND(t,0))&lt;0.001,pos_x,NA())</f>
        <v>#N/A</v>
      </c>
      <c r="AE773" s="458" t="e">
        <f aca="false">IF(t&lt;T_para, pos_z, NA())</f>
        <v>#N/A</v>
      </c>
      <c r="AF773" s="444"/>
      <c r="AG773" s="450" t="n">
        <f aca="false">IF(AND(L772&lt;L_rampe,Poussee&lt;Poids*SIN(M772)),0,(-W772+Poussee)/m-Poids*SIN(M772)/m)</f>
        <v>3.69904270843421</v>
      </c>
      <c r="AH773" s="449" t="n">
        <f aca="false">IF(AND(L772&lt;L_rampe,Poussee&lt;Poids*SIN(M772)), g*SIN(M772), (-W772+Poussee)/m)</f>
        <v>-6.01870380211613</v>
      </c>
    </row>
    <row r="774" customFormat="false" ht="12" hidden="false" customHeight="false" outlineLevel="0" collapsed="false">
      <c r="A774" s="448" t="n">
        <f aca="false">IF(B773+0.01&lt;=T_ini+ROUNDUP(Temps_fin_propu,0), 0.01, IF(K773&gt;0, 0.1, 0.0001))</f>
        <v>0.0001</v>
      </c>
      <c r="B774" s="449" t="n">
        <f aca="false">B773+pas</f>
        <v>35.7053000000004</v>
      </c>
      <c r="C774" s="432"/>
      <c r="D774" s="450" t="n">
        <f aca="false">IF(AND(L773&lt;L_rampe,Poussee&lt;Poids*SIN(M773)),0,(-W773+Poussee)/m*COS(M773)-U773/m*SIN(M773))</f>
        <v>-0.823476660198611</v>
      </c>
      <c r="E774" s="451" t="n">
        <f aca="false">IF(AND(L773&lt;L_rampe,Poussee&lt;Poids*SIN(M773)),0,(-W773+Poussee)/m*SIN(M773)+U773/m*COS(M773)-Poids/m)</f>
        <v>-3.84785535937683</v>
      </c>
      <c r="F774" s="449" t="n">
        <f aca="false">SQRT(acc_x^2+acc_z^2)</f>
        <v>3.93498471109823</v>
      </c>
      <c r="G774" s="450" t="n">
        <f aca="false">G773+acc_x*pas</f>
        <v>18.9052958581656</v>
      </c>
      <c r="H774" s="451" t="n">
        <f aca="false">H773+acc_z*pas</f>
        <v>-136.879308981963</v>
      </c>
      <c r="I774" s="449" t="n">
        <f aca="false">SQRT(vit_x^2+vit_z^2)</f>
        <v>138.17870834128</v>
      </c>
      <c r="J774" s="450" t="n">
        <f aca="false">J773+0.5*(vit_x+G773)*pas*(K773&gt;=0)</f>
        <v>1017.12580762709</v>
      </c>
      <c r="K774" s="451" t="n">
        <f aca="false">K773+0.5*(vit_z+H773)*pas</f>
        <v>-13.1417260733388</v>
      </c>
      <c r="L774" s="449" t="n">
        <f aca="false">SQRT(pos_x^2+pos_z^2)</f>
        <v>1017.21070261045</v>
      </c>
      <c r="M774" s="450" t="n">
        <f aca="false">IF(AND(L773&gt;L_rampe,G774&gt;0),ATAN2(G774,H774),$M$4)</f>
        <v>-1.43354811987688</v>
      </c>
      <c r="N774" s="449" t="n">
        <f aca="false">DEGREES(Beta)</f>
        <v>-82.1362569978594</v>
      </c>
      <c r="O774" s="438"/>
      <c r="P774" s="452" t="n">
        <f aca="false">MATCH(t-pas/2-T_ini,CdP_t)</f>
        <v>23</v>
      </c>
      <c r="Q774" s="449" t="n">
        <f aca="false">(INDEX(CdP,2,i_P+1)-INDEX(CdP,2,i_P+0))/(INDEX(CdP,1,i_P+1)-INDEX(CdP,1,i_P+0))*(t-pas/2-T_ini-INDEX(CdP,1,i_P+0))+INDEX(CdP,2,i_P+0)</f>
        <v>0</v>
      </c>
      <c r="R774" s="450" t="n">
        <f aca="false">Poussee/(g*ISP)</f>
        <v>0</v>
      </c>
      <c r="S774" s="451" t="n">
        <f aca="false">S773-Débit*pas</f>
        <v>8.652</v>
      </c>
      <c r="T774" s="449" t="n">
        <f aca="false">m*g</f>
        <v>84.87612</v>
      </c>
      <c r="U774" s="453" t="n">
        <f aca="false">IF(pos_xz&lt;L_rampe,Poids*COS(Beta),0)</f>
        <v>0</v>
      </c>
      <c r="V774" s="450" t="n">
        <f aca="false">Rho_moyen*(20000-Alt_rampe-pos_z)/(20000+Alt_rampe+pos_z)</f>
        <v>1.22661091995742</v>
      </c>
      <c r="W774" s="449" t="n">
        <f aca="false">1/2*Rho*Sref*Cx*vit_xz^2</f>
        <v>52.0745254618236</v>
      </c>
      <c r="X774" s="438"/>
      <c r="Y774" s="454" t="str">
        <f aca="false">IF(AND(pos_z&lt;=0,K773&gt;0),"Impact balistique","") &amp; IF(AND(H775&lt;0,vit_z&gt;=0),"Apogée","") &amp; IF(AND(Poussee=0,Q773&gt;0),"Fin de propulsion","") &amp; IF(AND(L775&gt;L_rampe,pos_xz&lt;=L_rampe),"Sortie de rampe","")</f>
        <v/>
      </c>
      <c r="Z774" s="455" t="str">
        <f aca="false">IF(ABS(t-T_para)&lt;pas/2,"Para","")</f>
        <v/>
      </c>
      <c r="AA774" s="456" t="str">
        <f aca="false">IF(ABS(t-T_satellite)&lt;pas/2,"Satellite","")</f>
        <v/>
      </c>
      <c r="AB774" s="444"/>
      <c r="AC774" s="452" t="e">
        <f aca="false">IF(ABS(t-ROUND(t,0))&lt;0.001,t,NA())</f>
        <v>#N/A</v>
      </c>
      <c r="AD774" s="457" t="e">
        <f aca="false">IF(ABS(t-ROUND(t,0))&lt;0.001,pos_x,NA())</f>
        <v>#N/A</v>
      </c>
      <c r="AE774" s="458" t="e">
        <f aca="false">IF(t&lt;T_para, pos_z, NA())</f>
        <v>#N/A</v>
      </c>
      <c r="AF774" s="444"/>
      <c r="AG774" s="450" t="n">
        <f aca="false">IF(AND(L773&lt;L_rampe,Poussee&lt;Poids*SIN(M773)),0,(-W773+Poussee)/m-Poids*SIN(M773)/m)</f>
        <v>3.69900354945278</v>
      </c>
      <c r="AH774" s="449" t="n">
        <f aca="false">IF(AND(L773&lt;L_rampe,Poussee&lt;Poids*SIN(M773)), g*SIN(M773), (-W773+Poussee)/m)</f>
        <v>-6.01874426484491</v>
      </c>
    </row>
    <row r="775" customFormat="false" ht="12" hidden="false" customHeight="false" outlineLevel="0" collapsed="false">
      <c r="A775" s="448" t="n">
        <f aca="false">IF(B774+0.01&lt;=T_ini+ROUNDUP(Temps_fin_propu,0), 0.01, IF(K774&gt;0, 0.1, 0.0001))</f>
        <v>0.0001</v>
      </c>
      <c r="B775" s="449" t="n">
        <f aca="false">B774+pas</f>
        <v>35.7054000000004</v>
      </c>
      <c r="C775" s="432"/>
      <c r="D775" s="450" t="n">
        <f aca="false">IF(AND(L774&lt;L_rampe,Poussee&lt;Poids*SIN(M774)),0,(-W774+Poussee)/m*COS(M774)-U774/m*SIN(M774))</f>
        <v>-0.823476404902072</v>
      </c>
      <c r="E775" s="451" t="n">
        <f aca="false">IF(AND(L774&lt;L_rampe,Poussee&lt;Poids*SIN(M774)),0,(-W774+Poussee)/m*SIN(M774)+U774/m*COS(M774)-Poids/m)</f>
        <v>-3.84781447740409</v>
      </c>
      <c r="F775" s="449" t="n">
        <f aca="false">SQRT(acc_x^2+acc_z^2)</f>
        <v>3.9349446809264</v>
      </c>
      <c r="G775" s="450" t="n">
        <f aca="false">G774+acc_x*pas</f>
        <v>18.9052135105251</v>
      </c>
      <c r="H775" s="451" t="n">
        <f aca="false">H774+acc_z*pas</f>
        <v>-136.879693763411</v>
      </c>
      <c r="I775" s="449" t="n">
        <f aca="false">SQRT(vit_x^2+vit_z^2)</f>
        <v>138.179078237785</v>
      </c>
      <c r="J775" s="450" t="n">
        <f aca="false">J774+0.5*(vit_x+G774)*pas*(K774&gt;=0)</f>
        <v>1017.12580762709</v>
      </c>
      <c r="K775" s="451" t="n">
        <f aca="false">K774+0.5*(vit_z+H774)*pas</f>
        <v>-13.1554140234761</v>
      </c>
      <c r="L775" s="449" t="n">
        <f aca="false">SQRT(pos_x^2+pos_z^2)</f>
        <v>1017.21087954228</v>
      </c>
      <c r="M775" s="450" t="n">
        <f aca="false">IF(AND(L774&gt;L_rampe,G775&gt;0),ATAN2(G775,H775),$M$4)</f>
        <v>-1.43354909121194</v>
      </c>
      <c r="N775" s="449" t="n">
        <f aca="false">DEGREES(Beta)</f>
        <v>-82.1363126512589</v>
      </c>
      <c r="O775" s="438"/>
      <c r="P775" s="452" t="n">
        <f aca="false">MATCH(t-pas/2-T_ini,CdP_t)</f>
        <v>23</v>
      </c>
      <c r="Q775" s="449" t="n">
        <f aca="false">(INDEX(CdP,2,i_P+1)-INDEX(CdP,2,i_P+0))/(INDEX(CdP,1,i_P+1)-INDEX(CdP,1,i_P+0))*(t-pas/2-T_ini-INDEX(CdP,1,i_P+0))+INDEX(CdP,2,i_P+0)</f>
        <v>0</v>
      </c>
      <c r="R775" s="450" t="n">
        <f aca="false">Poussee/(g*ISP)</f>
        <v>0</v>
      </c>
      <c r="S775" s="451" t="n">
        <f aca="false">S774-Débit*pas</f>
        <v>8.652</v>
      </c>
      <c r="T775" s="449" t="n">
        <f aca="false">m*g</f>
        <v>84.87612</v>
      </c>
      <c r="U775" s="453" t="n">
        <f aca="false">IF(pos_xz&lt;L_rampe,Poids*COS(Beta),0)</f>
        <v>0</v>
      </c>
      <c r="V775" s="450" t="n">
        <f aca="false">Rho_moyen*(20000-Alt_rampe-pos_z)/(20000+Alt_rampe+pos_z)</f>
        <v>1.22661259893821</v>
      </c>
      <c r="W775" s="449" t="n">
        <f aca="false">1/2*Rho*Sref*Cx*vit_xz^2</f>
        <v>52.0748755430652</v>
      </c>
      <c r="X775" s="438"/>
      <c r="Y775" s="454" t="str">
        <f aca="false">IF(AND(pos_z&lt;=0,K774&gt;0),"Impact balistique","") &amp; IF(AND(H776&lt;0,vit_z&gt;=0),"Apogée","") &amp; IF(AND(Poussee=0,Q774&gt;0),"Fin de propulsion","") &amp; IF(AND(L776&gt;L_rampe,pos_xz&lt;=L_rampe),"Sortie de rampe","")</f>
        <v/>
      </c>
      <c r="Z775" s="455" t="str">
        <f aca="false">IF(ABS(t-T_para)&lt;pas/2,"Para","")</f>
        <v/>
      </c>
      <c r="AA775" s="456" t="str">
        <f aca="false">IF(ABS(t-T_satellite)&lt;pas/2,"Satellite","")</f>
        <v/>
      </c>
      <c r="AB775" s="444"/>
      <c r="AC775" s="452" t="e">
        <f aca="false">IF(ABS(t-ROUND(t,0))&lt;0.001,t,NA())</f>
        <v>#N/A</v>
      </c>
      <c r="AD775" s="457" t="e">
        <f aca="false">IF(ABS(t-ROUND(t,0))&lt;0.001,pos_x,NA())</f>
        <v>#N/A</v>
      </c>
      <c r="AE775" s="458" t="e">
        <f aca="false">IF(t&lt;T_para, pos_z, NA())</f>
        <v>#N/A</v>
      </c>
      <c r="AF775" s="444"/>
      <c r="AG775" s="450" t="n">
        <f aca="false">IF(AND(L774&lt;L_rampe,Poussee&lt;Poids*SIN(M774)),0,(-W774+Poussee)/m-Poids*SIN(M774)/m)</f>
        <v>3.69896439058173</v>
      </c>
      <c r="AH775" s="449" t="n">
        <f aca="false">IF(AND(L774&lt;L_rampe,Poussee&lt;Poids*SIN(M774)), g*SIN(M774), (-W774+Poussee)/m)</f>
        <v>-6.01878472744147</v>
      </c>
    </row>
    <row r="776" customFormat="false" ht="12" hidden="false" customHeight="false" outlineLevel="0" collapsed="false">
      <c r="A776" s="448" t="n">
        <f aca="false">IF(B775+0.01&lt;=T_ini+ROUNDUP(Temps_fin_propu,0), 0.01, IF(K775&gt;0, 0.1, 0.0001))</f>
        <v>0.0001</v>
      </c>
      <c r="B776" s="449" t="n">
        <f aca="false">B775+pas</f>
        <v>35.7055000000004</v>
      </c>
      <c r="C776" s="432"/>
      <c r="D776" s="450" t="n">
        <f aca="false">IF(AND(L775&lt;L_rampe,Poussee&lt;Poids*SIN(M775)),0,(-W775+Poussee)/m*COS(M775)-U775/m*SIN(M775))</f>
        <v>-0.823476149565034</v>
      </c>
      <c r="E776" s="451" t="n">
        <f aca="false">IF(AND(L775&lt;L_rampe,Poussee&lt;Poids*SIN(M775)),0,(-W775+Poussee)/m*SIN(M775)+U775/m*COS(M775)-Poids/m)</f>
        <v>-3.84777359556496</v>
      </c>
      <c r="F776" s="449" t="n">
        <f aca="false">SQRT(acc_x^2+acc_z^2)</f>
        <v>3.93490465089426</v>
      </c>
      <c r="G776" s="450" t="n">
        <f aca="false">G775+acc_x*pas</f>
        <v>18.9051311629101</v>
      </c>
      <c r="H776" s="451" t="n">
        <f aca="false">H775+acc_z*pas</f>
        <v>-136.880078540771</v>
      </c>
      <c r="I776" s="449" t="n">
        <f aca="false">SQRT(vit_x^2+vit_z^2)</f>
        <v>138.179448130373</v>
      </c>
      <c r="J776" s="450" t="n">
        <f aca="false">J775+0.5*(vit_x+G775)*pas*(K775&gt;=0)</f>
        <v>1017.12580762709</v>
      </c>
      <c r="K776" s="451" t="n">
        <f aca="false">K775+0.5*(vit_z+H775)*pas</f>
        <v>-13.1691020120913</v>
      </c>
      <c r="L776" s="449" t="n">
        <f aca="false">SQRT(pos_x^2+pos_z^2)</f>
        <v>1017.21105665878</v>
      </c>
      <c r="M776" s="450" t="n">
        <f aca="false">IF(AND(L775&gt;L_rampe,G776&gt;0),ATAN2(G776,H776),$M$4)</f>
        <v>-1.43355006253757</v>
      </c>
      <c r="N776" s="449" t="n">
        <f aca="false">DEGREES(Beta)</f>
        <v>-82.1363683041181</v>
      </c>
      <c r="O776" s="438"/>
      <c r="P776" s="452" t="n">
        <f aca="false">MATCH(t-pas/2-T_ini,CdP_t)</f>
        <v>23</v>
      </c>
      <c r="Q776" s="449" t="n">
        <f aca="false">(INDEX(CdP,2,i_P+1)-INDEX(CdP,2,i_P+0))/(INDEX(CdP,1,i_P+1)-INDEX(CdP,1,i_P+0))*(t-pas/2-T_ini-INDEX(CdP,1,i_P+0))+INDEX(CdP,2,i_P+0)</f>
        <v>0</v>
      </c>
      <c r="R776" s="450" t="n">
        <f aca="false">Poussee/(g*ISP)</f>
        <v>0</v>
      </c>
      <c r="S776" s="451" t="n">
        <f aca="false">S775-Débit*pas</f>
        <v>8.652</v>
      </c>
      <c r="T776" s="449" t="n">
        <f aca="false">m*g</f>
        <v>84.87612</v>
      </c>
      <c r="U776" s="453" t="n">
        <f aca="false">IF(pos_xz&lt;L_rampe,Poids*COS(Beta),0)</f>
        <v>0</v>
      </c>
      <c r="V776" s="450" t="n">
        <f aca="false">Rho_moyen*(20000-Alt_rampe-pos_z)/(20000+Alt_rampe+pos_z)</f>
        <v>1.22661427792602</v>
      </c>
      <c r="W776" s="449" t="n">
        <f aca="false">1/2*Rho*Sref*Cx*vit_xz^2</f>
        <v>52.0752256231629</v>
      </c>
      <c r="X776" s="438"/>
      <c r="Y776" s="454" t="str">
        <f aca="false">IF(AND(pos_z&lt;=0,K775&gt;0),"Impact balistique","") &amp; IF(AND(H777&lt;0,vit_z&gt;=0),"Apogée","") &amp; IF(AND(Poussee=0,Q775&gt;0),"Fin de propulsion","") &amp; IF(AND(L777&gt;L_rampe,pos_xz&lt;=L_rampe),"Sortie de rampe","")</f>
        <v/>
      </c>
      <c r="Z776" s="455" t="str">
        <f aca="false">IF(ABS(t-T_para)&lt;pas/2,"Para","")</f>
        <v/>
      </c>
      <c r="AA776" s="456" t="str">
        <f aca="false">IF(ABS(t-T_satellite)&lt;pas/2,"Satellite","")</f>
        <v/>
      </c>
      <c r="AB776" s="444"/>
      <c r="AC776" s="452" t="e">
        <f aca="false">IF(ABS(t-ROUND(t,0))&lt;0.001,t,NA())</f>
        <v>#N/A</v>
      </c>
      <c r="AD776" s="457" t="e">
        <f aca="false">IF(ABS(t-ROUND(t,0))&lt;0.001,pos_x,NA())</f>
        <v>#N/A</v>
      </c>
      <c r="AE776" s="458" t="e">
        <f aca="false">IF(t&lt;T_para, pos_z, NA())</f>
        <v>#N/A</v>
      </c>
      <c r="AF776" s="444"/>
      <c r="AG776" s="450" t="n">
        <f aca="false">IF(AND(L775&lt;L_rampe,Poussee&lt;Poids*SIN(M775)),0,(-W775+Poussee)/m-Poids*SIN(M775)/m)</f>
        <v>3.69892523182107</v>
      </c>
      <c r="AH776" s="449" t="n">
        <f aca="false">IF(AND(L775&lt;L_rampe,Poussee&lt;Poids*SIN(M775)), g*SIN(M775), (-W775+Poussee)/m)</f>
        <v>-6.01882518990583</v>
      </c>
    </row>
    <row r="777" customFormat="false" ht="12" hidden="false" customHeight="false" outlineLevel="0" collapsed="false">
      <c r="A777" s="448" t="n">
        <f aca="false">IF(B776+0.01&lt;=T_ini+ROUNDUP(Temps_fin_propu,0), 0.01, IF(K776&gt;0, 0.1, 0.0001))</f>
        <v>0.0001</v>
      </c>
      <c r="B777" s="449" t="n">
        <f aca="false">B776+pas</f>
        <v>35.7056000000004</v>
      </c>
      <c r="C777" s="432"/>
      <c r="D777" s="450" t="n">
        <f aca="false">IF(AND(L776&lt;L_rampe,Poussee&lt;Poids*SIN(M776)),0,(-W776+Poussee)/m*COS(M776)-U776/m*SIN(M776))</f>
        <v>-0.823475894187495</v>
      </c>
      <c r="E777" s="451" t="n">
        <f aca="false">IF(AND(L776&lt;L_rampe,Poussee&lt;Poids*SIN(M776)),0,(-W776+Poussee)/m*SIN(M776)+U776/m*COS(M776)-Poids/m)</f>
        <v>-3.84773271385943</v>
      </c>
      <c r="F777" s="449" t="n">
        <f aca="false">SQRT(acc_x^2+acc_z^2)</f>
        <v>3.93486462100184</v>
      </c>
      <c r="G777" s="450" t="n">
        <f aca="false">G776+acc_x*pas</f>
        <v>18.9050488153207</v>
      </c>
      <c r="H777" s="451" t="n">
        <f aca="false">H776+acc_z*pas</f>
        <v>-136.880463314042</v>
      </c>
      <c r="I777" s="449" t="n">
        <f aca="false">SQRT(vit_x^2+vit_z^2)</f>
        <v>138.179818019045</v>
      </c>
      <c r="J777" s="450" t="n">
        <f aca="false">J776+0.5*(vit_x+G776)*pas*(K776&gt;=0)</f>
        <v>1017.12580762709</v>
      </c>
      <c r="K777" s="451" t="n">
        <f aca="false">K776+0.5*(vit_z+H776)*pas</f>
        <v>-13.1827900391841</v>
      </c>
      <c r="L777" s="449" t="n">
        <f aca="false">SQRT(pos_x^2+pos_z^2)</f>
        <v>1017.21123395993</v>
      </c>
      <c r="M777" s="450" t="n">
        <f aca="false">IF(AND(L776&gt;L_rampe,G777&gt;0),ATAN2(G777,H777),$M$4)</f>
        <v>-1.43355103385377</v>
      </c>
      <c r="N777" s="449" t="n">
        <f aca="false">DEGREES(Beta)</f>
        <v>-82.1364239564369</v>
      </c>
      <c r="O777" s="438"/>
      <c r="P777" s="452" t="n">
        <f aca="false">MATCH(t-pas/2-T_ini,CdP_t)</f>
        <v>23</v>
      </c>
      <c r="Q777" s="449" t="n">
        <f aca="false">(INDEX(CdP,2,i_P+1)-INDEX(CdP,2,i_P+0))/(INDEX(CdP,1,i_P+1)-INDEX(CdP,1,i_P+0))*(t-pas/2-T_ini-INDEX(CdP,1,i_P+0))+INDEX(CdP,2,i_P+0)</f>
        <v>0</v>
      </c>
      <c r="R777" s="450" t="n">
        <f aca="false">Poussee/(g*ISP)</f>
        <v>0</v>
      </c>
      <c r="S777" s="451" t="n">
        <f aca="false">S776-Débit*pas</f>
        <v>8.652</v>
      </c>
      <c r="T777" s="449" t="n">
        <f aca="false">m*g</f>
        <v>84.87612</v>
      </c>
      <c r="U777" s="453" t="n">
        <f aca="false">IF(pos_xz&lt;L_rampe,Poids*COS(Beta),0)</f>
        <v>0</v>
      </c>
      <c r="V777" s="450" t="n">
        <f aca="false">Rho_moyen*(20000-Alt_rampe-pos_z)/(20000+Alt_rampe+pos_z)</f>
        <v>1.22661595692084</v>
      </c>
      <c r="W777" s="449" t="n">
        <f aca="false">1/2*Rho*Sref*Cx*vit_xz^2</f>
        <v>52.0755757021165</v>
      </c>
      <c r="X777" s="438"/>
      <c r="Y777" s="454" t="str">
        <f aca="false">IF(AND(pos_z&lt;=0,K776&gt;0),"Impact balistique","") &amp; IF(AND(H778&lt;0,vit_z&gt;=0),"Apogée","") &amp; IF(AND(Poussee=0,Q776&gt;0),"Fin de propulsion","") &amp; IF(AND(L778&gt;L_rampe,pos_xz&lt;=L_rampe),"Sortie de rampe","")</f>
        <v/>
      </c>
      <c r="Z777" s="455" t="str">
        <f aca="false">IF(ABS(t-T_para)&lt;pas/2,"Para","")</f>
        <v/>
      </c>
      <c r="AA777" s="456" t="str">
        <f aca="false">IF(ABS(t-T_satellite)&lt;pas/2,"Satellite","")</f>
        <v/>
      </c>
      <c r="AB777" s="444"/>
      <c r="AC777" s="452" t="e">
        <f aca="false">IF(ABS(t-ROUND(t,0))&lt;0.001,t,NA())</f>
        <v>#N/A</v>
      </c>
      <c r="AD777" s="457" t="e">
        <f aca="false">IF(ABS(t-ROUND(t,0))&lt;0.001,pos_x,NA())</f>
        <v>#N/A</v>
      </c>
      <c r="AE777" s="458" t="e">
        <f aca="false">IF(t&lt;T_para, pos_z, NA())</f>
        <v>#N/A</v>
      </c>
      <c r="AF777" s="444"/>
      <c r="AG777" s="450" t="n">
        <f aca="false">IF(AND(L776&lt;L_rampe,Poussee&lt;Poids*SIN(M776)),0,(-W776+Poussee)/m-Poids*SIN(M776)/m)</f>
        <v>3.6988860731708</v>
      </c>
      <c r="AH777" s="449" t="n">
        <f aca="false">IF(AND(L776&lt;L_rampe,Poussee&lt;Poids*SIN(M776)), g*SIN(M776), (-W776+Poussee)/m)</f>
        <v>-6.01886565223796</v>
      </c>
    </row>
    <row r="778" customFormat="false" ht="12" hidden="false" customHeight="false" outlineLevel="0" collapsed="false">
      <c r="A778" s="448" t="n">
        <f aca="false">IF(B777+0.01&lt;=T_ini+ROUNDUP(Temps_fin_propu,0), 0.01, IF(K777&gt;0, 0.1, 0.0001))</f>
        <v>0.0001</v>
      </c>
      <c r="B778" s="449" t="n">
        <f aca="false">B777+pas</f>
        <v>35.7057000000004</v>
      </c>
      <c r="C778" s="432"/>
      <c r="D778" s="450" t="n">
        <f aca="false">IF(AND(L777&lt;L_rampe,Poussee&lt;Poids*SIN(M777)),0,(-W777+Poussee)/m*COS(M777)-U777/m*SIN(M777))</f>
        <v>-0.823475638769454</v>
      </c>
      <c r="E778" s="451" t="n">
        <f aca="false">IF(AND(L777&lt;L_rampe,Poussee&lt;Poids*SIN(M777)),0,(-W777+Poussee)/m*SIN(M777)+U777/m*COS(M777)-Poids/m)</f>
        <v>-3.84769183228753</v>
      </c>
      <c r="F778" s="449" t="n">
        <f aca="false">SQRT(acc_x^2+acc_z^2)</f>
        <v>3.93482459124913</v>
      </c>
      <c r="G778" s="450" t="n">
        <f aca="false">G777+acc_x*pas</f>
        <v>18.9049664677568</v>
      </c>
      <c r="H778" s="451" t="n">
        <f aca="false">H777+acc_z*pas</f>
        <v>-136.880848083225</v>
      </c>
      <c r="I778" s="449" t="n">
        <f aca="false">SQRT(vit_x^2+vit_z^2)</f>
        <v>138.180187903802</v>
      </c>
      <c r="J778" s="450" t="n">
        <f aca="false">J777+0.5*(vit_x+G777)*pas*(K777&gt;=0)</f>
        <v>1017.12580762709</v>
      </c>
      <c r="K778" s="451" t="n">
        <f aca="false">K777+0.5*(vit_z+H777)*pas</f>
        <v>-13.1964781047539</v>
      </c>
      <c r="L778" s="449" t="n">
        <f aca="false">SQRT(pos_x^2+pos_z^2)</f>
        <v>1017.21141144574</v>
      </c>
      <c r="M778" s="450" t="n">
        <f aca="false">IF(AND(L777&gt;L_rampe,G778&gt;0),ATAN2(G778,H778),$M$4)</f>
        <v>-1.43355200516054</v>
      </c>
      <c r="N778" s="449" t="n">
        <f aca="false">DEGREES(Beta)</f>
        <v>-82.1364796082154</v>
      </c>
      <c r="O778" s="438"/>
      <c r="P778" s="452" t="n">
        <f aca="false">MATCH(t-pas/2-T_ini,CdP_t)</f>
        <v>23</v>
      </c>
      <c r="Q778" s="449" t="n">
        <f aca="false">(INDEX(CdP,2,i_P+1)-INDEX(CdP,2,i_P+0))/(INDEX(CdP,1,i_P+1)-INDEX(CdP,1,i_P+0))*(t-pas/2-T_ini-INDEX(CdP,1,i_P+0))+INDEX(CdP,2,i_P+0)</f>
        <v>0</v>
      </c>
      <c r="R778" s="450" t="n">
        <f aca="false">Poussee/(g*ISP)</f>
        <v>0</v>
      </c>
      <c r="S778" s="451" t="n">
        <f aca="false">S777-Débit*pas</f>
        <v>8.652</v>
      </c>
      <c r="T778" s="449" t="n">
        <f aca="false">m*g</f>
        <v>84.87612</v>
      </c>
      <c r="U778" s="453" t="n">
        <f aca="false">IF(pos_xz&lt;L_rampe,Poids*COS(Beta),0)</f>
        <v>0</v>
      </c>
      <c r="V778" s="450" t="n">
        <f aca="false">Rho_moyen*(20000-Alt_rampe-pos_z)/(20000+Alt_rampe+pos_z)</f>
        <v>1.22661763592268</v>
      </c>
      <c r="W778" s="449" t="n">
        <f aca="false">1/2*Rho*Sref*Cx*vit_xz^2</f>
        <v>52.0759257799262</v>
      </c>
      <c r="X778" s="438"/>
      <c r="Y778" s="454" t="str">
        <f aca="false">IF(AND(pos_z&lt;=0,K777&gt;0),"Impact balistique","") &amp; IF(AND(H779&lt;0,vit_z&gt;=0),"Apogée","") &amp; IF(AND(Poussee=0,Q777&gt;0),"Fin de propulsion","") &amp; IF(AND(L779&gt;L_rampe,pos_xz&lt;=L_rampe),"Sortie de rampe","")</f>
        <v/>
      </c>
      <c r="Z778" s="455" t="str">
        <f aca="false">IF(ABS(t-T_para)&lt;pas/2,"Para","")</f>
        <v/>
      </c>
      <c r="AA778" s="456" t="str">
        <f aca="false">IF(ABS(t-T_satellite)&lt;pas/2,"Satellite","")</f>
        <v/>
      </c>
      <c r="AB778" s="444"/>
      <c r="AC778" s="452" t="e">
        <f aca="false">IF(ABS(t-ROUND(t,0))&lt;0.001,t,NA())</f>
        <v>#N/A</v>
      </c>
      <c r="AD778" s="457" t="e">
        <f aca="false">IF(ABS(t-ROUND(t,0))&lt;0.001,pos_x,NA())</f>
        <v>#N/A</v>
      </c>
      <c r="AE778" s="458" t="e">
        <f aca="false">IF(t&lt;T_para, pos_z, NA())</f>
        <v>#N/A</v>
      </c>
      <c r="AF778" s="444"/>
      <c r="AG778" s="450" t="n">
        <f aca="false">IF(AND(L777&lt;L_rampe,Poussee&lt;Poids*SIN(M777)),0,(-W777+Poussee)/m-Poids*SIN(M777)/m)</f>
        <v>3.69884691463092</v>
      </c>
      <c r="AH778" s="449" t="n">
        <f aca="false">IF(AND(L777&lt;L_rampe,Poussee&lt;Poids*SIN(M777)), g*SIN(M777), (-W777+Poussee)/m)</f>
        <v>-6.01890611443788</v>
      </c>
    </row>
    <row r="779" customFormat="false" ht="12" hidden="false" customHeight="false" outlineLevel="0" collapsed="false">
      <c r="A779" s="448" t="n">
        <f aca="false">IF(B778+0.01&lt;=T_ini+ROUNDUP(Temps_fin_propu,0), 0.01, IF(K778&gt;0, 0.1, 0.0001))</f>
        <v>0.0001</v>
      </c>
      <c r="B779" s="449" t="n">
        <f aca="false">B778+pas</f>
        <v>35.7058000000004</v>
      </c>
      <c r="C779" s="432"/>
      <c r="D779" s="450" t="n">
        <f aca="false">IF(AND(L778&lt;L_rampe,Poussee&lt;Poids*SIN(M778)),0,(-W778+Poussee)/m*COS(M778)-U778/m*SIN(M778))</f>
        <v>-0.823475383310915</v>
      </c>
      <c r="E779" s="451" t="n">
        <f aca="false">IF(AND(L778&lt;L_rampe,Poussee&lt;Poids*SIN(M778)),0,(-W778+Poussee)/m*SIN(M778)+U778/m*COS(M778)-Poids/m)</f>
        <v>-3.84765095084923</v>
      </c>
      <c r="F779" s="449" t="n">
        <f aca="false">SQRT(acc_x^2+acc_z^2)</f>
        <v>3.93478456163613</v>
      </c>
      <c r="G779" s="450" t="n">
        <f aca="false">G778+acc_x*pas</f>
        <v>18.9048841202185</v>
      </c>
      <c r="H779" s="451" t="n">
        <f aca="false">H778+acc_z*pas</f>
        <v>-136.88123284832</v>
      </c>
      <c r="I779" s="449" t="n">
        <f aca="false">SQRT(vit_x^2+vit_z^2)</f>
        <v>138.180557784643</v>
      </c>
      <c r="J779" s="450" t="n">
        <f aca="false">J778+0.5*(vit_x+G778)*pas*(K778&gt;=0)</f>
        <v>1017.12580762709</v>
      </c>
      <c r="K779" s="451" t="n">
        <f aca="false">K778+0.5*(vit_z+H778)*pas</f>
        <v>-13.2101662088005</v>
      </c>
      <c r="L779" s="449" t="n">
        <f aca="false">SQRT(pos_x^2+pos_z^2)</f>
        <v>1017.21158911621</v>
      </c>
      <c r="M779" s="450" t="n">
        <f aca="false">IF(AND(L778&gt;L_rampe,G779&gt;0),ATAN2(G779,H779),$M$4)</f>
        <v>-1.43355297645788</v>
      </c>
      <c r="N779" s="449" t="n">
        <f aca="false">DEGREES(Beta)</f>
        <v>-82.1365352594535</v>
      </c>
      <c r="O779" s="438"/>
      <c r="P779" s="452" t="n">
        <f aca="false">MATCH(t-pas/2-T_ini,CdP_t)</f>
        <v>23</v>
      </c>
      <c r="Q779" s="449" t="n">
        <f aca="false">(INDEX(CdP,2,i_P+1)-INDEX(CdP,2,i_P+0))/(INDEX(CdP,1,i_P+1)-INDEX(CdP,1,i_P+0))*(t-pas/2-T_ini-INDEX(CdP,1,i_P+0))+INDEX(CdP,2,i_P+0)</f>
        <v>0</v>
      </c>
      <c r="R779" s="450" t="n">
        <f aca="false">Poussee/(g*ISP)</f>
        <v>0</v>
      </c>
      <c r="S779" s="451" t="n">
        <f aca="false">S778-Débit*pas</f>
        <v>8.652</v>
      </c>
      <c r="T779" s="449" t="n">
        <f aca="false">m*g</f>
        <v>84.87612</v>
      </c>
      <c r="U779" s="453" t="n">
        <f aca="false">IF(pos_xz&lt;L_rampe,Poids*COS(Beta),0)</f>
        <v>0</v>
      </c>
      <c r="V779" s="450" t="n">
        <f aca="false">Rho_moyen*(20000-Alt_rampe-pos_z)/(20000+Alt_rampe+pos_z)</f>
        <v>1.22661931493155</v>
      </c>
      <c r="W779" s="449" t="n">
        <f aca="false">1/2*Rho*Sref*Cx*vit_xz^2</f>
        <v>52.0762758565919</v>
      </c>
      <c r="X779" s="438"/>
      <c r="Y779" s="454" t="str">
        <f aca="false">IF(AND(pos_z&lt;=0,K778&gt;0),"Impact balistique","") &amp; IF(AND(H780&lt;0,vit_z&gt;=0),"Apogée","") &amp; IF(AND(Poussee=0,Q778&gt;0),"Fin de propulsion","") &amp; IF(AND(L780&gt;L_rampe,pos_xz&lt;=L_rampe),"Sortie de rampe","")</f>
        <v/>
      </c>
      <c r="Z779" s="455" t="str">
        <f aca="false">IF(ABS(t-T_para)&lt;pas/2,"Para","")</f>
        <v/>
      </c>
      <c r="AA779" s="456" t="str">
        <f aca="false">IF(ABS(t-T_satellite)&lt;pas/2,"Satellite","")</f>
        <v/>
      </c>
      <c r="AB779" s="444"/>
      <c r="AC779" s="452" t="e">
        <f aca="false">IF(ABS(t-ROUND(t,0))&lt;0.001,t,NA())</f>
        <v>#N/A</v>
      </c>
      <c r="AD779" s="457" t="e">
        <f aca="false">IF(ABS(t-ROUND(t,0))&lt;0.001,pos_x,NA())</f>
        <v>#N/A</v>
      </c>
      <c r="AE779" s="458" t="e">
        <f aca="false">IF(t&lt;T_para, pos_z, NA())</f>
        <v>#N/A</v>
      </c>
      <c r="AF779" s="444"/>
      <c r="AG779" s="450" t="n">
        <f aca="false">IF(AND(L778&lt;L_rampe,Poussee&lt;Poids*SIN(M778)),0,(-W778+Poussee)/m-Poids*SIN(M778)/m)</f>
        <v>3.69880775620144</v>
      </c>
      <c r="AH779" s="449" t="n">
        <f aca="false">IF(AND(L778&lt;L_rampe,Poussee&lt;Poids*SIN(M778)), g*SIN(M778), (-W778+Poussee)/m)</f>
        <v>-6.01894657650557</v>
      </c>
    </row>
    <row r="780" customFormat="false" ht="12" hidden="false" customHeight="false" outlineLevel="0" collapsed="false">
      <c r="A780" s="448" t="n">
        <f aca="false">IF(B779+0.01&lt;=T_ini+ROUNDUP(Temps_fin_propu,0), 0.01, IF(K779&gt;0, 0.1, 0.0001))</f>
        <v>0.0001</v>
      </c>
      <c r="B780" s="449" t="n">
        <f aca="false">B779+pas</f>
        <v>35.7059000000004</v>
      </c>
      <c r="C780" s="432"/>
      <c r="D780" s="450" t="n">
        <f aca="false">IF(AND(L779&lt;L_rampe,Poussee&lt;Poids*SIN(M779)),0,(-W779+Poussee)/m*COS(M779)-U779/m*SIN(M779))</f>
        <v>-0.823475127811876</v>
      </c>
      <c r="E780" s="451" t="n">
        <f aca="false">IF(AND(L779&lt;L_rampe,Poussee&lt;Poids*SIN(M779)),0,(-W779+Poussee)/m*SIN(M779)+U779/m*COS(M779)-Poids/m)</f>
        <v>-3.84761006954456</v>
      </c>
      <c r="F780" s="449" t="n">
        <f aca="false">SQRT(acc_x^2+acc_z^2)</f>
        <v>3.93474453216285</v>
      </c>
      <c r="G780" s="450" t="n">
        <f aca="false">G779+acc_x*pas</f>
        <v>18.9048017727057</v>
      </c>
      <c r="H780" s="451" t="n">
        <f aca="false">H779+acc_z*pas</f>
        <v>-136.881617609327</v>
      </c>
      <c r="I780" s="449" t="n">
        <f aca="false">SQRT(vit_x^2+vit_z^2)</f>
        <v>138.180927661568</v>
      </c>
      <c r="J780" s="450" t="n">
        <f aca="false">J779+0.5*(vit_x+G779)*pas*(K779&gt;=0)</f>
        <v>1017.12580762709</v>
      </c>
      <c r="K780" s="451" t="n">
        <f aca="false">K779+0.5*(vit_z+H779)*pas</f>
        <v>-13.2238543513234</v>
      </c>
      <c r="L780" s="449" t="n">
        <f aca="false">SQRT(pos_x^2+pos_z^2)</f>
        <v>1017.21176697134</v>
      </c>
      <c r="M780" s="450" t="n">
        <f aca="false">IF(AND(L779&gt;L_rampe,G780&gt;0),ATAN2(G780,H780),$M$4)</f>
        <v>-1.43355394774578</v>
      </c>
      <c r="N780" s="449" t="n">
        <f aca="false">DEGREES(Beta)</f>
        <v>-82.1365909101512</v>
      </c>
      <c r="O780" s="438"/>
      <c r="P780" s="452" t="n">
        <f aca="false">MATCH(t-pas/2-T_ini,CdP_t)</f>
        <v>23</v>
      </c>
      <c r="Q780" s="449" t="n">
        <f aca="false">(INDEX(CdP,2,i_P+1)-INDEX(CdP,2,i_P+0))/(INDEX(CdP,1,i_P+1)-INDEX(CdP,1,i_P+0))*(t-pas/2-T_ini-INDEX(CdP,1,i_P+0))+INDEX(CdP,2,i_P+0)</f>
        <v>0</v>
      </c>
      <c r="R780" s="450" t="n">
        <f aca="false">Poussee/(g*ISP)</f>
        <v>0</v>
      </c>
      <c r="S780" s="451" t="n">
        <f aca="false">S779-Débit*pas</f>
        <v>8.652</v>
      </c>
      <c r="T780" s="449" t="n">
        <f aca="false">m*g</f>
        <v>84.87612</v>
      </c>
      <c r="U780" s="453" t="n">
        <f aca="false">IF(pos_xz&lt;L_rampe,Poids*COS(Beta),0)</f>
        <v>0</v>
      </c>
      <c r="V780" s="450" t="n">
        <f aca="false">Rho_moyen*(20000-Alt_rampe-pos_z)/(20000+Alt_rampe+pos_z)</f>
        <v>1.22662099394743</v>
      </c>
      <c r="W780" s="449" t="n">
        <f aca="false">1/2*Rho*Sref*Cx*vit_xz^2</f>
        <v>52.0766259321135</v>
      </c>
      <c r="X780" s="438"/>
      <c r="Y780" s="454" t="str">
        <f aca="false">IF(AND(pos_z&lt;=0,K779&gt;0),"Impact balistique","") &amp; IF(AND(H781&lt;0,vit_z&gt;=0),"Apogée","") &amp; IF(AND(Poussee=0,Q779&gt;0),"Fin de propulsion","") &amp; IF(AND(L781&gt;L_rampe,pos_xz&lt;=L_rampe),"Sortie de rampe","")</f>
        <v/>
      </c>
      <c r="Z780" s="455" t="str">
        <f aca="false">IF(ABS(t-T_para)&lt;pas/2,"Para","")</f>
        <v/>
      </c>
      <c r="AA780" s="456" t="str">
        <f aca="false">IF(ABS(t-T_satellite)&lt;pas/2,"Satellite","")</f>
        <v/>
      </c>
      <c r="AB780" s="444"/>
      <c r="AC780" s="452" t="e">
        <f aca="false">IF(ABS(t-ROUND(t,0))&lt;0.001,t,NA())</f>
        <v>#N/A</v>
      </c>
      <c r="AD780" s="457" t="e">
        <f aca="false">IF(ABS(t-ROUND(t,0))&lt;0.001,pos_x,NA())</f>
        <v>#N/A</v>
      </c>
      <c r="AE780" s="458" t="e">
        <f aca="false">IF(t&lt;T_para, pos_z, NA())</f>
        <v>#N/A</v>
      </c>
      <c r="AF780" s="444"/>
      <c r="AG780" s="450" t="n">
        <f aca="false">IF(AND(L779&lt;L_rampe,Poussee&lt;Poids*SIN(M779)),0,(-W779+Poussee)/m-Poids*SIN(M779)/m)</f>
        <v>3.69876859788236</v>
      </c>
      <c r="AH780" s="449" t="n">
        <f aca="false">IF(AND(L779&lt;L_rampe,Poussee&lt;Poids*SIN(M779)), g*SIN(M779), (-W779+Poussee)/m)</f>
        <v>-6.01898703844104</v>
      </c>
    </row>
    <row r="781" customFormat="false" ht="12" hidden="false" customHeight="false" outlineLevel="0" collapsed="false">
      <c r="A781" s="448" t="n">
        <f aca="false">IF(B780+0.01&lt;=T_ini+ROUNDUP(Temps_fin_propu,0), 0.01, IF(K780&gt;0, 0.1, 0.0001))</f>
        <v>0.0001</v>
      </c>
      <c r="B781" s="449" t="n">
        <f aca="false">B780+pas</f>
        <v>35.7060000000004</v>
      </c>
      <c r="C781" s="432"/>
      <c r="D781" s="450" t="n">
        <f aca="false">IF(AND(L780&lt;L_rampe,Poussee&lt;Poids*SIN(M780)),0,(-W780+Poussee)/m*COS(M780)-U780/m*SIN(M780))</f>
        <v>-0.823474872272338</v>
      </c>
      <c r="E781" s="451" t="n">
        <f aca="false">IF(AND(L780&lt;L_rampe,Poussee&lt;Poids*SIN(M780)),0,(-W780+Poussee)/m*SIN(M780)+U780/m*COS(M780)-Poids/m)</f>
        <v>-3.8475691883735</v>
      </c>
      <c r="F781" s="449" t="n">
        <f aca="false">SQRT(acc_x^2+acc_z^2)</f>
        <v>3.93470450282929</v>
      </c>
      <c r="G781" s="450" t="n">
        <f aca="false">G780+acc_x*pas</f>
        <v>18.9047194252185</v>
      </c>
      <c r="H781" s="451" t="n">
        <f aca="false">H780+acc_z*pas</f>
        <v>-136.882002366246</v>
      </c>
      <c r="I781" s="449" t="n">
        <f aca="false">SQRT(vit_x^2+vit_z^2)</f>
        <v>138.181297534577</v>
      </c>
      <c r="J781" s="450" t="n">
        <f aca="false">J780+0.5*(vit_x+G780)*pas*(K780&gt;=0)</f>
        <v>1017.12580762709</v>
      </c>
      <c r="K781" s="451" t="n">
        <f aca="false">K780+0.5*(vit_z+H780)*pas</f>
        <v>-13.2375425323222</v>
      </c>
      <c r="L781" s="449" t="n">
        <f aca="false">SQRT(pos_x^2+pos_z^2)</f>
        <v>1017.21194501114</v>
      </c>
      <c r="M781" s="450" t="n">
        <f aca="false">IF(AND(L780&gt;L_rampe,G781&gt;0),ATAN2(G781,H781),$M$4)</f>
        <v>-1.43355491902426</v>
      </c>
      <c r="N781" s="449" t="n">
        <f aca="false">DEGREES(Beta)</f>
        <v>-82.1366465603087</v>
      </c>
      <c r="O781" s="438"/>
      <c r="P781" s="452" t="n">
        <f aca="false">MATCH(t-pas/2-T_ini,CdP_t)</f>
        <v>23</v>
      </c>
      <c r="Q781" s="449" t="n">
        <f aca="false">(INDEX(CdP,2,i_P+1)-INDEX(CdP,2,i_P+0))/(INDEX(CdP,1,i_P+1)-INDEX(CdP,1,i_P+0))*(t-pas/2-T_ini-INDEX(CdP,1,i_P+0))+INDEX(CdP,2,i_P+0)</f>
        <v>0</v>
      </c>
      <c r="R781" s="450" t="n">
        <f aca="false">Poussee/(g*ISP)</f>
        <v>0</v>
      </c>
      <c r="S781" s="451" t="n">
        <f aca="false">S780-Débit*pas</f>
        <v>8.652</v>
      </c>
      <c r="T781" s="449" t="n">
        <f aca="false">m*g</f>
        <v>84.87612</v>
      </c>
      <c r="U781" s="453" t="n">
        <f aca="false">IF(pos_xz&lt;L_rampe,Poids*COS(Beta),0)</f>
        <v>0</v>
      </c>
      <c r="V781" s="450" t="n">
        <f aca="false">Rho_moyen*(20000-Alt_rampe-pos_z)/(20000+Alt_rampe+pos_z)</f>
        <v>1.22662267297033</v>
      </c>
      <c r="W781" s="449" t="n">
        <f aca="false">1/2*Rho*Sref*Cx*vit_xz^2</f>
        <v>52.0769760064912</v>
      </c>
      <c r="X781" s="438"/>
      <c r="Y781" s="454" t="str">
        <f aca="false">IF(AND(pos_z&lt;=0,K780&gt;0),"Impact balistique","") &amp; IF(AND(H782&lt;0,vit_z&gt;=0),"Apogée","") &amp; IF(AND(Poussee=0,Q780&gt;0),"Fin de propulsion","") &amp; IF(AND(L782&gt;L_rampe,pos_xz&lt;=L_rampe),"Sortie de rampe","")</f>
        <v/>
      </c>
      <c r="Z781" s="455" t="str">
        <f aca="false">IF(ABS(t-T_para)&lt;pas/2,"Para","")</f>
        <v/>
      </c>
      <c r="AA781" s="456" t="str">
        <f aca="false">IF(ABS(t-T_satellite)&lt;pas/2,"Satellite","")</f>
        <v/>
      </c>
      <c r="AB781" s="444"/>
      <c r="AC781" s="452" t="e">
        <f aca="false">IF(ABS(t-ROUND(t,0))&lt;0.001,t,NA())</f>
        <v>#N/A</v>
      </c>
      <c r="AD781" s="457" t="e">
        <f aca="false">IF(ABS(t-ROUND(t,0))&lt;0.001,pos_x,NA())</f>
        <v>#N/A</v>
      </c>
      <c r="AE781" s="458" t="e">
        <f aca="false">IF(t&lt;T_para, pos_z, NA())</f>
        <v>#N/A</v>
      </c>
      <c r="AF781" s="444"/>
      <c r="AG781" s="450" t="n">
        <f aca="false">IF(AND(L780&lt;L_rampe,Poussee&lt;Poids*SIN(M780)),0,(-W780+Poussee)/m-Poids*SIN(M780)/m)</f>
        <v>3.69872943967368</v>
      </c>
      <c r="AH781" s="449" t="n">
        <f aca="false">IF(AND(L780&lt;L_rampe,Poussee&lt;Poids*SIN(M780)), g*SIN(M780), (-W780+Poussee)/m)</f>
        <v>-6.01902750024429</v>
      </c>
    </row>
    <row r="782" customFormat="false" ht="12" hidden="false" customHeight="false" outlineLevel="0" collapsed="false">
      <c r="A782" s="448" t="n">
        <f aca="false">IF(B781+0.01&lt;=T_ini+ROUNDUP(Temps_fin_propu,0), 0.01, IF(K781&gt;0, 0.1, 0.0001))</f>
        <v>0.0001</v>
      </c>
      <c r="B782" s="449" t="n">
        <f aca="false">B781+pas</f>
        <v>35.7061000000004</v>
      </c>
      <c r="C782" s="432"/>
      <c r="D782" s="450" t="n">
        <f aca="false">IF(AND(L781&lt;L_rampe,Poussee&lt;Poids*SIN(M781)),0,(-W781+Poussee)/m*COS(M781)-U781/m*SIN(M781))</f>
        <v>-0.823474616692301</v>
      </c>
      <c r="E782" s="451" t="n">
        <f aca="false">IF(AND(L781&lt;L_rampe,Poussee&lt;Poids*SIN(M781)),0,(-W781+Poussee)/m*SIN(M781)+U781/m*COS(M781)-Poids/m)</f>
        <v>-3.84752830733607</v>
      </c>
      <c r="F782" s="449" t="n">
        <f aca="false">SQRT(acc_x^2+acc_z^2)</f>
        <v>3.93466447363545</v>
      </c>
      <c r="G782" s="450" t="n">
        <f aca="false">G781+acc_x*pas</f>
        <v>18.9046370777568</v>
      </c>
      <c r="H782" s="451" t="n">
        <f aca="false">H781+acc_z*pas</f>
        <v>-136.882387119077</v>
      </c>
      <c r="I782" s="449" t="n">
        <f aca="false">SQRT(vit_x^2+vit_z^2)</f>
        <v>138.18166740367</v>
      </c>
      <c r="J782" s="450" t="n">
        <f aca="false">J781+0.5*(vit_x+G781)*pas*(K781&gt;=0)</f>
        <v>1017.12580762709</v>
      </c>
      <c r="K782" s="451" t="n">
        <f aca="false">K781+0.5*(vit_z+H781)*pas</f>
        <v>-13.2512307517964</v>
      </c>
      <c r="L782" s="449" t="n">
        <f aca="false">SQRT(pos_x^2+pos_z^2)</f>
        <v>1017.21212323561</v>
      </c>
      <c r="M782" s="450" t="n">
        <f aca="false">IF(AND(L781&gt;L_rampe,G782&gt;0),ATAN2(G782,H782),$M$4)</f>
        <v>-1.43355589029331</v>
      </c>
      <c r="N782" s="449" t="n">
        <f aca="false">DEGREES(Beta)</f>
        <v>-82.1367022099258</v>
      </c>
      <c r="O782" s="438"/>
      <c r="P782" s="452" t="n">
        <f aca="false">MATCH(t-pas/2-T_ini,CdP_t)</f>
        <v>23</v>
      </c>
      <c r="Q782" s="449" t="n">
        <f aca="false">(INDEX(CdP,2,i_P+1)-INDEX(CdP,2,i_P+0))/(INDEX(CdP,1,i_P+1)-INDEX(CdP,1,i_P+0))*(t-pas/2-T_ini-INDEX(CdP,1,i_P+0))+INDEX(CdP,2,i_P+0)</f>
        <v>0</v>
      </c>
      <c r="R782" s="450" t="n">
        <f aca="false">Poussee/(g*ISP)</f>
        <v>0</v>
      </c>
      <c r="S782" s="451" t="n">
        <f aca="false">S781-Débit*pas</f>
        <v>8.652</v>
      </c>
      <c r="T782" s="449" t="n">
        <f aca="false">m*g</f>
        <v>84.87612</v>
      </c>
      <c r="U782" s="453" t="n">
        <f aca="false">IF(pos_xz&lt;L_rampe,Poids*COS(Beta),0)</f>
        <v>0</v>
      </c>
      <c r="V782" s="450" t="n">
        <f aca="false">Rho_moyen*(20000-Alt_rampe-pos_z)/(20000+Alt_rampe+pos_z)</f>
        <v>1.22662435200025</v>
      </c>
      <c r="W782" s="449" t="n">
        <f aca="false">1/2*Rho*Sref*Cx*vit_xz^2</f>
        <v>52.0773260797248</v>
      </c>
      <c r="X782" s="438"/>
      <c r="Y782" s="454" t="str">
        <f aca="false">IF(AND(pos_z&lt;=0,K781&gt;0),"Impact balistique","") &amp; IF(AND(H783&lt;0,vit_z&gt;=0),"Apogée","") &amp; IF(AND(Poussee=0,Q781&gt;0),"Fin de propulsion","") &amp; IF(AND(L783&gt;L_rampe,pos_xz&lt;=L_rampe),"Sortie de rampe","")</f>
        <v/>
      </c>
      <c r="Z782" s="455" t="str">
        <f aca="false">IF(ABS(t-T_para)&lt;pas/2,"Para","")</f>
        <v/>
      </c>
      <c r="AA782" s="456" t="str">
        <f aca="false">IF(ABS(t-T_satellite)&lt;pas/2,"Satellite","")</f>
        <v/>
      </c>
      <c r="AB782" s="444"/>
      <c r="AC782" s="452" t="e">
        <f aca="false">IF(ABS(t-ROUND(t,0))&lt;0.001,t,NA())</f>
        <v>#N/A</v>
      </c>
      <c r="AD782" s="457" t="e">
        <f aca="false">IF(ABS(t-ROUND(t,0))&lt;0.001,pos_x,NA())</f>
        <v>#N/A</v>
      </c>
      <c r="AE782" s="458" t="e">
        <f aca="false">IF(t&lt;T_para, pos_z, NA())</f>
        <v>#N/A</v>
      </c>
      <c r="AF782" s="444"/>
      <c r="AG782" s="450" t="n">
        <f aca="false">IF(AND(L781&lt;L_rampe,Poussee&lt;Poids*SIN(M781)),0,(-W781+Poussee)/m-Poids*SIN(M781)/m)</f>
        <v>3.6986902815754</v>
      </c>
      <c r="AH782" s="449" t="n">
        <f aca="false">IF(AND(L781&lt;L_rampe,Poussee&lt;Poids*SIN(M781)), g*SIN(M781), (-W781+Poussee)/m)</f>
        <v>-6.0190679619153</v>
      </c>
    </row>
    <row r="783" customFormat="false" ht="12" hidden="false" customHeight="false" outlineLevel="0" collapsed="false">
      <c r="A783" s="448" t="n">
        <f aca="false">IF(B782+0.01&lt;=T_ini+ROUNDUP(Temps_fin_propu,0), 0.01, IF(K782&gt;0, 0.1, 0.0001))</f>
        <v>0.0001</v>
      </c>
      <c r="B783" s="449" t="n">
        <f aca="false">B782+pas</f>
        <v>35.7062000000004</v>
      </c>
      <c r="C783" s="432"/>
      <c r="D783" s="450" t="n">
        <f aca="false">IF(AND(L782&lt;L_rampe,Poussee&lt;Poids*SIN(M782)),0,(-W782+Poussee)/m*COS(M782)-U782/m*SIN(M782))</f>
        <v>-0.823474361071766</v>
      </c>
      <c r="E783" s="451" t="n">
        <f aca="false">IF(AND(L782&lt;L_rampe,Poussee&lt;Poids*SIN(M782)),0,(-W782+Poussee)/m*SIN(M782)+U782/m*COS(M782)-Poids/m)</f>
        <v>-3.84748742643226</v>
      </c>
      <c r="F783" s="449" t="n">
        <f aca="false">SQRT(acc_x^2+acc_z^2)</f>
        <v>3.93462444458132</v>
      </c>
      <c r="G783" s="450" t="n">
        <f aca="false">G782+acc_x*pas</f>
        <v>18.9045547303207</v>
      </c>
      <c r="H783" s="451" t="n">
        <f aca="false">H782+acc_z*pas</f>
        <v>-136.88277186782</v>
      </c>
      <c r="I783" s="449" t="n">
        <f aca="false">SQRT(vit_x^2+vit_z^2)</f>
        <v>138.182037268848</v>
      </c>
      <c r="J783" s="450" t="n">
        <f aca="false">J782+0.5*(vit_x+G782)*pas*(K782&gt;=0)</f>
        <v>1017.12580762709</v>
      </c>
      <c r="K783" s="451" t="n">
        <f aca="false">K782+0.5*(vit_z+H782)*pas</f>
        <v>-13.2649190097458</v>
      </c>
      <c r="L783" s="449" t="n">
        <f aca="false">SQRT(pos_x^2+pos_z^2)</f>
        <v>1017.21230164474</v>
      </c>
      <c r="M783" s="450" t="n">
        <f aca="false">IF(AND(L782&gt;L_rampe,G783&gt;0),ATAN2(G783,H783),$M$4)</f>
        <v>-1.43355686155292</v>
      </c>
      <c r="N783" s="449" t="n">
        <f aca="false">DEGREES(Beta)</f>
        <v>-82.1367578590026</v>
      </c>
      <c r="O783" s="438"/>
      <c r="P783" s="452" t="n">
        <f aca="false">MATCH(t-pas/2-T_ini,CdP_t)</f>
        <v>23</v>
      </c>
      <c r="Q783" s="449" t="n">
        <f aca="false">(INDEX(CdP,2,i_P+1)-INDEX(CdP,2,i_P+0))/(INDEX(CdP,1,i_P+1)-INDEX(CdP,1,i_P+0))*(t-pas/2-T_ini-INDEX(CdP,1,i_P+0))+INDEX(CdP,2,i_P+0)</f>
        <v>0</v>
      </c>
      <c r="R783" s="450" t="n">
        <f aca="false">Poussee/(g*ISP)</f>
        <v>0</v>
      </c>
      <c r="S783" s="451" t="n">
        <f aca="false">S782-Débit*pas</f>
        <v>8.652</v>
      </c>
      <c r="T783" s="449" t="n">
        <f aca="false">m*g</f>
        <v>84.87612</v>
      </c>
      <c r="U783" s="453" t="n">
        <f aca="false">IF(pos_xz&lt;L_rampe,Poids*COS(Beta),0)</f>
        <v>0</v>
      </c>
      <c r="V783" s="450" t="n">
        <f aca="false">Rho_moyen*(20000-Alt_rampe-pos_z)/(20000+Alt_rampe+pos_z)</f>
        <v>1.22662603103719</v>
      </c>
      <c r="W783" s="449" t="n">
        <f aca="false">1/2*Rho*Sref*Cx*vit_xz^2</f>
        <v>52.0776761518142</v>
      </c>
      <c r="X783" s="438"/>
      <c r="Y783" s="454" t="str">
        <f aca="false">IF(AND(pos_z&lt;=0,K782&gt;0),"Impact balistique","") &amp; IF(AND(H784&lt;0,vit_z&gt;=0),"Apogée","") &amp; IF(AND(Poussee=0,Q782&gt;0),"Fin de propulsion","") &amp; IF(AND(L784&gt;L_rampe,pos_xz&lt;=L_rampe),"Sortie de rampe","")</f>
        <v/>
      </c>
      <c r="Z783" s="455" t="str">
        <f aca="false">IF(ABS(t-T_para)&lt;pas/2,"Para","")</f>
        <v/>
      </c>
      <c r="AA783" s="456" t="str">
        <f aca="false">IF(ABS(t-T_satellite)&lt;pas/2,"Satellite","")</f>
        <v/>
      </c>
      <c r="AB783" s="444"/>
      <c r="AC783" s="452" t="e">
        <f aca="false">IF(ABS(t-ROUND(t,0))&lt;0.001,t,NA())</f>
        <v>#N/A</v>
      </c>
      <c r="AD783" s="457" t="e">
        <f aca="false">IF(ABS(t-ROUND(t,0))&lt;0.001,pos_x,NA())</f>
        <v>#N/A</v>
      </c>
      <c r="AE783" s="458" t="e">
        <f aca="false">IF(t&lt;T_para, pos_z, NA())</f>
        <v>#N/A</v>
      </c>
      <c r="AF783" s="444"/>
      <c r="AG783" s="450" t="n">
        <f aca="false">IF(AND(L782&lt;L_rampe,Poussee&lt;Poids*SIN(M782)),0,(-W782+Poussee)/m-Poids*SIN(M782)/m)</f>
        <v>3.69865112358752</v>
      </c>
      <c r="AH783" s="449" t="n">
        <f aca="false">IF(AND(L782&lt;L_rampe,Poussee&lt;Poids*SIN(M782)), g*SIN(M782), (-W782+Poussee)/m)</f>
        <v>-6.01910842345409</v>
      </c>
    </row>
    <row r="784" customFormat="false" ht="12" hidden="false" customHeight="false" outlineLevel="0" collapsed="false">
      <c r="A784" s="448" t="n">
        <f aca="false">IF(B783+0.01&lt;=T_ini+ROUNDUP(Temps_fin_propu,0), 0.01, IF(K783&gt;0, 0.1, 0.0001))</f>
        <v>0.0001</v>
      </c>
      <c r="B784" s="449" t="n">
        <f aca="false">B783+pas</f>
        <v>35.7063000000004</v>
      </c>
      <c r="C784" s="432"/>
      <c r="D784" s="450" t="n">
        <f aca="false">IF(AND(L783&lt;L_rampe,Poussee&lt;Poids*SIN(M783)),0,(-W783+Poussee)/m*COS(M783)-U783/m*SIN(M783))</f>
        <v>-0.823474105410733</v>
      </c>
      <c r="E784" s="451" t="n">
        <f aca="false">IF(AND(L783&lt;L_rampe,Poussee&lt;Poids*SIN(M783)),0,(-W783+Poussee)/m*SIN(M783)+U783/m*COS(M783)-Poids/m)</f>
        <v>-3.84744654566208</v>
      </c>
      <c r="F784" s="449" t="n">
        <f aca="false">SQRT(acc_x^2+acc_z^2)</f>
        <v>3.93458441566693</v>
      </c>
      <c r="G784" s="450" t="n">
        <f aca="false">G783+acc_x*pas</f>
        <v>18.9044723829102</v>
      </c>
      <c r="H784" s="451" t="n">
        <f aca="false">H783+acc_z*pas</f>
        <v>-136.883156612474</v>
      </c>
      <c r="I784" s="449" t="n">
        <f aca="false">SQRT(vit_x^2+vit_z^2)</f>
        <v>138.18240713011</v>
      </c>
      <c r="J784" s="450" t="n">
        <f aca="false">J783+0.5*(vit_x+G783)*pas*(K783&gt;=0)</f>
        <v>1017.12580762709</v>
      </c>
      <c r="K784" s="451" t="n">
        <f aca="false">K783+0.5*(vit_z+H783)*pas</f>
        <v>-13.2786073061698</v>
      </c>
      <c r="L784" s="449" t="n">
        <f aca="false">SQRT(pos_x^2+pos_z^2)</f>
        <v>1017.21248023854</v>
      </c>
      <c r="M784" s="450" t="n">
        <f aca="false">IF(AND(L783&gt;L_rampe,G784&gt;0),ATAN2(G784,H784),$M$4)</f>
        <v>-1.43355783280311</v>
      </c>
      <c r="N784" s="449" t="n">
        <f aca="false">DEGREES(Beta)</f>
        <v>-82.1368135075391</v>
      </c>
      <c r="O784" s="438"/>
      <c r="P784" s="452" t="n">
        <f aca="false">MATCH(t-pas/2-T_ini,CdP_t)</f>
        <v>23</v>
      </c>
      <c r="Q784" s="449" t="n">
        <f aca="false">(INDEX(CdP,2,i_P+1)-INDEX(CdP,2,i_P+0))/(INDEX(CdP,1,i_P+1)-INDEX(CdP,1,i_P+0))*(t-pas/2-T_ini-INDEX(CdP,1,i_P+0))+INDEX(CdP,2,i_P+0)</f>
        <v>0</v>
      </c>
      <c r="R784" s="450" t="n">
        <f aca="false">Poussee/(g*ISP)</f>
        <v>0</v>
      </c>
      <c r="S784" s="451" t="n">
        <f aca="false">S783-Débit*pas</f>
        <v>8.652</v>
      </c>
      <c r="T784" s="449" t="n">
        <f aca="false">m*g</f>
        <v>84.87612</v>
      </c>
      <c r="U784" s="453" t="n">
        <f aca="false">IF(pos_xz&lt;L_rampe,Poids*COS(Beta),0)</f>
        <v>0</v>
      </c>
      <c r="V784" s="450" t="n">
        <f aca="false">Rho_moyen*(20000-Alt_rampe-pos_z)/(20000+Alt_rampe+pos_z)</f>
        <v>1.22662771008115</v>
      </c>
      <c r="W784" s="449" t="n">
        <f aca="false">1/2*Rho*Sref*Cx*vit_xz^2</f>
        <v>52.0780262227596</v>
      </c>
      <c r="X784" s="438"/>
      <c r="Y784" s="454" t="str">
        <f aca="false">IF(AND(pos_z&lt;=0,K783&gt;0),"Impact balistique","") &amp; IF(AND(H785&lt;0,vit_z&gt;=0),"Apogée","") &amp; IF(AND(Poussee=0,Q783&gt;0),"Fin de propulsion","") &amp; IF(AND(L785&gt;L_rampe,pos_xz&lt;=L_rampe),"Sortie de rampe","")</f>
        <v/>
      </c>
      <c r="Z784" s="455" t="str">
        <f aca="false">IF(ABS(t-T_para)&lt;pas/2,"Para","")</f>
        <v/>
      </c>
      <c r="AA784" s="456" t="str">
        <f aca="false">IF(ABS(t-T_satellite)&lt;pas/2,"Satellite","")</f>
        <v/>
      </c>
      <c r="AB784" s="444"/>
      <c r="AC784" s="452" t="e">
        <f aca="false">IF(ABS(t-ROUND(t,0))&lt;0.001,t,NA())</f>
        <v>#N/A</v>
      </c>
      <c r="AD784" s="457" t="e">
        <f aca="false">IF(ABS(t-ROUND(t,0))&lt;0.001,pos_x,NA())</f>
        <v>#N/A</v>
      </c>
      <c r="AE784" s="458" t="e">
        <f aca="false">IF(t&lt;T_para, pos_z, NA())</f>
        <v>#N/A</v>
      </c>
      <c r="AF784" s="444"/>
      <c r="AG784" s="450" t="n">
        <f aca="false">IF(AND(L783&lt;L_rampe,Poussee&lt;Poids*SIN(M783)),0,(-W783+Poussee)/m-Poids*SIN(M783)/m)</f>
        <v>3.69861196571006</v>
      </c>
      <c r="AH784" s="449" t="n">
        <f aca="false">IF(AND(L783&lt;L_rampe,Poussee&lt;Poids*SIN(M783)), g*SIN(M783), (-W783+Poussee)/m)</f>
        <v>-6.01914888486064</v>
      </c>
    </row>
    <row r="785" customFormat="false" ht="12" hidden="false" customHeight="false" outlineLevel="0" collapsed="false">
      <c r="A785" s="448" t="n">
        <f aca="false">IF(B784+0.01&lt;=T_ini+ROUNDUP(Temps_fin_propu,0), 0.01, IF(K784&gt;0, 0.1, 0.0001))</f>
        <v>0.0001</v>
      </c>
      <c r="B785" s="449" t="n">
        <f aca="false">B784+pas</f>
        <v>35.7064000000004</v>
      </c>
      <c r="C785" s="432"/>
      <c r="D785" s="450" t="n">
        <f aca="false">IF(AND(L784&lt;L_rampe,Poussee&lt;Poids*SIN(M784)),0,(-W784+Poussee)/m*COS(M784)-U784/m*SIN(M784))</f>
        <v>-0.823473849709201</v>
      </c>
      <c r="E785" s="451" t="n">
        <f aca="false">IF(AND(L784&lt;L_rampe,Poussee&lt;Poids*SIN(M784)),0,(-W784+Poussee)/m*SIN(M784)+U784/m*COS(M784)-Poids/m)</f>
        <v>-3.84740566502553</v>
      </c>
      <c r="F785" s="449" t="n">
        <f aca="false">SQRT(acc_x^2+acc_z^2)</f>
        <v>3.93454438689227</v>
      </c>
      <c r="G785" s="450" t="n">
        <f aca="false">G784+acc_x*pas</f>
        <v>18.9043900355252</v>
      </c>
      <c r="H785" s="451" t="n">
        <f aca="false">H784+acc_z*pas</f>
        <v>-136.883541353041</v>
      </c>
      <c r="I785" s="449" t="n">
        <f aca="false">SQRT(vit_x^2+vit_z^2)</f>
        <v>138.182776987455</v>
      </c>
      <c r="J785" s="450" t="n">
        <f aca="false">J784+0.5*(vit_x+G784)*pas*(K784&gt;=0)</f>
        <v>1017.12580762709</v>
      </c>
      <c r="K785" s="451" t="n">
        <f aca="false">K784+0.5*(vit_z+H784)*pas</f>
        <v>-13.2922956410681</v>
      </c>
      <c r="L785" s="449" t="n">
        <f aca="false">SQRT(pos_x^2+pos_z^2)</f>
        <v>1017.21265901702</v>
      </c>
      <c r="M785" s="450" t="n">
        <f aca="false">IF(AND(L784&gt;L_rampe,G785&gt;0),ATAN2(G785,H785),$M$4)</f>
        <v>-1.43355880404386</v>
      </c>
      <c r="N785" s="449" t="n">
        <f aca="false">DEGREES(Beta)</f>
        <v>-82.1368691555353</v>
      </c>
      <c r="O785" s="438"/>
      <c r="P785" s="452" t="n">
        <f aca="false">MATCH(t-pas/2-T_ini,CdP_t)</f>
        <v>23</v>
      </c>
      <c r="Q785" s="449" t="n">
        <f aca="false">(INDEX(CdP,2,i_P+1)-INDEX(CdP,2,i_P+0))/(INDEX(CdP,1,i_P+1)-INDEX(CdP,1,i_P+0))*(t-pas/2-T_ini-INDEX(CdP,1,i_P+0))+INDEX(CdP,2,i_P+0)</f>
        <v>0</v>
      </c>
      <c r="R785" s="450" t="n">
        <f aca="false">Poussee/(g*ISP)</f>
        <v>0</v>
      </c>
      <c r="S785" s="451" t="n">
        <f aca="false">S784-Débit*pas</f>
        <v>8.652</v>
      </c>
      <c r="T785" s="449" t="n">
        <f aca="false">m*g</f>
        <v>84.87612</v>
      </c>
      <c r="U785" s="453" t="n">
        <f aca="false">IF(pos_xz&lt;L_rampe,Poids*COS(Beta),0)</f>
        <v>0</v>
      </c>
      <c r="V785" s="450" t="n">
        <f aca="false">Rho_moyen*(20000-Alt_rampe-pos_z)/(20000+Alt_rampe+pos_z)</f>
        <v>1.22662938913213</v>
      </c>
      <c r="W785" s="449" t="n">
        <f aca="false">1/2*Rho*Sref*Cx*vit_xz^2</f>
        <v>52.0783762925609</v>
      </c>
      <c r="X785" s="438"/>
      <c r="Y785" s="454" t="str">
        <f aca="false">IF(AND(pos_z&lt;=0,K784&gt;0),"Impact balistique","") &amp; IF(AND(H786&lt;0,vit_z&gt;=0),"Apogée","") &amp; IF(AND(Poussee=0,Q784&gt;0),"Fin de propulsion","") &amp; IF(AND(L786&gt;L_rampe,pos_xz&lt;=L_rampe),"Sortie de rampe","")</f>
        <v/>
      </c>
      <c r="Z785" s="455" t="str">
        <f aca="false">IF(ABS(t-T_para)&lt;pas/2,"Para","")</f>
        <v/>
      </c>
      <c r="AA785" s="456" t="str">
        <f aca="false">IF(ABS(t-T_satellite)&lt;pas/2,"Satellite","")</f>
        <v/>
      </c>
      <c r="AB785" s="444"/>
      <c r="AC785" s="452" t="e">
        <f aca="false">IF(ABS(t-ROUND(t,0))&lt;0.001,t,NA())</f>
        <v>#N/A</v>
      </c>
      <c r="AD785" s="457" t="e">
        <f aca="false">IF(ABS(t-ROUND(t,0))&lt;0.001,pos_x,NA())</f>
        <v>#N/A</v>
      </c>
      <c r="AE785" s="458" t="e">
        <f aca="false">IF(t&lt;T_para, pos_z, NA())</f>
        <v>#N/A</v>
      </c>
      <c r="AF785" s="444"/>
      <c r="AG785" s="450" t="n">
        <f aca="false">IF(AND(L784&lt;L_rampe,Poussee&lt;Poids*SIN(M784)),0,(-W784+Poussee)/m-Poids*SIN(M784)/m)</f>
        <v>3.69857280794301</v>
      </c>
      <c r="AH785" s="449" t="n">
        <f aca="false">IF(AND(L784&lt;L_rampe,Poussee&lt;Poids*SIN(M784)), g*SIN(M784), (-W784+Poussee)/m)</f>
        <v>-6.01918934613495</v>
      </c>
    </row>
    <row r="786" customFormat="false" ht="12" hidden="false" customHeight="false" outlineLevel="0" collapsed="false">
      <c r="A786" s="448" t="n">
        <f aca="false">IF(B785+0.01&lt;=T_ini+ROUNDUP(Temps_fin_propu,0), 0.01, IF(K785&gt;0, 0.1, 0.0001))</f>
        <v>0.0001</v>
      </c>
      <c r="B786" s="449" t="n">
        <f aca="false">B785+pas</f>
        <v>35.7065000000004</v>
      </c>
      <c r="C786" s="432"/>
      <c r="D786" s="450" t="n">
        <f aca="false">IF(AND(L785&lt;L_rampe,Poussee&lt;Poids*SIN(M785)),0,(-W785+Poussee)/m*COS(M785)-U785/m*SIN(M785))</f>
        <v>-0.823473593967173</v>
      </c>
      <c r="E786" s="451" t="n">
        <f aca="false">IF(AND(L785&lt;L_rampe,Poussee&lt;Poids*SIN(M785)),0,(-W785+Poussee)/m*SIN(M785)+U785/m*COS(M785)-Poids/m)</f>
        <v>-3.84736478452261</v>
      </c>
      <c r="F786" s="449" t="n">
        <f aca="false">SQRT(acc_x^2+acc_z^2)</f>
        <v>3.93450435825733</v>
      </c>
      <c r="G786" s="450" t="n">
        <f aca="false">G785+acc_x*pas</f>
        <v>18.9043076881658</v>
      </c>
      <c r="H786" s="451" t="n">
        <f aca="false">H785+acc_z*pas</f>
        <v>-136.883926089519</v>
      </c>
      <c r="I786" s="449" t="n">
        <f aca="false">SQRT(vit_x^2+vit_z^2)</f>
        <v>138.183146840886</v>
      </c>
      <c r="J786" s="450" t="n">
        <f aca="false">J785+0.5*(vit_x+G785)*pas*(K785&gt;=0)</f>
        <v>1017.12580762709</v>
      </c>
      <c r="K786" s="451" t="n">
        <f aca="false">K785+0.5*(vit_z+H785)*pas</f>
        <v>-13.3059840144402</v>
      </c>
      <c r="L786" s="449" t="n">
        <f aca="false">SQRT(pos_x^2+pos_z^2)</f>
        <v>1017.21283798016</v>
      </c>
      <c r="M786" s="450" t="n">
        <f aca="false">IF(AND(L785&gt;L_rampe,G786&gt;0),ATAN2(G786,H786),$M$4)</f>
        <v>-1.43355977527519</v>
      </c>
      <c r="N786" s="449" t="n">
        <f aca="false">DEGREES(Beta)</f>
        <v>-82.1369248029912</v>
      </c>
      <c r="O786" s="438"/>
      <c r="P786" s="452" t="n">
        <f aca="false">MATCH(t-pas/2-T_ini,CdP_t)</f>
        <v>23</v>
      </c>
      <c r="Q786" s="449" t="n">
        <f aca="false">(INDEX(CdP,2,i_P+1)-INDEX(CdP,2,i_P+0))/(INDEX(CdP,1,i_P+1)-INDEX(CdP,1,i_P+0))*(t-pas/2-T_ini-INDEX(CdP,1,i_P+0))+INDEX(CdP,2,i_P+0)</f>
        <v>0</v>
      </c>
      <c r="R786" s="450" t="n">
        <f aca="false">Poussee/(g*ISP)</f>
        <v>0</v>
      </c>
      <c r="S786" s="451" t="n">
        <f aca="false">S785-Débit*pas</f>
        <v>8.652</v>
      </c>
      <c r="T786" s="449" t="n">
        <f aca="false">m*g</f>
        <v>84.87612</v>
      </c>
      <c r="U786" s="453" t="n">
        <f aca="false">IF(pos_xz&lt;L_rampe,Poids*COS(Beta),0)</f>
        <v>0</v>
      </c>
      <c r="V786" s="450" t="n">
        <f aca="false">Rho_moyen*(20000-Alt_rampe-pos_z)/(20000+Alt_rampe+pos_z)</f>
        <v>1.22663106819013</v>
      </c>
      <c r="W786" s="449" t="n">
        <f aca="false">1/2*Rho*Sref*Cx*vit_xz^2</f>
        <v>52.0787263612179</v>
      </c>
      <c r="X786" s="438"/>
      <c r="Y786" s="454" t="str">
        <f aca="false">IF(AND(pos_z&lt;=0,K785&gt;0),"Impact balistique","") &amp; IF(AND(H787&lt;0,vit_z&gt;=0),"Apogée","") &amp; IF(AND(Poussee=0,Q785&gt;0),"Fin de propulsion","") &amp; IF(AND(L787&gt;L_rampe,pos_xz&lt;=L_rampe),"Sortie de rampe","")</f>
        <v/>
      </c>
      <c r="Z786" s="455" t="str">
        <f aca="false">IF(ABS(t-T_para)&lt;pas/2,"Para","")</f>
        <v/>
      </c>
      <c r="AA786" s="456" t="str">
        <f aca="false">IF(ABS(t-T_satellite)&lt;pas/2,"Satellite","")</f>
        <v/>
      </c>
      <c r="AB786" s="444"/>
      <c r="AC786" s="452" t="e">
        <f aca="false">IF(ABS(t-ROUND(t,0))&lt;0.001,t,NA())</f>
        <v>#N/A</v>
      </c>
      <c r="AD786" s="457" t="e">
        <f aca="false">IF(ABS(t-ROUND(t,0))&lt;0.001,pos_x,NA())</f>
        <v>#N/A</v>
      </c>
      <c r="AE786" s="458" t="e">
        <f aca="false">IF(t&lt;T_para, pos_z, NA())</f>
        <v>#N/A</v>
      </c>
      <c r="AF786" s="444"/>
      <c r="AG786" s="450" t="n">
        <f aca="false">IF(AND(L785&lt;L_rampe,Poussee&lt;Poids*SIN(M785)),0,(-W785+Poussee)/m-Poids*SIN(M785)/m)</f>
        <v>3.69853365028638</v>
      </c>
      <c r="AH786" s="449" t="n">
        <f aca="false">IF(AND(L785&lt;L_rampe,Poussee&lt;Poids*SIN(M785)), g*SIN(M785), (-W785+Poussee)/m)</f>
        <v>-6.01922980727703</v>
      </c>
    </row>
    <row r="787" customFormat="false" ht="12" hidden="false" customHeight="false" outlineLevel="0" collapsed="false">
      <c r="A787" s="448" t="n">
        <f aca="false">IF(B786+0.01&lt;=T_ini+ROUNDUP(Temps_fin_propu,0), 0.01, IF(K786&gt;0, 0.1, 0.0001))</f>
        <v>0.0001</v>
      </c>
      <c r="B787" s="449" t="n">
        <f aca="false">B786+pas</f>
        <v>35.7066000000004</v>
      </c>
      <c r="C787" s="432"/>
      <c r="D787" s="450" t="n">
        <f aca="false">IF(AND(L786&lt;L_rampe,Poussee&lt;Poids*SIN(M786)),0,(-W786+Poussee)/m*COS(M786)-U786/m*SIN(M786))</f>
        <v>-0.823473338184646</v>
      </c>
      <c r="E787" s="451" t="n">
        <f aca="false">IF(AND(L786&lt;L_rampe,Poussee&lt;Poids*SIN(M786)),0,(-W786+Poussee)/m*SIN(M786)+U786/m*COS(M786)-Poids/m)</f>
        <v>-3.84732390415333</v>
      </c>
      <c r="F787" s="449" t="n">
        <f aca="false">SQRT(acc_x^2+acc_z^2)</f>
        <v>3.93446432976214</v>
      </c>
      <c r="G787" s="450" t="n">
        <f aca="false">G786+acc_x*pas</f>
        <v>18.904225340832</v>
      </c>
      <c r="H787" s="451" t="n">
        <f aca="false">H786+acc_z*pas</f>
        <v>-136.88431082191</v>
      </c>
      <c r="I787" s="449" t="n">
        <f aca="false">SQRT(vit_x^2+vit_z^2)</f>
        <v>138.1835166904</v>
      </c>
      <c r="J787" s="450" t="n">
        <f aca="false">J786+0.5*(vit_x+G786)*pas*(K786&gt;=0)</f>
        <v>1017.12580762709</v>
      </c>
      <c r="K787" s="451" t="n">
        <f aca="false">K786+0.5*(vit_z+H786)*pas</f>
        <v>-13.3196724262858</v>
      </c>
      <c r="L787" s="449" t="n">
        <f aca="false">SQRT(pos_x^2+pos_z^2)</f>
        <v>1017.21301712798</v>
      </c>
      <c r="M787" s="450" t="n">
        <f aca="false">IF(AND(L786&gt;L_rampe,G787&gt;0),ATAN2(G787,H787),$M$4)</f>
        <v>-1.43356074649709</v>
      </c>
      <c r="N787" s="449" t="n">
        <f aca="false">DEGREES(Beta)</f>
        <v>-82.1369804499068</v>
      </c>
      <c r="O787" s="438"/>
      <c r="P787" s="452" t="n">
        <f aca="false">MATCH(t-pas/2-T_ini,CdP_t)</f>
        <v>23</v>
      </c>
      <c r="Q787" s="449" t="n">
        <f aca="false">(INDEX(CdP,2,i_P+1)-INDEX(CdP,2,i_P+0))/(INDEX(CdP,1,i_P+1)-INDEX(CdP,1,i_P+0))*(t-pas/2-T_ini-INDEX(CdP,1,i_P+0))+INDEX(CdP,2,i_P+0)</f>
        <v>0</v>
      </c>
      <c r="R787" s="450" t="n">
        <f aca="false">Poussee/(g*ISP)</f>
        <v>0</v>
      </c>
      <c r="S787" s="451" t="n">
        <f aca="false">S786-Débit*pas</f>
        <v>8.652</v>
      </c>
      <c r="T787" s="449" t="n">
        <f aca="false">m*g</f>
        <v>84.87612</v>
      </c>
      <c r="U787" s="453" t="n">
        <f aca="false">IF(pos_xz&lt;L_rampe,Poids*COS(Beta),0)</f>
        <v>0</v>
      </c>
      <c r="V787" s="450" t="n">
        <f aca="false">Rho_moyen*(20000-Alt_rampe-pos_z)/(20000+Alt_rampe+pos_z)</f>
        <v>1.22663274725515</v>
      </c>
      <c r="W787" s="449" t="n">
        <f aca="false">1/2*Rho*Sref*Cx*vit_xz^2</f>
        <v>52.0790764287309</v>
      </c>
      <c r="X787" s="438"/>
      <c r="Y787" s="454" t="str">
        <f aca="false">IF(AND(pos_z&lt;=0,K786&gt;0),"Impact balistique","") &amp; IF(AND(H788&lt;0,vit_z&gt;=0),"Apogée","") &amp; IF(AND(Poussee=0,Q786&gt;0),"Fin de propulsion","") &amp; IF(AND(L788&gt;L_rampe,pos_xz&lt;=L_rampe),"Sortie de rampe","")</f>
        <v/>
      </c>
      <c r="Z787" s="455" t="str">
        <f aca="false">IF(ABS(t-T_para)&lt;pas/2,"Para","")</f>
        <v/>
      </c>
      <c r="AA787" s="456" t="str">
        <f aca="false">IF(ABS(t-T_satellite)&lt;pas/2,"Satellite","")</f>
        <v/>
      </c>
      <c r="AB787" s="444"/>
      <c r="AC787" s="452" t="e">
        <f aca="false">IF(ABS(t-ROUND(t,0))&lt;0.001,t,NA())</f>
        <v>#N/A</v>
      </c>
      <c r="AD787" s="457" t="e">
        <f aca="false">IF(ABS(t-ROUND(t,0))&lt;0.001,pos_x,NA())</f>
        <v>#N/A</v>
      </c>
      <c r="AE787" s="458" t="e">
        <f aca="false">IF(t&lt;T_para, pos_z, NA())</f>
        <v>#N/A</v>
      </c>
      <c r="AF787" s="444"/>
      <c r="AG787" s="450" t="n">
        <f aca="false">IF(AND(L786&lt;L_rampe,Poussee&lt;Poids*SIN(M786)),0,(-W786+Poussee)/m-Poids*SIN(M786)/m)</f>
        <v>3.69849449274017</v>
      </c>
      <c r="AH787" s="449" t="n">
        <f aca="false">IF(AND(L786&lt;L_rampe,Poussee&lt;Poids*SIN(M786)), g*SIN(M786), (-W786+Poussee)/m)</f>
        <v>-6.01927026828686</v>
      </c>
    </row>
    <row r="788" customFormat="false" ht="12" hidden="false" customHeight="false" outlineLevel="0" collapsed="false">
      <c r="A788" s="448" t="n">
        <f aca="false">IF(B787+0.01&lt;=T_ini+ROUNDUP(Temps_fin_propu,0), 0.01, IF(K787&gt;0, 0.1, 0.0001))</f>
        <v>0.0001</v>
      </c>
      <c r="B788" s="449" t="n">
        <f aca="false">B787+pas</f>
        <v>35.7067000000004</v>
      </c>
      <c r="C788" s="432"/>
      <c r="D788" s="450" t="n">
        <f aca="false">IF(AND(L787&lt;L_rampe,Poussee&lt;Poids*SIN(M787)),0,(-W787+Poussee)/m*COS(M787)-U787/m*SIN(M787))</f>
        <v>-0.823473082361623</v>
      </c>
      <c r="E788" s="451" t="n">
        <f aca="false">IF(AND(L787&lt;L_rampe,Poussee&lt;Poids*SIN(M787)),0,(-W787+Poussee)/m*SIN(M787)+U787/m*COS(M787)-Poids/m)</f>
        <v>-3.84728302391769</v>
      </c>
      <c r="F788" s="449" t="n">
        <f aca="false">SQRT(acc_x^2+acc_z^2)</f>
        <v>3.93442430140667</v>
      </c>
      <c r="G788" s="450" t="n">
        <f aca="false">G787+acc_x*pas</f>
        <v>18.9041429935238</v>
      </c>
      <c r="H788" s="451" t="n">
        <f aca="false">H787+acc_z*pas</f>
        <v>-136.884695550212</v>
      </c>
      <c r="I788" s="449" t="n">
        <f aca="false">SQRT(vit_x^2+vit_z^2)</f>
        <v>138.183886535999</v>
      </c>
      <c r="J788" s="450" t="n">
        <f aca="false">J787+0.5*(vit_x+G787)*pas*(K787&gt;=0)</f>
        <v>1017.12580762709</v>
      </c>
      <c r="K788" s="451" t="n">
        <f aca="false">K787+0.5*(vit_z+H787)*pas</f>
        <v>-13.3333608766044</v>
      </c>
      <c r="L788" s="449" t="n">
        <f aca="false">SQRT(pos_x^2+pos_z^2)</f>
        <v>1017.21319646047</v>
      </c>
      <c r="M788" s="450" t="n">
        <f aca="false">IF(AND(L787&gt;L_rampe,G788&gt;0),ATAN2(G788,H788),$M$4)</f>
        <v>-1.43356171770955</v>
      </c>
      <c r="N788" s="449" t="n">
        <f aca="false">DEGREES(Beta)</f>
        <v>-82.1370360962822</v>
      </c>
      <c r="O788" s="438"/>
      <c r="P788" s="452" t="n">
        <f aca="false">MATCH(t-pas/2-T_ini,CdP_t)</f>
        <v>23</v>
      </c>
      <c r="Q788" s="449" t="n">
        <f aca="false">(INDEX(CdP,2,i_P+1)-INDEX(CdP,2,i_P+0))/(INDEX(CdP,1,i_P+1)-INDEX(CdP,1,i_P+0))*(t-pas/2-T_ini-INDEX(CdP,1,i_P+0))+INDEX(CdP,2,i_P+0)</f>
        <v>0</v>
      </c>
      <c r="R788" s="450" t="n">
        <f aca="false">Poussee/(g*ISP)</f>
        <v>0</v>
      </c>
      <c r="S788" s="451" t="n">
        <f aca="false">S787-Débit*pas</f>
        <v>8.652</v>
      </c>
      <c r="T788" s="449" t="n">
        <f aca="false">m*g</f>
        <v>84.87612</v>
      </c>
      <c r="U788" s="453" t="n">
        <f aca="false">IF(pos_xz&lt;L_rampe,Poids*COS(Beta),0)</f>
        <v>0</v>
      </c>
      <c r="V788" s="450" t="n">
        <f aca="false">Rho_moyen*(20000-Alt_rampe-pos_z)/(20000+Alt_rampe+pos_z)</f>
        <v>1.22663442632719</v>
      </c>
      <c r="W788" s="449" t="n">
        <f aca="false">1/2*Rho*Sref*Cx*vit_xz^2</f>
        <v>52.0794264950996</v>
      </c>
      <c r="X788" s="438"/>
      <c r="Y788" s="454" t="str">
        <f aca="false">IF(AND(pos_z&lt;=0,K787&gt;0),"Impact balistique","") &amp; IF(AND(H789&lt;0,vit_z&gt;=0),"Apogée","") &amp; IF(AND(Poussee=0,Q787&gt;0),"Fin de propulsion","") &amp; IF(AND(L789&gt;L_rampe,pos_xz&lt;=L_rampe),"Sortie de rampe","")</f>
        <v/>
      </c>
      <c r="Z788" s="455" t="str">
        <f aca="false">IF(ABS(t-T_para)&lt;pas/2,"Para","")</f>
        <v/>
      </c>
      <c r="AA788" s="456" t="str">
        <f aca="false">IF(ABS(t-T_satellite)&lt;pas/2,"Satellite","")</f>
        <v/>
      </c>
      <c r="AB788" s="444"/>
      <c r="AC788" s="452" t="e">
        <f aca="false">IF(ABS(t-ROUND(t,0))&lt;0.001,t,NA())</f>
        <v>#N/A</v>
      </c>
      <c r="AD788" s="457" t="e">
        <f aca="false">IF(ABS(t-ROUND(t,0))&lt;0.001,pos_x,NA())</f>
        <v>#N/A</v>
      </c>
      <c r="AE788" s="458" t="e">
        <f aca="false">IF(t&lt;T_para, pos_z, NA())</f>
        <v>#N/A</v>
      </c>
      <c r="AF788" s="444"/>
      <c r="AG788" s="450" t="n">
        <f aca="false">IF(AND(L787&lt;L_rampe,Poussee&lt;Poids*SIN(M787)),0,(-W787+Poussee)/m-Poids*SIN(M787)/m)</f>
        <v>3.69845533530437</v>
      </c>
      <c r="AH788" s="449" t="n">
        <f aca="false">IF(AND(L787&lt;L_rampe,Poussee&lt;Poids*SIN(M787)), g*SIN(M787), (-W787+Poussee)/m)</f>
        <v>-6.01931072916446</v>
      </c>
    </row>
    <row r="789" customFormat="false" ht="12" hidden="false" customHeight="false" outlineLevel="0" collapsed="false">
      <c r="A789" s="448" t="n">
        <f aca="false">IF(B788+0.01&lt;=T_ini+ROUNDUP(Temps_fin_propu,0), 0.01, IF(K788&gt;0, 0.1, 0.0001))</f>
        <v>0.0001</v>
      </c>
      <c r="B789" s="449" t="n">
        <f aca="false">B788+pas</f>
        <v>35.7068000000004</v>
      </c>
      <c r="C789" s="432"/>
      <c r="D789" s="450" t="n">
        <f aca="false">IF(AND(L788&lt;L_rampe,Poussee&lt;Poids*SIN(M788)),0,(-W788+Poussee)/m*COS(M788)-U788/m*SIN(M788))</f>
        <v>-0.823472826498105</v>
      </c>
      <c r="E789" s="451" t="n">
        <f aca="false">IF(AND(L788&lt;L_rampe,Poussee&lt;Poids*SIN(M788)),0,(-W788+Poussee)/m*SIN(M788)+U788/m*COS(M788)-Poids/m)</f>
        <v>-3.84724214381568</v>
      </c>
      <c r="F789" s="449" t="n">
        <f aca="false">SQRT(acc_x^2+acc_z^2)</f>
        <v>3.93438427319095</v>
      </c>
      <c r="G789" s="450" t="n">
        <f aca="false">G788+acc_x*pas</f>
        <v>18.9040606462411</v>
      </c>
      <c r="H789" s="451" t="n">
        <f aca="false">H788+acc_z*pas</f>
        <v>-136.885080274426</v>
      </c>
      <c r="I789" s="449" t="n">
        <f aca="false">SQRT(vit_x^2+vit_z^2)</f>
        <v>138.184256377682</v>
      </c>
      <c r="J789" s="450" t="n">
        <f aca="false">J788+0.5*(vit_x+G788)*pas*(K788&gt;=0)</f>
        <v>1017.12580762709</v>
      </c>
      <c r="K789" s="451" t="n">
        <f aca="false">K788+0.5*(vit_z+H788)*pas</f>
        <v>-13.3470493653956</v>
      </c>
      <c r="L789" s="449" t="n">
        <f aca="false">SQRT(pos_x^2+pos_z^2)</f>
        <v>1017.21337597764</v>
      </c>
      <c r="M789" s="450" t="n">
        <f aca="false">IF(AND(L788&gt;L_rampe,G789&gt;0),ATAN2(G789,H789),$M$4)</f>
        <v>-1.43356268891259</v>
      </c>
      <c r="N789" s="449" t="n">
        <f aca="false">DEGREES(Beta)</f>
        <v>-82.1370917421172</v>
      </c>
      <c r="O789" s="438"/>
      <c r="P789" s="452" t="n">
        <f aca="false">MATCH(t-pas/2-T_ini,CdP_t)</f>
        <v>23</v>
      </c>
      <c r="Q789" s="449" t="n">
        <f aca="false">(INDEX(CdP,2,i_P+1)-INDEX(CdP,2,i_P+0))/(INDEX(CdP,1,i_P+1)-INDEX(CdP,1,i_P+0))*(t-pas/2-T_ini-INDEX(CdP,1,i_P+0))+INDEX(CdP,2,i_P+0)</f>
        <v>0</v>
      </c>
      <c r="R789" s="450" t="n">
        <f aca="false">Poussee/(g*ISP)</f>
        <v>0</v>
      </c>
      <c r="S789" s="451" t="n">
        <f aca="false">S788-Débit*pas</f>
        <v>8.652</v>
      </c>
      <c r="T789" s="449" t="n">
        <f aca="false">m*g</f>
        <v>84.87612</v>
      </c>
      <c r="U789" s="453" t="n">
        <f aca="false">IF(pos_xz&lt;L_rampe,Poids*COS(Beta),0)</f>
        <v>0</v>
      </c>
      <c r="V789" s="450" t="n">
        <f aca="false">Rho_moyen*(20000-Alt_rampe-pos_z)/(20000+Alt_rampe+pos_z)</f>
        <v>1.22663610540624</v>
      </c>
      <c r="W789" s="449" t="n">
        <f aca="false">1/2*Rho*Sref*Cx*vit_xz^2</f>
        <v>52.0797765603242</v>
      </c>
      <c r="X789" s="438"/>
      <c r="Y789" s="454" t="str">
        <f aca="false">IF(AND(pos_z&lt;=0,K788&gt;0),"Impact balistique","") &amp; IF(AND(H790&lt;0,vit_z&gt;=0),"Apogée","") &amp; IF(AND(Poussee=0,Q788&gt;0),"Fin de propulsion","") &amp; IF(AND(L790&gt;L_rampe,pos_xz&lt;=L_rampe),"Sortie de rampe","")</f>
        <v/>
      </c>
      <c r="Z789" s="455" t="str">
        <f aca="false">IF(ABS(t-T_para)&lt;pas/2,"Para","")</f>
        <v/>
      </c>
      <c r="AA789" s="456" t="str">
        <f aca="false">IF(ABS(t-T_satellite)&lt;pas/2,"Satellite","")</f>
        <v/>
      </c>
      <c r="AB789" s="444"/>
      <c r="AC789" s="452" t="e">
        <f aca="false">IF(ABS(t-ROUND(t,0))&lt;0.001,t,NA())</f>
        <v>#N/A</v>
      </c>
      <c r="AD789" s="457" t="e">
        <f aca="false">IF(ABS(t-ROUND(t,0))&lt;0.001,pos_x,NA())</f>
        <v>#N/A</v>
      </c>
      <c r="AE789" s="458" t="e">
        <f aca="false">IF(t&lt;T_para, pos_z, NA())</f>
        <v>#N/A</v>
      </c>
      <c r="AF789" s="444"/>
      <c r="AG789" s="450" t="n">
        <f aca="false">IF(AND(L788&lt;L_rampe,Poussee&lt;Poids*SIN(M788)),0,(-W788+Poussee)/m-Poids*SIN(M788)/m)</f>
        <v>3.698416177979</v>
      </c>
      <c r="AH789" s="449" t="n">
        <f aca="false">IF(AND(L788&lt;L_rampe,Poussee&lt;Poids*SIN(M788)), g*SIN(M788), (-W788+Poussee)/m)</f>
        <v>-6.01935118990981</v>
      </c>
    </row>
    <row r="790" customFormat="false" ht="12" hidden="false" customHeight="false" outlineLevel="0" collapsed="false">
      <c r="A790" s="448" t="n">
        <f aca="false">IF(B789+0.01&lt;=T_ini+ROUNDUP(Temps_fin_propu,0), 0.01, IF(K789&gt;0, 0.1, 0.0001))</f>
        <v>0.0001</v>
      </c>
      <c r="B790" s="449" t="n">
        <f aca="false">B789+pas</f>
        <v>35.7069000000004</v>
      </c>
      <c r="C790" s="432"/>
      <c r="D790" s="450" t="n">
        <f aca="false">IF(AND(L789&lt;L_rampe,Poussee&lt;Poids*SIN(M789)),0,(-W789+Poussee)/m*COS(M789)-U789/m*SIN(M789))</f>
        <v>-0.82347257059409</v>
      </c>
      <c r="E790" s="451" t="n">
        <f aca="false">IF(AND(L789&lt;L_rampe,Poussee&lt;Poids*SIN(M789)),0,(-W789+Poussee)/m*SIN(M789)+U789/m*COS(M789)-Poids/m)</f>
        <v>-3.84720126384732</v>
      </c>
      <c r="F790" s="449" t="n">
        <f aca="false">SQRT(acc_x^2+acc_z^2)</f>
        <v>3.93434424511497</v>
      </c>
      <c r="G790" s="450" t="n">
        <f aca="false">G789+acc_x*pas</f>
        <v>18.9039782989841</v>
      </c>
      <c r="H790" s="451" t="n">
        <f aca="false">H789+acc_z*pas</f>
        <v>-136.885464994553</v>
      </c>
      <c r="I790" s="449" t="n">
        <f aca="false">SQRT(vit_x^2+vit_z^2)</f>
        <v>138.184626215449</v>
      </c>
      <c r="J790" s="450" t="n">
        <f aca="false">J789+0.5*(vit_x+G789)*pas*(K789&gt;=0)</f>
        <v>1017.12580762709</v>
      </c>
      <c r="K790" s="451" t="n">
        <f aca="false">K789+0.5*(vit_z+H789)*pas</f>
        <v>-13.3607378926591</v>
      </c>
      <c r="L790" s="449" t="n">
        <f aca="false">SQRT(pos_x^2+pos_z^2)</f>
        <v>1017.21355567948</v>
      </c>
      <c r="M790" s="450" t="n">
        <f aca="false">IF(AND(L789&gt;L_rampe,G790&gt;0),ATAN2(G790,H790),$M$4)</f>
        <v>-1.4335636601062</v>
      </c>
      <c r="N790" s="449" t="n">
        <f aca="false">DEGREES(Beta)</f>
        <v>-82.1371473874121</v>
      </c>
      <c r="O790" s="438"/>
      <c r="P790" s="452" t="n">
        <f aca="false">MATCH(t-pas/2-T_ini,CdP_t)</f>
        <v>23</v>
      </c>
      <c r="Q790" s="449" t="n">
        <f aca="false">(INDEX(CdP,2,i_P+1)-INDEX(CdP,2,i_P+0))/(INDEX(CdP,1,i_P+1)-INDEX(CdP,1,i_P+0))*(t-pas/2-T_ini-INDEX(CdP,1,i_P+0))+INDEX(CdP,2,i_P+0)</f>
        <v>0</v>
      </c>
      <c r="R790" s="450" t="n">
        <f aca="false">Poussee/(g*ISP)</f>
        <v>0</v>
      </c>
      <c r="S790" s="451" t="n">
        <f aca="false">S789-Débit*pas</f>
        <v>8.652</v>
      </c>
      <c r="T790" s="449" t="n">
        <f aca="false">m*g</f>
        <v>84.87612</v>
      </c>
      <c r="U790" s="453" t="n">
        <f aca="false">IF(pos_xz&lt;L_rampe,Poids*COS(Beta),0)</f>
        <v>0</v>
      </c>
      <c r="V790" s="450" t="n">
        <f aca="false">Rho_moyen*(20000-Alt_rampe-pos_z)/(20000+Alt_rampe+pos_z)</f>
        <v>1.22663778449232</v>
      </c>
      <c r="W790" s="449" t="n">
        <f aca="false">1/2*Rho*Sref*Cx*vit_xz^2</f>
        <v>52.0801266244045</v>
      </c>
      <c r="X790" s="438"/>
      <c r="Y790" s="454" t="str">
        <f aca="false">IF(AND(pos_z&lt;=0,K789&gt;0),"Impact balistique","") &amp; IF(AND(H791&lt;0,vit_z&gt;=0),"Apogée","") &amp; IF(AND(Poussee=0,Q789&gt;0),"Fin de propulsion","") &amp; IF(AND(L791&gt;L_rampe,pos_xz&lt;=L_rampe),"Sortie de rampe","")</f>
        <v/>
      </c>
      <c r="Z790" s="455" t="str">
        <f aca="false">IF(ABS(t-T_para)&lt;pas/2,"Para","")</f>
        <v/>
      </c>
      <c r="AA790" s="456" t="str">
        <f aca="false">IF(ABS(t-T_satellite)&lt;pas/2,"Satellite","")</f>
        <v/>
      </c>
      <c r="AB790" s="444"/>
      <c r="AC790" s="452" t="e">
        <f aca="false">IF(ABS(t-ROUND(t,0))&lt;0.001,t,NA())</f>
        <v>#N/A</v>
      </c>
      <c r="AD790" s="457" t="e">
        <f aca="false">IF(ABS(t-ROUND(t,0))&lt;0.001,pos_x,NA())</f>
        <v>#N/A</v>
      </c>
      <c r="AE790" s="458" t="e">
        <f aca="false">IF(t&lt;T_para, pos_z, NA())</f>
        <v>#N/A</v>
      </c>
      <c r="AF790" s="444"/>
      <c r="AG790" s="450" t="n">
        <f aca="false">IF(AND(L789&lt;L_rampe,Poussee&lt;Poids*SIN(M789)),0,(-W789+Poussee)/m-Poids*SIN(M789)/m)</f>
        <v>3.69837702076406</v>
      </c>
      <c r="AH790" s="449" t="n">
        <f aca="false">IF(AND(L789&lt;L_rampe,Poussee&lt;Poids*SIN(M789)), g*SIN(M789), (-W789+Poussee)/m)</f>
        <v>-6.0193916505229</v>
      </c>
    </row>
    <row r="791" customFormat="false" ht="12" hidden="false" customHeight="false" outlineLevel="0" collapsed="false">
      <c r="A791" s="448" t="n">
        <f aca="false">IF(B790+0.01&lt;=T_ini+ROUNDUP(Temps_fin_propu,0), 0.01, IF(K790&gt;0, 0.1, 0.0001))</f>
        <v>0.0001</v>
      </c>
      <c r="B791" s="449" t="n">
        <f aca="false">B790+pas</f>
        <v>35.7070000000004</v>
      </c>
      <c r="C791" s="432"/>
      <c r="D791" s="450" t="n">
        <f aca="false">IF(AND(L790&lt;L_rampe,Poussee&lt;Poids*SIN(M790)),0,(-W790+Poussee)/m*COS(M790)-U790/m*SIN(M790))</f>
        <v>-0.823472314649579</v>
      </c>
      <c r="E791" s="451" t="n">
        <f aca="false">IF(AND(L790&lt;L_rampe,Poussee&lt;Poids*SIN(M790)),0,(-W790+Poussee)/m*SIN(M790)+U790/m*COS(M790)-Poids/m)</f>
        <v>-3.8471603840126</v>
      </c>
      <c r="F791" s="449" t="n">
        <f aca="false">SQRT(acc_x^2+acc_z^2)</f>
        <v>3.93430421717873</v>
      </c>
      <c r="G791" s="450" t="n">
        <f aca="false">G790+acc_x*pas</f>
        <v>18.9038959517526</v>
      </c>
      <c r="H791" s="451" t="n">
        <f aca="false">H790+acc_z*pas</f>
        <v>-136.885849710591</v>
      </c>
      <c r="I791" s="449" t="n">
        <f aca="false">SQRT(vit_x^2+vit_z^2)</f>
        <v>138.184996049301</v>
      </c>
      <c r="J791" s="450" t="n">
        <f aca="false">J790+0.5*(vit_x+G790)*pas*(K790&gt;=0)</f>
        <v>1017.12580762709</v>
      </c>
      <c r="K791" s="451" t="n">
        <f aca="false">K790+0.5*(vit_z+H790)*pas</f>
        <v>-13.3744264583943</v>
      </c>
      <c r="L791" s="449" t="n">
        <f aca="false">SQRT(pos_x^2+pos_z^2)</f>
        <v>1017.21373556601</v>
      </c>
      <c r="M791" s="450" t="n">
        <f aca="false">IF(AND(L790&gt;L_rampe,G791&gt;0),ATAN2(G791,H791),$M$4)</f>
        <v>-1.43356463129038</v>
      </c>
      <c r="N791" s="449" t="n">
        <f aca="false">DEGREES(Beta)</f>
        <v>-82.1372030321666</v>
      </c>
      <c r="O791" s="438"/>
      <c r="P791" s="452" t="n">
        <f aca="false">MATCH(t-pas/2-T_ini,CdP_t)</f>
        <v>23</v>
      </c>
      <c r="Q791" s="449" t="n">
        <f aca="false">(INDEX(CdP,2,i_P+1)-INDEX(CdP,2,i_P+0))/(INDEX(CdP,1,i_P+1)-INDEX(CdP,1,i_P+0))*(t-pas/2-T_ini-INDEX(CdP,1,i_P+0))+INDEX(CdP,2,i_P+0)</f>
        <v>0</v>
      </c>
      <c r="R791" s="450" t="n">
        <f aca="false">Poussee/(g*ISP)</f>
        <v>0</v>
      </c>
      <c r="S791" s="451" t="n">
        <f aca="false">S790-Débit*pas</f>
        <v>8.652</v>
      </c>
      <c r="T791" s="449" t="n">
        <f aca="false">m*g</f>
        <v>84.87612</v>
      </c>
      <c r="U791" s="453" t="n">
        <f aca="false">IF(pos_xz&lt;L_rampe,Poids*COS(Beta),0)</f>
        <v>0</v>
      </c>
      <c r="V791" s="450" t="n">
        <f aca="false">Rho_moyen*(20000-Alt_rampe-pos_z)/(20000+Alt_rampe+pos_z)</f>
        <v>1.22663946358541</v>
      </c>
      <c r="W791" s="449" t="n">
        <f aca="false">1/2*Rho*Sref*Cx*vit_xz^2</f>
        <v>52.0804766873406</v>
      </c>
      <c r="X791" s="438"/>
      <c r="Y791" s="454" t="str">
        <f aca="false">IF(AND(pos_z&lt;=0,K790&gt;0),"Impact balistique","") &amp; IF(AND(H792&lt;0,vit_z&gt;=0),"Apogée","") &amp; IF(AND(Poussee=0,Q790&gt;0),"Fin de propulsion","") &amp; IF(AND(L792&gt;L_rampe,pos_xz&lt;=L_rampe),"Sortie de rampe","")</f>
        <v/>
      </c>
      <c r="Z791" s="455" t="str">
        <f aca="false">IF(ABS(t-T_para)&lt;pas/2,"Para","")</f>
        <v/>
      </c>
      <c r="AA791" s="456" t="str">
        <f aca="false">IF(ABS(t-T_satellite)&lt;pas/2,"Satellite","")</f>
        <v/>
      </c>
      <c r="AB791" s="444"/>
      <c r="AC791" s="452" t="e">
        <f aca="false">IF(ABS(t-ROUND(t,0))&lt;0.001,t,NA())</f>
        <v>#N/A</v>
      </c>
      <c r="AD791" s="457" t="e">
        <f aca="false">IF(ABS(t-ROUND(t,0))&lt;0.001,pos_x,NA())</f>
        <v>#N/A</v>
      </c>
      <c r="AE791" s="458" t="e">
        <f aca="false">IF(t&lt;T_para, pos_z, NA())</f>
        <v>#N/A</v>
      </c>
      <c r="AF791" s="444"/>
      <c r="AG791" s="450" t="n">
        <f aca="false">IF(AND(L790&lt;L_rampe,Poussee&lt;Poids*SIN(M790)),0,(-W790+Poussee)/m-Poids*SIN(M790)/m)</f>
        <v>3.69833786365955</v>
      </c>
      <c r="AH791" s="449" t="n">
        <f aca="false">IF(AND(L790&lt;L_rampe,Poussee&lt;Poids*SIN(M790)), g*SIN(M790), (-W790+Poussee)/m)</f>
        <v>-6.01943211100376</v>
      </c>
    </row>
    <row r="792" customFormat="false" ht="12" hidden="false" customHeight="false" outlineLevel="0" collapsed="false">
      <c r="A792" s="448" t="n">
        <f aca="false">IF(B791+0.01&lt;=T_ini+ROUNDUP(Temps_fin_propu,0), 0.01, IF(K791&gt;0, 0.1, 0.0001))</f>
        <v>0.0001</v>
      </c>
      <c r="B792" s="449" t="n">
        <f aca="false">B791+pas</f>
        <v>35.7071000000004</v>
      </c>
      <c r="C792" s="432"/>
      <c r="D792" s="450" t="n">
        <f aca="false">IF(AND(L791&lt;L_rampe,Poussee&lt;Poids*SIN(M791)),0,(-W791+Poussee)/m*COS(M791)-U791/m*SIN(M791))</f>
        <v>-0.823472058664573</v>
      </c>
      <c r="E792" s="451" t="n">
        <f aca="false">IF(AND(L791&lt;L_rampe,Poussee&lt;Poids*SIN(M791)),0,(-W791+Poussee)/m*SIN(M791)+U791/m*COS(M791)-Poids/m)</f>
        <v>-3.84711950431152</v>
      </c>
      <c r="F792" s="449" t="n">
        <f aca="false">SQRT(acc_x^2+acc_z^2)</f>
        <v>3.93426418938223</v>
      </c>
      <c r="G792" s="450" t="n">
        <f aca="false">G791+acc_x*pas</f>
        <v>18.9038136045467</v>
      </c>
      <c r="H792" s="451" t="n">
        <f aca="false">H791+acc_z*pas</f>
        <v>-136.886234422542</v>
      </c>
      <c r="I792" s="449" t="n">
        <f aca="false">SQRT(vit_x^2+vit_z^2)</f>
        <v>138.185365879236</v>
      </c>
      <c r="J792" s="450" t="n">
        <f aca="false">J791+0.5*(vit_x+G791)*pas*(K791&gt;=0)</f>
        <v>1017.12580762709</v>
      </c>
      <c r="K792" s="451" t="n">
        <f aca="false">K791+0.5*(vit_z+H791)*pas</f>
        <v>-13.388115062601</v>
      </c>
      <c r="L792" s="449" t="n">
        <f aca="false">SQRT(pos_x^2+pos_z^2)</f>
        <v>1017.21391563721</v>
      </c>
      <c r="M792" s="450" t="n">
        <f aca="false">IF(AND(L791&gt;L_rampe,G792&gt;0),ATAN2(G792,H792),$M$4)</f>
        <v>-1.43356560246513</v>
      </c>
      <c r="N792" s="449" t="n">
        <f aca="false">DEGREES(Beta)</f>
        <v>-82.137258676381</v>
      </c>
      <c r="O792" s="438"/>
      <c r="P792" s="452" t="n">
        <f aca="false">MATCH(t-pas/2-T_ini,CdP_t)</f>
        <v>23</v>
      </c>
      <c r="Q792" s="449" t="n">
        <f aca="false">(INDEX(CdP,2,i_P+1)-INDEX(CdP,2,i_P+0))/(INDEX(CdP,1,i_P+1)-INDEX(CdP,1,i_P+0))*(t-pas/2-T_ini-INDEX(CdP,1,i_P+0))+INDEX(CdP,2,i_P+0)</f>
        <v>0</v>
      </c>
      <c r="R792" s="450" t="n">
        <f aca="false">Poussee/(g*ISP)</f>
        <v>0</v>
      </c>
      <c r="S792" s="451" t="n">
        <f aca="false">S791-Débit*pas</f>
        <v>8.652</v>
      </c>
      <c r="T792" s="449" t="n">
        <f aca="false">m*g</f>
        <v>84.87612</v>
      </c>
      <c r="U792" s="453" t="n">
        <f aca="false">IF(pos_xz&lt;L_rampe,Poids*COS(Beta),0)</f>
        <v>0</v>
      </c>
      <c r="V792" s="450" t="n">
        <f aca="false">Rho_moyen*(20000-Alt_rampe-pos_z)/(20000+Alt_rampe+pos_z)</f>
        <v>1.22664114268552</v>
      </c>
      <c r="W792" s="449" t="n">
        <f aca="false">1/2*Rho*Sref*Cx*vit_xz^2</f>
        <v>52.0808267491324</v>
      </c>
      <c r="X792" s="438"/>
      <c r="Y792" s="454" t="str">
        <f aca="false">IF(AND(pos_z&lt;=0,K791&gt;0),"Impact balistique","") &amp; IF(AND(H793&lt;0,vit_z&gt;=0),"Apogée","") &amp; IF(AND(Poussee=0,Q791&gt;0),"Fin de propulsion","") &amp; IF(AND(L793&gt;L_rampe,pos_xz&lt;=L_rampe),"Sortie de rampe","")</f>
        <v/>
      </c>
      <c r="Z792" s="455" t="str">
        <f aca="false">IF(ABS(t-T_para)&lt;pas/2,"Para","")</f>
        <v/>
      </c>
      <c r="AA792" s="456" t="str">
        <f aca="false">IF(ABS(t-T_satellite)&lt;pas/2,"Satellite","")</f>
        <v/>
      </c>
      <c r="AB792" s="444"/>
      <c r="AC792" s="452" t="e">
        <f aca="false">IF(ABS(t-ROUND(t,0))&lt;0.001,t,NA())</f>
        <v>#N/A</v>
      </c>
      <c r="AD792" s="457" t="e">
        <f aca="false">IF(ABS(t-ROUND(t,0))&lt;0.001,pos_x,NA())</f>
        <v>#N/A</v>
      </c>
      <c r="AE792" s="458" t="e">
        <f aca="false">IF(t&lt;T_para, pos_z, NA())</f>
        <v>#N/A</v>
      </c>
      <c r="AF792" s="444"/>
      <c r="AG792" s="450" t="n">
        <f aca="false">IF(AND(L791&lt;L_rampe,Poussee&lt;Poids*SIN(M791)),0,(-W791+Poussee)/m-Poids*SIN(M791)/m)</f>
        <v>3.69829870666546</v>
      </c>
      <c r="AH792" s="449" t="n">
        <f aca="false">IF(AND(L791&lt;L_rampe,Poussee&lt;Poids*SIN(M791)), g*SIN(M791), (-W791+Poussee)/m)</f>
        <v>-6.01947257135235</v>
      </c>
    </row>
    <row r="793" customFormat="false" ht="12" hidden="false" customHeight="false" outlineLevel="0" collapsed="false">
      <c r="A793" s="448" t="n">
        <f aca="false">IF(B792+0.01&lt;=T_ini+ROUNDUP(Temps_fin_propu,0), 0.01, IF(K792&gt;0, 0.1, 0.0001))</f>
        <v>0.0001</v>
      </c>
      <c r="B793" s="449" t="n">
        <f aca="false">B792+pas</f>
        <v>35.7072000000004</v>
      </c>
      <c r="C793" s="432"/>
      <c r="D793" s="450" t="n">
        <f aca="false">IF(AND(L792&lt;L_rampe,Poussee&lt;Poids*SIN(M792)),0,(-W792+Poussee)/m*COS(M792)-U792/m*SIN(M792))</f>
        <v>-0.823471802639073</v>
      </c>
      <c r="E793" s="451" t="n">
        <f aca="false">IF(AND(L792&lt;L_rampe,Poussee&lt;Poids*SIN(M792)),0,(-W792+Poussee)/m*SIN(M792)+U792/m*COS(M792)-Poids/m)</f>
        <v>-3.8470786247441</v>
      </c>
      <c r="F793" s="449" t="n">
        <f aca="false">SQRT(acc_x^2+acc_z^2)</f>
        <v>3.93422416172549</v>
      </c>
      <c r="G793" s="450" t="n">
        <f aca="false">G792+acc_x*pas</f>
        <v>18.9037312573665</v>
      </c>
      <c r="H793" s="451" t="n">
        <f aca="false">H792+acc_z*pas</f>
        <v>-136.886619130404</v>
      </c>
      <c r="I793" s="449" t="n">
        <f aca="false">SQRT(vit_x^2+vit_z^2)</f>
        <v>138.185735705257</v>
      </c>
      <c r="J793" s="450" t="n">
        <f aca="false">J792+0.5*(vit_x+G792)*pas*(K792&gt;=0)</f>
        <v>1017.12580762709</v>
      </c>
      <c r="K793" s="451" t="n">
        <f aca="false">K792+0.5*(vit_z+H792)*pas</f>
        <v>-13.4018037052786</v>
      </c>
      <c r="L793" s="449" t="n">
        <f aca="false">SQRT(pos_x^2+pos_z^2)</f>
        <v>1017.2140958931</v>
      </c>
      <c r="M793" s="450" t="n">
        <f aca="false">IF(AND(L792&gt;L_rampe,G793&gt;0),ATAN2(G793,H793),$M$4)</f>
        <v>-1.43356657363045</v>
      </c>
      <c r="N793" s="449" t="n">
        <f aca="false">DEGREES(Beta)</f>
        <v>-82.1373143200551</v>
      </c>
      <c r="O793" s="438"/>
      <c r="P793" s="452" t="n">
        <f aca="false">MATCH(t-pas/2-T_ini,CdP_t)</f>
        <v>23</v>
      </c>
      <c r="Q793" s="449" t="n">
        <f aca="false">(INDEX(CdP,2,i_P+1)-INDEX(CdP,2,i_P+0))/(INDEX(CdP,1,i_P+1)-INDEX(CdP,1,i_P+0))*(t-pas/2-T_ini-INDEX(CdP,1,i_P+0))+INDEX(CdP,2,i_P+0)</f>
        <v>0</v>
      </c>
      <c r="R793" s="450" t="n">
        <f aca="false">Poussee/(g*ISP)</f>
        <v>0</v>
      </c>
      <c r="S793" s="451" t="n">
        <f aca="false">S792-Débit*pas</f>
        <v>8.652</v>
      </c>
      <c r="T793" s="449" t="n">
        <f aca="false">m*g</f>
        <v>84.87612</v>
      </c>
      <c r="U793" s="453" t="n">
        <f aca="false">IF(pos_xz&lt;L_rampe,Poids*COS(Beta),0)</f>
        <v>0</v>
      </c>
      <c r="V793" s="450" t="n">
        <f aca="false">Rho_moyen*(20000-Alt_rampe-pos_z)/(20000+Alt_rampe+pos_z)</f>
        <v>1.22664282179266</v>
      </c>
      <c r="W793" s="449" t="n">
        <f aca="false">1/2*Rho*Sref*Cx*vit_xz^2</f>
        <v>52.0811768097799</v>
      </c>
      <c r="X793" s="438"/>
      <c r="Y793" s="454" t="str">
        <f aca="false">IF(AND(pos_z&lt;=0,K792&gt;0),"Impact balistique","") &amp; IF(AND(H794&lt;0,vit_z&gt;=0),"Apogée","") &amp; IF(AND(Poussee=0,Q792&gt;0),"Fin de propulsion","") &amp; IF(AND(L794&gt;L_rampe,pos_xz&lt;=L_rampe),"Sortie de rampe","")</f>
        <v/>
      </c>
      <c r="Z793" s="455" t="str">
        <f aca="false">IF(ABS(t-T_para)&lt;pas/2,"Para","")</f>
        <v/>
      </c>
      <c r="AA793" s="456" t="str">
        <f aca="false">IF(ABS(t-T_satellite)&lt;pas/2,"Satellite","")</f>
        <v/>
      </c>
      <c r="AB793" s="444"/>
      <c r="AC793" s="452" t="e">
        <f aca="false">IF(ABS(t-ROUND(t,0))&lt;0.001,t,NA())</f>
        <v>#N/A</v>
      </c>
      <c r="AD793" s="457" t="e">
        <f aca="false">IF(ABS(t-ROUND(t,0))&lt;0.001,pos_x,NA())</f>
        <v>#N/A</v>
      </c>
      <c r="AE793" s="458" t="e">
        <f aca="false">IF(t&lt;T_para, pos_z, NA())</f>
        <v>#N/A</v>
      </c>
      <c r="AF793" s="444"/>
      <c r="AG793" s="450" t="n">
        <f aca="false">IF(AND(L792&lt;L_rampe,Poussee&lt;Poids*SIN(M792)),0,(-W792+Poussee)/m-Poids*SIN(M792)/m)</f>
        <v>3.69825954978182</v>
      </c>
      <c r="AH793" s="449" t="n">
        <f aca="false">IF(AND(L792&lt;L_rampe,Poussee&lt;Poids*SIN(M792)), g*SIN(M792), (-W792+Poussee)/m)</f>
        <v>-6.0195130315687</v>
      </c>
    </row>
    <row r="794" customFormat="false" ht="12" hidden="false" customHeight="false" outlineLevel="0" collapsed="false">
      <c r="A794" s="448" t="n">
        <f aca="false">IF(B793+0.01&lt;=T_ini+ROUNDUP(Temps_fin_propu,0), 0.01, IF(K793&gt;0, 0.1, 0.0001))</f>
        <v>0.0001</v>
      </c>
      <c r="B794" s="449" t="n">
        <f aca="false">B793+pas</f>
        <v>35.7073000000004</v>
      </c>
      <c r="C794" s="432"/>
      <c r="D794" s="450" t="n">
        <f aca="false">IF(AND(L793&lt;L_rampe,Poussee&lt;Poids*SIN(M793)),0,(-W793+Poussee)/m*COS(M793)-U793/m*SIN(M793))</f>
        <v>-0.823471546573077</v>
      </c>
      <c r="E794" s="451" t="n">
        <f aca="false">IF(AND(L793&lt;L_rampe,Poussee&lt;Poids*SIN(M793)),0,(-W793+Poussee)/m*SIN(M793)+U793/m*COS(M793)-Poids/m)</f>
        <v>-3.84703774531033</v>
      </c>
      <c r="F794" s="449" t="n">
        <f aca="false">SQRT(acc_x^2+acc_z^2)</f>
        <v>3.93418413420849</v>
      </c>
      <c r="G794" s="450" t="n">
        <f aca="false">G793+acc_x*pas</f>
        <v>18.9036489102118</v>
      </c>
      <c r="H794" s="451" t="n">
        <f aca="false">H793+acc_z*pas</f>
        <v>-136.887003834179</v>
      </c>
      <c r="I794" s="449" t="n">
        <f aca="false">SQRT(vit_x^2+vit_z^2)</f>
        <v>138.186105527361</v>
      </c>
      <c r="J794" s="450" t="n">
        <f aca="false">J793+0.5*(vit_x+G793)*pas*(K793&gt;=0)</f>
        <v>1017.12580762709</v>
      </c>
      <c r="K794" s="451" t="n">
        <f aca="false">K793+0.5*(vit_z+H793)*pas</f>
        <v>-13.4154923864268</v>
      </c>
      <c r="L794" s="449" t="n">
        <f aca="false">SQRT(pos_x^2+pos_z^2)</f>
        <v>1017.21427633367</v>
      </c>
      <c r="M794" s="450" t="n">
        <f aca="false">IF(AND(L793&gt;L_rampe,G794&gt;0),ATAN2(G794,H794),$M$4)</f>
        <v>-1.43356754478634</v>
      </c>
      <c r="N794" s="449" t="n">
        <f aca="false">DEGREES(Beta)</f>
        <v>-82.137369963189</v>
      </c>
      <c r="O794" s="438"/>
      <c r="P794" s="452" t="n">
        <f aca="false">MATCH(t-pas/2-T_ini,CdP_t)</f>
        <v>23</v>
      </c>
      <c r="Q794" s="449" t="n">
        <f aca="false">(INDEX(CdP,2,i_P+1)-INDEX(CdP,2,i_P+0))/(INDEX(CdP,1,i_P+1)-INDEX(CdP,1,i_P+0))*(t-pas/2-T_ini-INDEX(CdP,1,i_P+0))+INDEX(CdP,2,i_P+0)</f>
        <v>0</v>
      </c>
      <c r="R794" s="450" t="n">
        <f aca="false">Poussee/(g*ISP)</f>
        <v>0</v>
      </c>
      <c r="S794" s="451" t="n">
        <f aca="false">S793-Débit*pas</f>
        <v>8.652</v>
      </c>
      <c r="T794" s="449" t="n">
        <f aca="false">m*g</f>
        <v>84.87612</v>
      </c>
      <c r="U794" s="453" t="n">
        <f aca="false">IF(pos_xz&lt;L_rampe,Poids*COS(Beta),0)</f>
        <v>0</v>
      </c>
      <c r="V794" s="450" t="n">
        <f aca="false">Rho_moyen*(20000-Alt_rampe-pos_z)/(20000+Alt_rampe+pos_z)</f>
        <v>1.22664450090681</v>
      </c>
      <c r="W794" s="449" t="n">
        <f aca="false">1/2*Rho*Sref*Cx*vit_xz^2</f>
        <v>52.081526869283</v>
      </c>
      <c r="X794" s="438"/>
      <c r="Y794" s="454" t="str">
        <f aca="false">IF(AND(pos_z&lt;=0,K793&gt;0),"Impact balistique","") &amp; IF(AND(H795&lt;0,vit_z&gt;=0),"Apogée","") &amp; IF(AND(Poussee=0,Q793&gt;0),"Fin de propulsion","") &amp; IF(AND(L795&gt;L_rampe,pos_xz&lt;=L_rampe),"Sortie de rampe","")</f>
        <v/>
      </c>
      <c r="Z794" s="455" t="str">
        <f aca="false">IF(ABS(t-T_para)&lt;pas/2,"Para","")</f>
        <v/>
      </c>
      <c r="AA794" s="456" t="str">
        <f aca="false">IF(ABS(t-T_satellite)&lt;pas/2,"Satellite","")</f>
        <v/>
      </c>
      <c r="AB794" s="444"/>
      <c r="AC794" s="452" t="e">
        <f aca="false">IF(ABS(t-ROUND(t,0))&lt;0.001,t,NA())</f>
        <v>#N/A</v>
      </c>
      <c r="AD794" s="457" t="e">
        <f aca="false">IF(ABS(t-ROUND(t,0))&lt;0.001,pos_x,NA())</f>
        <v>#N/A</v>
      </c>
      <c r="AE794" s="458" t="e">
        <f aca="false">IF(t&lt;T_para, pos_z, NA())</f>
        <v>#N/A</v>
      </c>
      <c r="AF794" s="444"/>
      <c r="AG794" s="450" t="n">
        <f aca="false">IF(AND(L793&lt;L_rampe,Poussee&lt;Poids*SIN(M793)),0,(-W793+Poussee)/m-Poids*SIN(M793)/m)</f>
        <v>3.69822039300861</v>
      </c>
      <c r="AH794" s="449" t="n">
        <f aca="false">IF(AND(L793&lt;L_rampe,Poussee&lt;Poids*SIN(M793)), g*SIN(M793), (-W793+Poussee)/m)</f>
        <v>-6.01955349165278</v>
      </c>
    </row>
    <row r="795" customFormat="false" ht="12" hidden="false" customHeight="false" outlineLevel="0" collapsed="false">
      <c r="A795" s="448" t="n">
        <f aca="false">IF(B794+0.01&lt;=T_ini+ROUNDUP(Temps_fin_propu,0), 0.01, IF(K794&gt;0, 0.1, 0.0001))</f>
        <v>0.0001</v>
      </c>
      <c r="B795" s="449" t="n">
        <f aca="false">B794+pas</f>
        <v>35.7074000000004</v>
      </c>
      <c r="C795" s="432"/>
      <c r="D795" s="450" t="n">
        <f aca="false">IF(AND(L794&lt;L_rampe,Poussee&lt;Poids*SIN(M794)),0,(-W794+Poussee)/m*COS(M794)-U794/m*SIN(M794))</f>
        <v>-0.823471290466587</v>
      </c>
      <c r="E795" s="451" t="n">
        <f aca="false">IF(AND(L794&lt;L_rampe,Poussee&lt;Poids*SIN(M794)),0,(-W794+Poussee)/m*SIN(M794)+U794/m*COS(M794)-Poids/m)</f>
        <v>-3.84699686601021</v>
      </c>
      <c r="F795" s="449" t="n">
        <f aca="false">SQRT(acc_x^2+acc_z^2)</f>
        <v>3.93414410683126</v>
      </c>
      <c r="G795" s="450" t="n">
        <f aca="false">G794+acc_x*pas</f>
        <v>18.9035665630828</v>
      </c>
      <c r="H795" s="451" t="n">
        <f aca="false">H794+acc_z*pas</f>
        <v>-136.887388533865</v>
      </c>
      <c r="I795" s="449" t="n">
        <f aca="false">SQRT(vit_x^2+vit_z^2)</f>
        <v>138.18647534555</v>
      </c>
      <c r="J795" s="450" t="n">
        <f aca="false">J794+0.5*(vit_x+G794)*pas*(K794&gt;=0)</f>
        <v>1017.12580762709</v>
      </c>
      <c r="K795" s="451" t="n">
        <f aca="false">K794+0.5*(vit_z+H794)*pas</f>
        <v>-13.4291811060452</v>
      </c>
      <c r="L795" s="449" t="n">
        <f aca="false">SQRT(pos_x^2+pos_z^2)</f>
        <v>1017.21445695892</v>
      </c>
      <c r="M795" s="450" t="n">
        <f aca="false">IF(AND(L794&gt;L_rampe,G795&gt;0),ATAN2(G795,H795),$M$4)</f>
        <v>-1.4335685159328</v>
      </c>
      <c r="N795" s="449" t="n">
        <f aca="false">DEGREES(Beta)</f>
        <v>-82.1374256057826</v>
      </c>
      <c r="O795" s="438"/>
      <c r="P795" s="452" t="n">
        <f aca="false">MATCH(t-pas/2-T_ini,CdP_t)</f>
        <v>23</v>
      </c>
      <c r="Q795" s="449" t="n">
        <f aca="false">(INDEX(CdP,2,i_P+1)-INDEX(CdP,2,i_P+0))/(INDEX(CdP,1,i_P+1)-INDEX(CdP,1,i_P+0))*(t-pas/2-T_ini-INDEX(CdP,1,i_P+0))+INDEX(CdP,2,i_P+0)</f>
        <v>0</v>
      </c>
      <c r="R795" s="450" t="n">
        <f aca="false">Poussee/(g*ISP)</f>
        <v>0</v>
      </c>
      <c r="S795" s="451" t="n">
        <f aca="false">S794-Débit*pas</f>
        <v>8.652</v>
      </c>
      <c r="T795" s="449" t="n">
        <f aca="false">m*g</f>
        <v>84.87612</v>
      </c>
      <c r="U795" s="453" t="n">
        <f aca="false">IF(pos_xz&lt;L_rampe,Poids*COS(Beta),0)</f>
        <v>0</v>
      </c>
      <c r="V795" s="450" t="n">
        <f aca="false">Rho_moyen*(20000-Alt_rampe-pos_z)/(20000+Alt_rampe+pos_z)</f>
        <v>1.22664618002798</v>
      </c>
      <c r="W795" s="449" t="n">
        <f aca="false">1/2*Rho*Sref*Cx*vit_xz^2</f>
        <v>52.0818769276419</v>
      </c>
      <c r="X795" s="438"/>
      <c r="Y795" s="454" t="str">
        <f aca="false">IF(AND(pos_z&lt;=0,K794&gt;0),"Impact balistique","") &amp; IF(AND(H796&lt;0,vit_z&gt;=0),"Apogée","") &amp; IF(AND(Poussee=0,Q794&gt;0),"Fin de propulsion","") &amp; IF(AND(L796&gt;L_rampe,pos_xz&lt;=L_rampe),"Sortie de rampe","")</f>
        <v/>
      </c>
      <c r="Z795" s="455" t="str">
        <f aca="false">IF(ABS(t-T_para)&lt;pas/2,"Para","")</f>
        <v/>
      </c>
      <c r="AA795" s="456" t="str">
        <f aca="false">IF(ABS(t-T_satellite)&lt;pas/2,"Satellite","")</f>
        <v/>
      </c>
      <c r="AB795" s="444"/>
      <c r="AC795" s="452" t="e">
        <f aca="false">IF(ABS(t-ROUND(t,0))&lt;0.001,t,NA())</f>
        <v>#N/A</v>
      </c>
      <c r="AD795" s="457" t="e">
        <f aca="false">IF(ABS(t-ROUND(t,0))&lt;0.001,pos_x,NA())</f>
        <v>#N/A</v>
      </c>
      <c r="AE795" s="458" t="e">
        <f aca="false">IF(t&lt;T_para, pos_z, NA())</f>
        <v>#N/A</v>
      </c>
      <c r="AF795" s="444"/>
      <c r="AG795" s="450" t="n">
        <f aca="false">IF(AND(L794&lt;L_rampe,Poussee&lt;Poids*SIN(M794)),0,(-W794+Poussee)/m-Poids*SIN(M794)/m)</f>
        <v>3.69818123634584</v>
      </c>
      <c r="AH795" s="449" t="n">
        <f aca="false">IF(AND(L794&lt;L_rampe,Poussee&lt;Poids*SIN(M794)), g*SIN(M794), (-W794+Poussee)/m)</f>
        <v>-6.01959395160461</v>
      </c>
    </row>
    <row r="796" customFormat="false" ht="12" hidden="false" customHeight="false" outlineLevel="0" collapsed="false">
      <c r="A796" s="448" t="n">
        <f aca="false">IF(B795+0.01&lt;=T_ini+ROUNDUP(Temps_fin_propu,0), 0.01, IF(K795&gt;0, 0.1, 0.0001))</f>
        <v>0.0001</v>
      </c>
      <c r="B796" s="449" t="n">
        <f aca="false">B795+pas</f>
        <v>35.7075000000004</v>
      </c>
      <c r="C796" s="432"/>
      <c r="D796" s="450" t="n">
        <f aca="false">IF(AND(L795&lt;L_rampe,Poussee&lt;Poids*SIN(M795)),0,(-W795+Poussee)/m*COS(M795)-U795/m*SIN(M795))</f>
        <v>-0.823471034319604</v>
      </c>
      <c r="E796" s="451" t="n">
        <f aca="false">IF(AND(L795&lt;L_rampe,Poussee&lt;Poids*SIN(M795)),0,(-W795+Poussee)/m*SIN(M795)+U795/m*COS(M795)-Poids/m)</f>
        <v>-3.84695598684375</v>
      </c>
      <c r="F796" s="449" t="n">
        <f aca="false">SQRT(acc_x^2+acc_z^2)</f>
        <v>3.93410407959377</v>
      </c>
      <c r="G796" s="450" t="n">
        <f aca="false">G795+acc_x*pas</f>
        <v>18.9034842159793</v>
      </c>
      <c r="H796" s="451" t="n">
        <f aca="false">H795+acc_z*pas</f>
        <v>-136.887773229464</v>
      </c>
      <c r="I796" s="449" t="n">
        <f aca="false">SQRT(vit_x^2+vit_z^2)</f>
        <v>138.186845159823</v>
      </c>
      <c r="J796" s="450" t="n">
        <f aca="false">J795+0.5*(vit_x+G795)*pas*(K795&gt;=0)</f>
        <v>1017.12580762709</v>
      </c>
      <c r="K796" s="451" t="n">
        <f aca="false">K795+0.5*(vit_z+H795)*pas</f>
        <v>-13.4428698641334</v>
      </c>
      <c r="L796" s="449" t="n">
        <f aca="false">SQRT(pos_x^2+pos_z^2)</f>
        <v>1017.21463776887</v>
      </c>
      <c r="M796" s="450" t="n">
        <f aca="false">IF(AND(L795&gt;L_rampe,G796&gt;0),ATAN2(G796,H796),$M$4)</f>
        <v>-1.43356948706984</v>
      </c>
      <c r="N796" s="449" t="n">
        <f aca="false">DEGREES(Beta)</f>
        <v>-82.1374812478361</v>
      </c>
      <c r="O796" s="438"/>
      <c r="P796" s="452" t="n">
        <f aca="false">MATCH(t-pas/2-T_ini,CdP_t)</f>
        <v>23</v>
      </c>
      <c r="Q796" s="449" t="n">
        <f aca="false">(INDEX(CdP,2,i_P+1)-INDEX(CdP,2,i_P+0))/(INDEX(CdP,1,i_P+1)-INDEX(CdP,1,i_P+0))*(t-pas/2-T_ini-INDEX(CdP,1,i_P+0))+INDEX(CdP,2,i_P+0)</f>
        <v>0</v>
      </c>
      <c r="R796" s="450" t="n">
        <f aca="false">Poussee/(g*ISP)</f>
        <v>0</v>
      </c>
      <c r="S796" s="451" t="n">
        <f aca="false">S795-Débit*pas</f>
        <v>8.652</v>
      </c>
      <c r="T796" s="449" t="n">
        <f aca="false">m*g</f>
        <v>84.87612</v>
      </c>
      <c r="U796" s="453" t="n">
        <f aca="false">IF(pos_xz&lt;L_rampe,Poids*COS(Beta),0)</f>
        <v>0</v>
      </c>
      <c r="V796" s="450" t="n">
        <f aca="false">Rho_moyen*(20000-Alt_rampe-pos_z)/(20000+Alt_rampe+pos_z)</f>
        <v>1.22664785915617</v>
      </c>
      <c r="W796" s="449" t="n">
        <f aca="false">1/2*Rho*Sref*Cx*vit_xz^2</f>
        <v>52.0822269848564</v>
      </c>
      <c r="X796" s="438"/>
      <c r="Y796" s="454" t="str">
        <f aca="false">IF(AND(pos_z&lt;=0,K795&gt;0),"Impact balistique","") &amp; IF(AND(H797&lt;0,vit_z&gt;=0),"Apogée","") &amp; IF(AND(Poussee=0,Q795&gt;0),"Fin de propulsion","") &amp; IF(AND(L797&gt;L_rampe,pos_xz&lt;=L_rampe),"Sortie de rampe","")</f>
        <v/>
      </c>
      <c r="Z796" s="455" t="str">
        <f aca="false">IF(ABS(t-T_para)&lt;pas/2,"Para","")</f>
        <v/>
      </c>
      <c r="AA796" s="456" t="str">
        <f aca="false">IF(ABS(t-T_satellite)&lt;pas/2,"Satellite","")</f>
        <v/>
      </c>
      <c r="AB796" s="444"/>
      <c r="AC796" s="452" t="e">
        <f aca="false">IF(ABS(t-ROUND(t,0))&lt;0.001,t,NA())</f>
        <v>#N/A</v>
      </c>
      <c r="AD796" s="457" t="e">
        <f aca="false">IF(ABS(t-ROUND(t,0))&lt;0.001,pos_x,NA())</f>
        <v>#N/A</v>
      </c>
      <c r="AE796" s="458" t="e">
        <f aca="false">IF(t&lt;T_para, pos_z, NA())</f>
        <v>#N/A</v>
      </c>
      <c r="AF796" s="444"/>
      <c r="AG796" s="450" t="n">
        <f aca="false">IF(AND(L795&lt;L_rampe,Poussee&lt;Poids*SIN(M795)),0,(-W795+Poussee)/m-Poids*SIN(M795)/m)</f>
        <v>3.69814207979352</v>
      </c>
      <c r="AH796" s="449" t="n">
        <f aca="false">IF(AND(L795&lt;L_rampe,Poussee&lt;Poids*SIN(M795)), g*SIN(M795), (-W795+Poussee)/m)</f>
        <v>-6.01963441142417</v>
      </c>
    </row>
    <row r="797" customFormat="false" ht="12" hidden="false" customHeight="false" outlineLevel="0" collapsed="false">
      <c r="A797" s="448" t="n">
        <f aca="false">IF(B796+0.01&lt;=T_ini+ROUNDUP(Temps_fin_propu,0), 0.01, IF(K796&gt;0, 0.1, 0.0001))</f>
        <v>0.0001</v>
      </c>
      <c r="B797" s="449" t="n">
        <f aca="false">B796+pas</f>
        <v>35.7076000000005</v>
      </c>
      <c r="C797" s="432"/>
      <c r="D797" s="450" t="n">
        <f aca="false">IF(AND(L796&lt;L_rampe,Poussee&lt;Poids*SIN(M796)),0,(-W796+Poussee)/m*COS(M796)-U796/m*SIN(M796))</f>
        <v>-0.823470778132125</v>
      </c>
      <c r="E797" s="451" t="n">
        <f aca="false">IF(AND(L796&lt;L_rampe,Poussee&lt;Poids*SIN(M796)),0,(-W796+Poussee)/m*SIN(M796)+U796/m*COS(M796)-Poids/m)</f>
        <v>-3.84691510781095</v>
      </c>
      <c r="F797" s="449" t="n">
        <f aca="false">SQRT(acc_x^2+acc_z^2)</f>
        <v>3.93406405249605</v>
      </c>
      <c r="G797" s="450" t="n">
        <f aca="false">G796+acc_x*pas</f>
        <v>18.9034018689015</v>
      </c>
      <c r="H797" s="451" t="n">
        <f aca="false">H796+acc_z*pas</f>
        <v>-136.888157920975</v>
      </c>
      <c r="I797" s="449" t="n">
        <f aca="false">SQRT(vit_x^2+vit_z^2)</f>
        <v>138.18721497018</v>
      </c>
      <c r="J797" s="450" t="n">
        <f aca="false">J796+0.5*(vit_x+G796)*pas*(K796&gt;=0)</f>
        <v>1017.12580762709</v>
      </c>
      <c r="K797" s="451" t="n">
        <f aca="false">K796+0.5*(vit_z+H796)*pas</f>
        <v>-13.4565586606909</v>
      </c>
      <c r="L797" s="449" t="n">
        <f aca="false">SQRT(pos_x^2+pos_z^2)</f>
        <v>1017.21481876349</v>
      </c>
      <c r="M797" s="450" t="n">
        <f aca="false">IF(AND(L796&gt;L_rampe,G797&gt;0),ATAN2(G797,H797),$M$4)</f>
        <v>-1.43357045819745</v>
      </c>
      <c r="N797" s="449" t="n">
        <f aca="false">DEGREES(Beta)</f>
        <v>-82.1375368893493</v>
      </c>
      <c r="O797" s="438"/>
      <c r="P797" s="452" t="n">
        <f aca="false">MATCH(t-pas/2-T_ini,CdP_t)</f>
        <v>23</v>
      </c>
      <c r="Q797" s="449" t="n">
        <f aca="false">(INDEX(CdP,2,i_P+1)-INDEX(CdP,2,i_P+0))/(INDEX(CdP,1,i_P+1)-INDEX(CdP,1,i_P+0))*(t-pas/2-T_ini-INDEX(CdP,1,i_P+0))+INDEX(CdP,2,i_P+0)</f>
        <v>0</v>
      </c>
      <c r="R797" s="450" t="n">
        <f aca="false">Poussee/(g*ISP)</f>
        <v>0</v>
      </c>
      <c r="S797" s="451" t="n">
        <f aca="false">S796-Débit*pas</f>
        <v>8.652</v>
      </c>
      <c r="T797" s="449" t="n">
        <f aca="false">m*g</f>
        <v>84.87612</v>
      </c>
      <c r="U797" s="453" t="n">
        <f aca="false">IF(pos_xz&lt;L_rampe,Poids*COS(Beta),0)</f>
        <v>0</v>
      </c>
      <c r="V797" s="450" t="n">
        <f aca="false">Rho_moyen*(20000-Alt_rampe-pos_z)/(20000+Alt_rampe+pos_z)</f>
        <v>1.22664953829137</v>
      </c>
      <c r="W797" s="449" t="n">
        <f aca="false">1/2*Rho*Sref*Cx*vit_xz^2</f>
        <v>52.0825770409265</v>
      </c>
      <c r="X797" s="438"/>
      <c r="Y797" s="454" t="str">
        <f aca="false">IF(AND(pos_z&lt;=0,K796&gt;0),"Impact balistique","") &amp; IF(AND(H798&lt;0,vit_z&gt;=0),"Apogée","") &amp; IF(AND(Poussee=0,Q796&gt;0),"Fin de propulsion","") &amp; IF(AND(L798&gt;L_rampe,pos_xz&lt;=L_rampe),"Sortie de rampe","")</f>
        <v/>
      </c>
      <c r="Z797" s="455" t="str">
        <f aca="false">IF(ABS(t-T_para)&lt;pas/2,"Para","")</f>
        <v/>
      </c>
      <c r="AA797" s="456" t="str">
        <f aca="false">IF(ABS(t-T_satellite)&lt;pas/2,"Satellite","")</f>
        <v/>
      </c>
      <c r="AB797" s="444"/>
      <c r="AC797" s="452" t="e">
        <f aca="false">IF(ABS(t-ROUND(t,0))&lt;0.001,t,NA())</f>
        <v>#N/A</v>
      </c>
      <c r="AD797" s="457" t="e">
        <f aca="false">IF(ABS(t-ROUND(t,0))&lt;0.001,pos_x,NA())</f>
        <v>#N/A</v>
      </c>
      <c r="AE797" s="458" t="e">
        <f aca="false">IF(t&lt;T_para, pos_z, NA())</f>
        <v>#N/A</v>
      </c>
      <c r="AF797" s="444"/>
      <c r="AG797" s="450" t="n">
        <f aca="false">IF(AND(L796&lt;L_rampe,Poussee&lt;Poids*SIN(M796)),0,(-W796+Poussee)/m-Poids*SIN(M796)/m)</f>
        <v>3.69810292335164</v>
      </c>
      <c r="AH797" s="449" t="n">
        <f aca="false">IF(AND(L796&lt;L_rampe,Poussee&lt;Poids*SIN(M796)), g*SIN(M796), (-W796+Poussee)/m)</f>
        <v>-6.01967487111147</v>
      </c>
    </row>
    <row r="798" customFormat="false" ht="12" hidden="false" customHeight="false" outlineLevel="0" collapsed="false">
      <c r="A798" s="448" t="n">
        <f aca="false">IF(B797+0.01&lt;=T_ini+ROUNDUP(Temps_fin_propu,0), 0.01, IF(K797&gt;0, 0.1, 0.0001))</f>
        <v>0.0001</v>
      </c>
      <c r="B798" s="449" t="n">
        <f aca="false">B797+pas</f>
        <v>35.7077000000005</v>
      </c>
      <c r="C798" s="432"/>
      <c r="D798" s="450" t="n">
        <f aca="false">IF(AND(L797&lt;L_rampe,Poussee&lt;Poids*SIN(M797)),0,(-W797+Poussee)/m*COS(M797)-U797/m*SIN(M797))</f>
        <v>-0.823470521904155</v>
      </c>
      <c r="E798" s="451" t="n">
        <f aca="false">IF(AND(L797&lt;L_rampe,Poussee&lt;Poids*SIN(M797)),0,(-W797+Poussee)/m*SIN(M797)+U797/m*COS(M797)-Poids/m)</f>
        <v>-3.84687422891181</v>
      </c>
      <c r="F798" s="449" t="n">
        <f aca="false">SQRT(acc_x^2+acc_z^2)</f>
        <v>3.93402402553809</v>
      </c>
      <c r="G798" s="450" t="n">
        <f aca="false">G797+acc_x*pas</f>
        <v>18.9033195218493</v>
      </c>
      <c r="H798" s="451" t="n">
        <f aca="false">H797+acc_z*pas</f>
        <v>-136.888542608397</v>
      </c>
      <c r="I798" s="449" t="n">
        <f aca="false">SQRT(vit_x^2+vit_z^2)</f>
        <v>138.187584776622</v>
      </c>
      <c r="J798" s="450" t="n">
        <f aca="false">J797+0.5*(vit_x+G797)*pas*(K797&gt;=0)</f>
        <v>1017.12580762709</v>
      </c>
      <c r="K798" s="451" t="n">
        <f aca="false">K797+0.5*(vit_z+H797)*pas</f>
        <v>-13.4702474957174</v>
      </c>
      <c r="L798" s="449" t="n">
        <f aca="false">SQRT(pos_x^2+pos_z^2)</f>
        <v>1017.21499994281</v>
      </c>
      <c r="M798" s="450" t="n">
        <f aca="false">IF(AND(L797&gt;L_rampe,G798&gt;0),ATAN2(G798,H798),$M$4)</f>
        <v>-1.43357142931563</v>
      </c>
      <c r="N798" s="449" t="n">
        <f aca="false">DEGREES(Beta)</f>
        <v>-82.1375925303224</v>
      </c>
      <c r="O798" s="438"/>
      <c r="P798" s="452" t="n">
        <f aca="false">MATCH(t-pas/2-T_ini,CdP_t)</f>
        <v>23</v>
      </c>
      <c r="Q798" s="449" t="n">
        <f aca="false">(INDEX(CdP,2,i_P+1)-INDEX(CdP,2,i_P+0))/(INDEX(CdP,1,i_P+1)-INDEX(CdP,1,i_P+0))*(t-pas/2-T_ini-INDEX(CdP,1,i_P+0))+INDEX(CdP,2,i_P+0)</f>
        <v>0</v>
      </c>
      <c r="R798" s="450" t="n">
        <f aca="false">Poussee/(g*ISP)</f>
        <v>0</v>
      </c>
      <c r="S798" s="451" t="n">
        <f aca="false">S797-Débit*pas</f>
        <v>8.652</v>
      </c>
      <c r="T798" s="449" t="n">
        <f aca="false">m*g</f>
        <v>84.87612</v>
      </c>
      <c r="U798" s="453" t="n">
        <f aca="false">IF(pos_xz&lt;L_rampe,Poids*COS(Beta),0)</f>
        <v>0</v>
      </c>
      <c r="V798" s="450" t="n">
        <f aca="false">Rho_moyen*(20000-Alt_rampe-pos_z)/(20000+Alt_rampe+pos_z)</f>
        <v>1.2266512174336</v>
      </c>
      <c r="W798" s="449" t="n">
        <f aca="false">1/2*Rho*Sref*Cx*vit_xz^2</f>
        <v>52.0829270958523</v>
      </c>
      <c r="X798" s="438"/>
      <c r="Y798" s="454" t="str">
        <f aca="false">IF(AND(pos_z&lt;=0,K797&gt;0),"Impact balistique","") &amp; IF(AND(H799&lt;0,vit_z&gt;=0),"Apogée","") &amp; IF(AND(Poussee=0,Q797&gt;0),"Fin de propulsion","") &amp; IF(AND(L799&gt;L_rampe,pos_xz&lt;=L_rampe),"Sortie de rampe","")</f>
        <v/>
      </c>
      <c r="Z798" s="455" t="str">
        <f aca="false">IF(ABS(t-T_para)&lt;pas/2,"Para","")</f>
        <v/>
      </c>
      <c r="AA798" s="456" t="str">
        <f aca="false">IF(ABS(t-T_satellite)&lt;pas/2,"Satellite","")</f>
        <v/>
      </c>
      <c r="AB798" s="444"/>
      <c r="AC798" s="452" t="e">
        <f aca="false">IF(ABS(t-ROUND(t,0))&lt;0.001,t,NA())</f>
        <v>#N/A</v>
      </c>
      <c r="AD798" s="457" t="e">
        <f aca="false">IF(ABS(t-ROUND(t,0))&lt;0.001,pos_x,NA())</f>
        <v>#N/A</v>
      </c>
      <c r="AE798" s="458" t="e">
        <f aca="false">IF(t&lt;T_para, pos_z, NA())</f>
        <v>#N/A</v>
      </c>
      <c r="AF798" s="444"/>
      <c r="AG798" s="450" t="n">
        <f aca="false">IF(AND(L797&lt;L_rampe,Poussee&lt;Poids*SIN(M797)),0,(-W797+Poussee)/m-Poids*SIN(M797)/m)</f>
        <v>3.69806376702022</v>
      </c>
      <c r="AH798" s="449" t="n">
        <f aca="false">IF(AND(L797&lt;L_rampe,Poussee&lt;Poids*SIN(M797)), g*SIN(M797), (-W797+Poussee)/m)</f>
        <v>-6.0197153306665</v>
      </c>
    </row>
    <row r="799" customFormat="false" ht="12" hidden="false" customHeight="false" outlineLevel="0" collapsed="false">
      <c r="A799" s="448" t="n">
        <f aca="false">IF(B798+0.01&lt;=T_ini+ROUNDUP(Temps_fin_propu,0), 0.01, IF(K798&gt;0, 0.1, 0.0001))</f>
        <v>0.0001</v>
      </c>
      <c r="B799" s="449" t="n">
        <f aca="false">B798+pas</f>
        <v>35.7078000000005</v>
      </c>
      <c r="C799" s="432"/>
      <c r="D799" s="450" t="n">
        <f aca="false">IF(AND(L798&lt;L_rampe,Poussee&lt;Poids*SIN(M798)),0,(-W798+Poussee)/m*COS(M798)-U798/m*SIN(M798))</f>
        <v>-0.823470265635691</v>
      </c>
      <c r="E799" s="451" t="n">
        <f aca="false">IF(AND(L798&lt;L_rampe,Poussee&lt;Poids*SIN(M798)),0,(-W798+Poussee)/m*SIN(M798)+U798/m*COS(M798)-Poids/m)</f>
        <v>-3.84683335014633</v>
      </c>
      <c r="F799" s="449" t="n">
        <f aca="false">SQRT(acc_x^2+acc_z^2)</f>
        <v>3.93398399871989</v>
      </c>
      <c r="G799" s="450" t="n">
        <f aca="false">G798+acc_x*pas</f>
        <v>18.9032371748228</v>
      </c>
      <c r="H799" s="451" t="n">
        <f aca="false">H798+acc_z*pas</f>
        <v>-136.888927291733</v>
      </c>
      <c r="I799" s="449" t="n">
        <f aca="false">SQRT(vit_x^2+vit_z^2)</f>
        <v>138.187954579149</v>
      </c>
      <c r="J799" s="450" t="n">
        <f aca="false">J798+0.5*(vit_x+G798)*pas*(K798&gt;=0)</f>
        <v>1017.12580762709</v>
      </c>
      <c r="K799" s="451" t="n">
        <f aca="false">K798+0.5*(vit_z+H798)*pas</f>
        <v>-13.4839363692124</v>
      </c>
      <c r="L799" s="449" t="n">
        <f aca="false">SQRT(pos_x^2+pos_z^2)</f>
        <v>1017.21518130682</v>
      </c>
      <c r="M799" s="450" t="n">
        <f aca="false">IF(AND(L798&gt;L_rampe,G799&gt;0),ATAN2(G799,H799),$M$4)</f>
        <v>-1.43357240042438</v>
      </c>
      <c r="N799" s="449" t="n">
        <f aca="false">DEGREES(Beta)</f>
        <v>-82.1376481707553</v>
      </c>
      <c r="O799" s="438"/>
      <c r="P799" s="452" t="n">
        <f aca="false">MATCH(t-pas/2-T_ini,CdP_t)</f>
        <v>23</v>
      </c>
      <c r="Q799" s="449" t="n">
        <f aca="false">(INDEX(CdP,2,i_P+1)-INDEX(CdP,2,i_P+0))/(INDEX(CdP,1,i_P+1)-INDEX(CdP,1,i_P+0))*(t-pas/2-T_ini-INDEX(CdP,1,i_P+0))+INDEX(CdP,2,i_P+0)</f>
        <v>0</v>
      </c>
      <c r="R799" s="450" t="n">
        <f aca="false">Poussee/(g*ISP)</f>
        <v>0</v>
      </c>
      <c r="S799" s="451" t="n">
        <f aca="false">S798-Débit*pas</f>
        <v>8.652</v>
      </c>
      <c r="T799" s="449" t="n">
        <f aca="false">m*g</f>
        <v>84.87612</v>
      </c>
      <c r="U799" s="453" t="n">
        <f aca="false">IF(pos_xz&lt;L_rampe,Poids*COS(Beta),0)</f>
        <v>0</v>
      </c>
      <c r="V799" s="450" t="n">
        <f aca="false">Rho_moyen*(20000-Alt_rampe-pos_z)/(20000+Alt_rampe+pos_z)</f>
        <v>1.22665289658285</v>
      </c>
      <c r="W799" s="449" t="n">
        <f aca="false">1/2*Rho*Sref*Cx*vit_xz^2</f>
        <v>52.0832771496336</v>
      </c>
      <c r="X799" s="438"/>
      <c r="Y799" s="454" t="str">
        <f aca="false">IF(AND(pos_z&lt;=0,K798&gt;0),"Impact balistique","") &amp; IF(AND(H800&lt;0,vit_z&gt;=0),"Apogée","") &amp; IF(AND(Poussee=0,Q798&gt;0),"Fin de propulsion","") &amp; IF(AND(L800&gt;L_rampe,pos_xz&lt;=L_rampe),"Sortie de rampe","")</f>
        <v/>
      </c>
      <c r="Z799" s="455" t="str">
        <f aca="false">IF(ABS(t-T_para)&lt;pas/2,"Para","")</f>
        <v/>
      </c>
      <c r="AA799" s="456" t="str">
        <f aca="false">IF(ABS(t-T_satellite)&lt;pas/2,"Satellite","")</f>
        <v/>
      </c>
      <c r="AB799" s="444"/>
      <c r="AC799" s="452" t="e">
        <f aca="false">IF(ABS(t-ROUND(t,0))&lt;0.001,t,NA())</f>
        <v>#N/A</v>
      </c>
      <c r="AD799" s="457" t="e">
        <f aca="false">IF(ABS(t-ROUND(t,0))&lt;0.001,pos_x,NA())</f>
        <v>#N/A</v>
      </c>
      <c r="AE799" s="458" t="e">
        <f aca="false">IF(t&lt;T_para, pos_z, NA())</f>
        <v>#N/A</v>
      </c>
      <c r="AF799" s="444"/>
      <c r="AG799" s="450" t="n">
        <f aca="false">IF(AND(L798&lt;L_rampe,Poussee&lt;Poids*SIN(M798)),0,(-W798+Poussee)/m-Poids*SIN(M798)/m)</f>
        <v>3.69802461079925</v>
      </c>
      <c r="AH799" s="449" t="n">
        <f aca="false">IF(AND(L798&lt;L_rampe,Poussee&lt;Poids*SIN(M798)), g*SIN(M798), (-W798+Poussee)/m)</f>
        <v>-6.01975579008926</v>
      </c>
    </row>
    <row r="800" customFormat="false" ht="12" hidden="false" customHeight="false" outlineLevel="0" collapsed="false">
      <c r="A800" s="448" t="n">
        <f aca="false">IF(B799+0.01&lt;=T_ini+ROUNDUP(Temps_fin_propu,0), 0.01, IF(K799&gt;0, 0.1, 0.0001))</f>
        <v>0.0001</v>
      </c>
      <c r="B800" s="449" t="n">
        <f aca="false">B799+pas</f>
        <v>35.7079000000005</v>
      </c>
      <c r="C800" s="432"/>
      <c r="D800" s="450" t="n">
        <f aca="false">IF(AND(L799&lt;L_rampe,Poussee&lt;Poids*SIN(M799)),0,(-W799+Poussee)/m*COS(M799)-U799/m*SIN(M799))</f>
        <v>-0.823470009326735</v>
      </c>
      <c r="E800" s="451" t="n">
        <f aca="false">IF(AND(L799&lt;L_rampe,Poussee&lt;Poids*SIN(M799)),0,(-W799+Poussee)/m*SIN(M799)+U799/m*COS(M799)-Poids/m)</f>
        <v>-3.84679247151452</v>
      </c>
      <c r="F800" s="449" t="n">
        <f aca="false">SQRT(acc_x^2+acc_z^2)</f>
        <v>3.93394397204146</v>
      </c>
      <c r="G800" s="450" t="n">
        <f aca="false">G799+acc_x*pas</f>
        <v>18.9031548278218</v>
      </c>
      <c r="H800" s="451" t="n">
        <f aca="false">H799+acc_z*pas</f>
        <v>-136.88931197098</v>
      </c>
      <c r="I800" s="449" t="n">
        <f aca="false">SQRT(vit_x^2+vit_z^2)</f>
        <v>138.188324377759</v>
      </c>
      <c r="J800" s="450" t="n">
        <f aca="false">J799+0.5*(vit_x+G799)*pas*(K799&gt;=0)</f>
        <v>1017.12580762709</v>
      </c>
      <c r="K800" s="451" t="n">
        <f aca="false">K799+0.5*(vit_z+H799)*pas</f>
        <v>-13.4976252811755</v>
      </c>
      <c r="L800" s="449" t="n">
        <f aca="false">SQRT(pos_x^2+pos_z^2)</f>
        <v>1017.21536285552</v>
      </c>
      <c r="M800" s="450" t="n">
        <f aca="false">IF(AND(L799&gt;L_rampe,G800&gt;0),ATAN2(G800,H800),$M$4)</f>
        <v>-1.4335733715237</v>
      </c>
      <c r="N800" s="449" t="n">
        <f aca="false">DEGREES(Beta)</f>
        <v>-82.137703810648</v>
      </c>
      <c r="O800" s="438"/>
      <c r="P800" s="452" t="n">
        <f aca="false">MATCH(t-pas/2-T_ini,CdP_t)</f>
        <v>23</v>
      </c>
      <c r="Q800" s="449" t="n">
        <f aca="false">(INDEX(CdP,2,i_P+1)-INDEX(CdP,2,i_P+0))/(INDEX(CdP,1,i_P+1)-INDEX(CdP,1,i_P+0))*(t-pas/2-T_ini-INDEX(CdP,1,i_P+0))+INDEX(CdP,2,i_P+0)</f>
        <v>0</v>
      </c>
      <c r="R800" s="450" t="n">
        <f aca="false">Poussee/(g*ISP)</f>
        <v>0</v>
      </c>
      <c r="S800" s="451" t="n">
        <f aca="false">S799-Débit*pas</f>
        <v>8.652</v>
      </c>
      <c r="T800" s="449" t="n">
        <f aca="false">m*g</f>
        <v>84.87612</v>
      </c>
      <c r="U800" s="453" t="n">
        <f aca="false">IF(pos_xz&lt;L_rampe,Poids*COS(Beta),0)</f>
        <v>0</v>
      </c>
      <c r="V800" s="450" t="n">
        <f aca="false">Rho_moyen*(20000-Alt_rampe-pos_z)/(20000+Alt_rampe+pos_z)</f>
        <v>1.22665457573911</v>
      </c>
      <c r="W800" s="449" t="n">
        <f aca="false">1/2*Rho*Sref*Cx*vit_xz^2</f>
        <v>52.0836272022705</v>
      </c>
      <c r="X800" s="438"/>
      <c r="Y800" s="454" t="str">
        <f aca="false">IF(AND(pos_z&lt;=0,K799&gt;0),"Impact balistique","") &amp; IF(AND(H801&lt;0,vit_z&gt;=0),"Apogée","") &amp; IF(AND(Poussee=0,Q799&gt;0),"Fin de propulsion","") &amp; IF(AND(L801&gt;L_rampe,pos_xz&lt;=L_rampe),"Sortie de rampe","")</f>
        <v/>
      </c>
      <c r="Z800" s="455" t="str">
        <f aca="false">IF(ABS(t-T_para)&lt;pas/2,"Para","")</f>
        <v/>
      </c>
      <c r="AA800" s="456" t="str">
        <f aca="false">IF(ABS(t-T_satellite)&lt;pas/2,"Satellite","")</f>
        <v/>
      </c>
      <c r="AB800" s="444"/>
      <c r="AC800" s="452" t="e">
        <f aca="false">IF(ABS(t-ROUND(t,0))&lt;0.001,t,NA())</f>
        <v>#N/A</v>
      </c>
      <c r="AD800" s="457" t="e">
        <f aca="false">IF(ABS(t-ROUND(t,0))&lt;0.001,pos_x,NA())</f>
        <v>#N/A</v>
      </c>
      <c r="AE800" s="458" t="e">
        <f aca="false">IF(t&lt;T_para, pos_z, NA())</f>
        <v>#N/A</v>
      </c>
      <c r="AF800" s="444"/>
      <c r="AG800" s="450" t="n">
        <f aca="false">IF(AND(L799&lt;L_rampe,Poussee&lt;Poids*SIN(M799)),0,(-W799+Poussee)/m-Poids*SIN(M799)/m)</f>
        <v>3.69798545468873</v>
      </c>
      <c r="AH800" s="449" t="n">
        <f aca="false">IF(AND(L799&lt;L_rampe,Poussee&lt;Poids*SIN(M799)), g*SIN(M799), (-W799+Poussee)/m)</f>
        <v>-6.01979624937975</v>
      </c>
    </row>
    <row r="801" customFormat="false" ht="12" hidden="false" customHeight="false" outlineLevel="0" collapsed="false">
      <c r="A801" s="448" t="n">
        <f aca="false">IF(B800+0.01&lt;=T_ini+ROUNDUP(Temps_fin_propu,0), 0.01, IF(K800&gt;0, 0.1, 0.0001))</f>
        <v>0.0001</v>
      </c>
      <c r="B801" s="449" t="n">
        <f aca="false">B800+pas</f>
        <v>35.7080000000005</v>
      </c>
      <c r="C801" s="432"/>
      <c r="D801" s="450" t="n">
        <f aca="false">IF(AND(L800&lt;L_rampe,Poussee&lt;Poids*SIN(M800)),0,(-W800+Poussee)/m*COS(M800)-U800/m*SIN(M800))</f>
        <v>-0.823469752977286</v>
      </c>
      <c r="E801" s="451" t="n">
        <f aca="false">IF(AND(L800&lt;L_rampe,Poussee&lt;Poids*SIN(M800)),0,(-W800+Poussee)/m*SIN(M800)+U800/m*COS(M800)-Poids/m)</f>
        <v>-3.84675159301637</v>
      </c>
      <c r="F801" s="449" t="n">
        <f aca="false">SQRT(acc_x^2+acc_z^2)</f>
        <v>3.9339039455028</v>
      </c>
      <c r="G801" s="450" t="n">
        <f aca="false">G800+acc_x*pas</f>
        <v>18.9030724808465</v>
      </c>
      <c r="H801" s="451" t="n">
        <f aca="false">H800+acc_z*pas</f>
        <v>-136.889696646139</v>
      </c>
      <c r="I801" s="449" t="n">
        <f aca="false">SQRT(vit_x^2+vit_z^2)</f>
        <v>138.188694172454</v>
      </c>
      <c r="J801" s="450" t="n">
        <f aca="false">J800+0.5*(vit_x+G800)*pas*(K800&gt;=0)</f>
        <v>1017.12580762709</v>
      </c>
      <c r="K801" s="451" t="n">
        <f aca="false">K800+0.5*(vit_z+H800)*pas</f>
        <v>-13.5113142316064</v>
      </c>
      <c r="L801" s="449" t="n">
        <f aca="false">SQRT(pos_x^2+pos_z^2)</f>
        <v>1017.21554458892</v>
      </c>
      <c r="M801" s="450" t="n">
        <f aca="false">IF(AND(L800&gt;L_rampe,G801&gt;0),ATAN2(G801,H801),$M$4)</f>
        <v>-1.4335743426136</v>
      </c>
      <c r="N801" s="449" t="n">
        <f aca="false">DEGREES(Beta)</f>
        <v>-82.1377594500005</v>
      </c>
      <c r="O801" s="438"/>
      <c r="P801" s="452" t="n">
        <f aca="false">MATCH(t-pas/2-T_ini,CdP_t)</f>
        <v>23</v>
      </c>
      <c r="Q801" s="449" t="n">
        <f aca="false">(INDEX(CdP,2,i_P+1)-INDEX(CdP,2,i_P+0))/(INDEX(CdP,1,i_P+1)-INDEX(CdP,1,i_P+0))*(t-pas/2-T_ini-INDEX(CdP,1,i_P+0))+INDEX(CdP,2,i_P+0)</f>
        <v>0</v>
      </c>
      <c r="R801" s="450" t="n">
        <f aca="false">Poussee/(g*ISP)</f>
        <v>0</v>
      </c>
      <c r="S801" s="451" t="n">
        <f aca="false">S800-Débit*pas</f>
        <v>8.652</v>
      </c>
      <c r="T801" s="449" t="n">
        <f aca="false">m*g</f>
        <v>84.87612</v>
      </c>
      <c r="U801" s="453" t="n">
        <f aca="false">IF(pos_xz&lt;L_rampe,Poids*COS(Beta),0)</f>
        <v>0</v>
      </c>
      <c r="V801" s="450" t="n">
        <f aca="false">Rho_moyen*(20000-Alt_rampe-pos_z)/(20000+Alt_rampe+pos_z)</f>
        <v>1.22665625490239</v>
      </c>
      <c r="W801" s="449" t="n">
        <f aca="false">1/2*Rho*Sref*Cx*vit_xz^2</f>
        <v>52.0839772537629</v>
      </c>
      <c r="X801" s="438"/>
      <c r="Y801" s="454" t="str">
        <f aca="false">IF(AND(pos_z&lt;=0,K800&gt;0),"Impact balistique","") &amp; IF(AND(H802&lt;0,vit_z&gt;=0),"Apogée","") &amp; IF(AND(Poussee=0,Q800&gt;0),"Fin de propulsion","") &amp; IF(AND(L802&gt;L_rampe,pos_xz&lt;=L_rampe),"Sortie de rampe","")</f>
        <v/>
      </c>
      <c r="Z801" s="455" t="str">
        <f aca="false">IF(ABS(t-T_para)&lt;pas/2,"Para","")</f>
        <v/>
      </c>
      <c r="AA801" s="456" t="str">
        <f aca="false">IF(ABS(t-T_satellite)&lt;pas/2,"Satellite","")</f>
        <v/>
      </c>
      <c r="AB801" s="444"/>
      <c r="AC801" s="452" t="e">
        <f aca="false">IF(ABS(t-ROUND(t,0))&lt;0.001,t,NA())</f>
        <v>#N/A</v>
      </c>
      <c r="AD801" s="457" t="e">
        <f aca="false">IF(ABS(t-ROUND(t,0))&lt;0.001,pos_x,NA())</f>
        <v>#N/A</v>
      </c>
      <c r="AE801" s="458" t="e">
        <f aca="false">IF(t&lt;T_para, pos_z, NA())</f>
        <v>#N/A</v>
      </c>
      <c r="AF801" s="444"/>
      <c r="AG801" s="450" t="n">
        <f aca="false">IF(AND(L800&lt;L_rampe,Poussee&lt;Poids*SIN(M800)),0,(-W800+Poussee)/m-Poids*SIN(M800)/m)</f>
        <v>3.69794629868867</v>
      </c>
      <c r="AH801" s="449" t="n">
        <f aca="false">IF(AND(L800&lt;L_rampe,Poussee&lt;Poids*SIN(M800)), g*SIN(M800), (-W800+Poussee)/m)</f>
        <v>-6.01983670853797</v>
      </c>
    </row>
    <row r="802" customFormat="false" ht="12" hidden="false" customHeight="false" outlineLevel="0" collapsed="false">
      <c r="A802" s="448" t="n">
        <f aca="false">IF(B801+0.01&lt;=T_ini+ROUNDUP(Temps_fin_propu,0), 0.01, IF(K801&gt;0, 0.1, 0.0001))</f>
        <v>0.0001</v>
      </c>
      <c r="B802" s="449" t="n">
        <f aca="false">B801+pas</f>
        <v>35.7081000000005</v>
      </c>
      <c r="C802" s="432"/>
      <c r="D802" s="450" t="n">
        <f aca="false">IF(AND(L801&lt;L_rampe,Poussee&lt;Poids*SIN(M801)),0,(-W801+Poussee)/m*COS(M801)-U801/m*SIN(M801))</f>
        <v>-0.823469496587346</v>
      </c>
      <c r="E802" s="451" t="n">
        <f aca="false">IF(AND(L801&lt;L_rampe,Poussee&lt;Poids*SIN(M801)),0,(-W801+Poussee)/m*SIN(M801)+U801/m*COS(M801)-Poids/m)</f>
        <v>-3.8467107146519</v>
      </c>
      <c r="F802" s="449" t="n">
        <f aca="false">SQRT(acc_x^2+acc_z^2)</f>
        <v>3.93386391910391</v>
      </c>
      <c r="G802" s="450" t="n">
        <f aca="false">G801+acc_x*pas</f>
        <v>18.9029901338969</v>
      </c>
      <c r="H802" s="451" t="n">
        <f aca="false">H801+acc_z*pas</f>
        <v>-136.89008131721</v>
      </c>
      <c r="I802" s="449" t="n">
        <f aca="false">SQRT(vit_x^2+vit_z^2)</f>
        <v>138.189063963234</v>
      </c>
      <c r="J802" s="450" t="n">
        <f aca="false">J801+0.5*(vit_x+G801)*pas*(K801&gt;=0)</f>
        <v>1017.12580762709</v>
      </c>
      <c r="K802" s="451" t="n">
        <f aca="false">K801+0.5*(vit_z+H801)*pas</f>
        <v>-13.5250032205046</v>
      </c>
      <c r="L802" s="449" t="n">
        <f aca="false">SQRT(pos_x^2+pos_z^2)</f>
        <v>1017.21572650701</v>
      </c>
      <c r="M802" s="450" t="n">
        <f aca="false">IF(AND(L801&gt;L_rampe,G802&gt;0),ATAN2(G802,H802),$M$4)</f>
        <v>-1.43357531369406</v>
      </c>
      <c r="N802" s="449" t="n">
        <f aca="false">DEGREES(Beta)</f>
        <v>-82.1378150888129</v>
      </c>
      <c r="O802" s="438"/>
      <c r="P802" s="452" t="n">
        <f aca="false">MATCH(t-pas/2-T_ini,CdP_t)</f>
        <v>23</v>
      </c>
      <c r="Q802" s="449" t="n">
        <f aca="false">(INDEX(CdP,2,i_P+1)-INDEX(CdP,2,i_P+0))/(INDEX(CdP,1,i_P+1)-INDEX(CdP,1,i_P+0))*(t-pas/2-T_ini-INDEX(CdP,1,i_P+0))+INDEX(CdP,2,i_P+0)</f>
        <v>0</v>
      </c>
      <c r="R802" s="450" t="n">
        <f aca="false">Poussee/(g*ISP)</f>
        <v>0</v>
      </c>
      <c r="S802" s="451" t="n">
        <f aca="false">S801-Débit*pas</f>
        <v>8.652</v>
      </c>
      <c r="T802" s="449" t="n">
        <f aca="false">m*g</f>
        <v>84.87612</v>
      </c>
      <c r="U802" s="453" t="n">
        <f aca="false">IF(pos_xz&lt;L_rampe,Poids*COS(Beta),0)</f>
        <v>0</v>
      </c>
      <c r="V802" s="450" t="n">
        <f aca="false">Rho_moyen*(20000-Alt_rampe-pos_z)/(20000+Alt_rampe+pos_z)</f>
        <v>1.2266579340727</v>
      </c>
      <c r="W802" s="449" t="n">
        <f aca="false">1/2*Rho*Sref*Cx*vit_xz^2</f>
        <v>52.0843273041109</v>
      </c>
      <c r="X802" s="438"/>
      <c r="Y802" s="454" t="str">
        <f aca="false">IF(AND(pos_z&lt;=0,K801&gt;0),"Impact balistique","") &amp; IF(AND(H803&lt;0,vit_z&gt;=0),"Apogée","") &amp; IF(AND(Poussee=0,Q801&gt;0),"Fin de propulsion","") &amp; IF(AND(L803&gt;L_rampe,pos_xz&lt;=L_rampe),"Sortie de rampe","")</f>
        <v/>
      </c>
      <c r="Z802" s="455" t="str">
        <f aca="false">IF(ABS(t-T_para)&lt;pas/2,"Para","")</f>
        <v/>
      </c>
      <c r="AA802" s="456" t="str">
        <f aca="false">IF(ABS(t-T_satellite)&lt;pas/2,"Satellite","")</f>
        <v/>
      </c>
      <c r="AB802" s="444"/>
      <c r="AC802" s="452" t="e">
        <f aca="false">IF(ABS(t-ROUND(t,0))&lt;0.001,t,NA())</f>
        <v>#N/A</v>
      </c>
      <c r="AD802" s="457" t="e">
        <f aca="false">IF(ABS(t-ROUND(t,0))&lt;0.001,pos_x,NA())</f>
        <v>#N/A</v>
      </c>
      <c r="AE802" s="458" t="e">
        <f aca="false">IF(t&lt;T_para, pos_z, NA())</f>
        <v>#N/A</v>
      </c>
      <c r="AF802" s="444"/>
      <c r="AG802" s="450" t="n">
        <f aca="false">IF(AND(L801&lt;L_rampe,Poussee&lt;Poids*SIN(M801)),0,(-W801+Poussee)/m-Poids*SIN(M801)/m)</f>
        <v>3.69790714279907</v>
      </c>
      <c r="AH802" s="449" t="n">
        <f aca="false">IF(AND(L801&lt;L_rampe,Poussee&lt;Poids*SIN(M801)), g*SIN(M801), (-W801+Poussee)/m)</f>
        <v>-6.01987716756391</v>
      </c>
    </row>
    <row r="803" customFormat="false" ht="12" hidden="false" customHeight="false" outlineLevel="0" collapsed="false">
      <c r="A803" s="448" t="n">
        <f aca="false">IF(B802+0.01&lt;=T_ini+ROUNDUP(Temps_fin_propu,0), 0.01, IF(K802&gt;0, 0.1, 0.0001))</f>
        <v>0.0001</v>
      </c>
      <c r="B803" s="449" t="n">
        <f aca="false">B802+pas</f>
        <v>35.7082000000005</v>
      </c>
      <c r="C803" s="432"/>
      <c r="D803" s="450" t="n">
        <f aca="false">IF(AND(L802&lt;L_rampe,Poussee&lt;Poids*SIN(M802)),0,(-W802+Poussee)/m*COS(M802)-U802/m*SIN(M802))</f>
        <v>-0.823469240156915</v>
      </c>
      <c r="E803" s="451" t="n">
        <f aca="false">IF(AND(L802&lt;L_rampe,Poussee&lt;Poids*SIN(M802)),0,(-W802+Poussee)/m*SIN(M802)+U802/m*COS(M802)-Poids/m)</f>
        <v>-3.84666983642111</v>
      </c>
      <c r="F803" s="449" t="n">
        <f aca="false">SQRT(acc_x^2+acc_z^2)</f>
        <v>3.9338238928448</v>
      </c>
      <c r="G803" s="450" t="n">
        <f aca="false">G802+acc_x*pas</f>
        <v>18.9029077869728</v>
      </c>
      <c r="H803" s="451" t="n">
        <f aca="false">H802+acc_z*pas</f>
        <v>-136.890465984194</v>
      </c>
      <c r="I803" s="449" t="n">
        <f aca="false">SQRT(vit_x^2+vit_z^2)</f>
        <v>138.189433750098</v>
      </c>
      <c r="J803" s="450" t="n">
        <f aca="false">J802+0.5*(vit_x+G802)*pas*(K802&gt;=0)</f>
        <v>1017.12580762709</v>
      </c>
      <c r="K803" s="451" t="n">
        <f aca="false">K802+0.5*(vit_z+H802)*pas</f>
        <v>-13.5386922478696</v>
      </c>
      <c r="L803" s="449" t="n">
        <f aca="false">SQRT(pos_x^2+pos_z^2)</f>
        <v>1017.21590860979</v>
      </c>
      <c r="M803" s="450" t="n">
        <f aca="false">IF(AND(L802&gt;L_rampe,G803&gt;0),ATAN2(G803,H803),$M$4)</f>
        <v>-1.4335762847651</v>
      </c>
      <c r="N803" s="449" t="n">
        <f aca="false">DEGREES(Beta)</f>
        <v>-82.1378707270851</v>
      </c>
      <c r="O803" s="438"/>
      <c r="P803" s="452" t="n">
        <f aca="false">MATCH(t-pas/2-T_ini,CdP_t)</f>
        <v>23</v>
      </c>
      <c r="Q803" s="449" t="n">
        <f aca="false">(INDEX(CdP,2,i_P+1)-INDEX(CdP,2,i_P+0))/(INDEX(CdP,1,i_P+1)-INDEX(CdP,1,i_P+0))*(t-pas/2-T_ini-INDEX(CdP,1,i_P+0))+INDEX(CdP,2,i_P+0)</f>
        <v>0</v>
      </c>
      <c r="R803" s="450" t="n">
        <f aca="false">Poussee/(g*ISP)</f>
        <v>0</v>
      </c>
      <c r="S803" s="451" t="n">
        <f aca="false">S802-Débit*pas</f>
        <v>8.652</v>
      </c>
      <c r="T803" s="449" t="n">
        <f aca="false">m*g</f>
        <v>84.87612</v>
      </c>
      <c r="U803" s="453" t="n">
        <f aca="false">IF(pos_xz&lt;L_rampe,Poids*COS(Beta),0)</f>
        <v>0</v>
      </c>
      <c r="V803" s="450" t="n">
        <f aca="false">Rho_moyen*(20000-Alt_rampe-pos_z)/(20000+Alt_rampe+pos_z)</f>
        <v>1.22665961325002</v>
      </c>
      <c r="W803" s="449" t="n">
        <f aca="false">1/2*Rho*Sref*Cx*vit_xz^2</f>
        <v>52.0846773533143</v>
      </c>
      <c r="X803" s="438"/>
      <c r="Y803" s="454" t="str">
        <f aca="false">IF(AND(pos_z&lt;=0,K802&gt;0),"Impact balistique","") &amp; IF(AND(H804&lt;0,vit_z&gt;=0),"Apogée","") &amp; IF(AND(Poussee=0,Q802&gt;0),"Fin de propulsion","") &amp; IF(AND(L804&gt;L_rampe,pos_xz&lt;=L_rampe),"Sortie de rampe","")</f>
        <v/>
      </c>
      <c r="Z803" s="455" t="str">
        <f aca="false">IF(ABS(t-T_para)&lt;pas/2,"Para","")</f>
        <v/>
      </c>
      <c r="AA803" s="456" t="str">
        <f aca="false">IF(ABS(t-T_satellite)&lt;pas/2,"Satellite","")</f>
        <v/>
      </c>
      <c r="AB803" s="444"/>
      <c r="AC803" s="452" t="e">
        <f aca="false">IF(ABS(t-ROUND(t,0))&lt;0.001,t,NA())</f>
        <v>#N/A</v>
      </c>
      <c r="AD803" s="457" t="e">
        <f aca="false">IF(ABS(t-ROUND(t,0))&lt;0.001,pos_x,NA())</f>
        <v>#N/A</v>
      </c>
      <c r="AE803" s="458" t="e">
        <f aca="false">IF(t&lt;T_para, pos_z, NA())</f>
        <v>#N/A</v>
      </c>
      <c r="AF803" s="444"/>
      <c r="AG803" s="450" t="n">
        <f aca="false">IF(AND(L802&lt;L_rampe,Poussee&lt;Poids*SIN(M802)),0,(-W802+Poussee)/m-Poids*SIN(M802)/m)</f>
        <v>3.69786798701993</v>
      </c>
      <c r="AH803" s="449" t="n">
        <f aca="false">IF(AND(L802&lt;L_rampe,Poussee&lt;Poids*SIN(M802)), g*SIN(M802), (-W802+Poussee)/m)</f>
        <v>-6.01991762645757</v>
      </c>
    </row>
    <row r="804" customFormat="false" ht="12" hidden="false" customHeight="false" outlineLevel="0" collapsed="false">
      <c r="A804" s="448" t="n">
        <f aca="false">IF(B803+0.01&lt;=T_ini+ROUNDUP(Temps_fin_propu,0), 0.01, IF(K803&gt;0, 0.1, 0.0001))</f>
        <v>0.0001</v>
      </c>
      <c r="B804" s="449" t="n">
        <f aca="false">B803+pas</f>
        <v>35.7083000000005</v>
      </c>
      <c r="C804" s="432"/>
      <c r="D804" s="450" t="n">
        <f aca="false">IF(AND(L803&lt;L_rampe,Poussee&lt;Poids*SIN(M803)),0,(-W803+Poussee)/m*COS(M803)-U803/m*SIN(M803))</f>
        <v>-0.82346898368599</v>
      </c>
      <c r="E804" s="451" t="n">
        <f aca="false">IF(AND(L803&lt;L_rampe,Poussee&lt;Poids*SIN(M803)),0,(-W803+Poussee)/m*SIN(M803)+U803/m*COS(M803)-Poids/m)</f>
        <v>-3.84662895832398</v>
      </c>
      <c r="F804" s="449" t="n">
        <f aca="false">SQRT(acc_x^2+acc_z^2)</f>
        <v>3.93378386672546</v>
      </c>
      <c r="G804" s="450" t="n">
        <f aca="false">G803+acc_x*pas</f>
        <v>18.9028254400745</v>
      </c>
      <c r="H804" s="451" t="n">
        <f aca="false">H803+acc_z*pas</f>
        <v>-136.89085064709</v>
      </c>
      <c r="I804" s="449" t="n">
        <f aca="false">SQRT(vit_x^2+vit_z^2)</f>
        <v>138.189803533046</v>
      </c>
      <c r="J804" s="450" t="n">
        <f aca="false">J803+0.5*(vit_x+G803)*pas*(K803&gt;=0)</f>
        <v>1017.12580762709</v>
      </c>
      <c r="K804" s="451" t="n">
        <f aca="false">K803+0.5*(vit_z+H803)*pas</f>
        <v>-13.5523813137012</v>
      </c>
      <c r="L804" s="449" t="n">
        <f aca="false">SQRT(pos_x^2+pos_z^2)</f>
        <v>1017.21609089727</v>
      </c>
      <c r="M804" s="450" t="n">
        <f aca="false">IF(AND(L803&gt;L_rampe,G804&gt;0),ATAN2(G804,H804),$M$4)</f>
        <v>-1.43357725582672</v>
      </c>
      <c r="N804" s="449" t="n">
        <f aca="false">DEGREES(Beta)</f>
        <v>-82.1379263648172</v>
      </c>
      <c r="O804" s="438"/>
      <c r="P804" s="452" t="n">
        <f aca="false">MATCH(t-pas/2-T_ini,CdP_t)</f>
        <v>23</v>
      </c>
      <c r="Q804" s="449" t="n">
        <f aca="false">(INDEX(CdP,2,i_P+1)-INDEX(CdP,2,i_P+0))/(INDEX(CdP,1,i_P+1)-INDEX(CdP,1,i_P+0))*(t-pas/2-T_ini-INDEX(CdP,1,i_P+0))+INDEX(CdP,2,i_P+0)</f>
        <v>0</v>
      </c>
      <c r="R804" s="450" t="n">
        <f aca="false">Poussee/(g*ISP)</f>
        <v>0</v>
      </c>
      <c r="S804" s="451" t="n">
        <f aca="false">S803-Débit*pas</f>
        <v>8.652</v>
      </c>
      <c r="T804" s="449" t="n">
        <f aca="false">m*g</f>
        <v>84.87612</v>
      </c>
      <c r="U804" s="453" t="n">
        <f aca="false">IF(pos_xz&lt;L_rampe,Poids*COS(Beta),0)</f>
        <v>0</v>
      </c>
      <c r="V804" s="450" t="n">
        <f aca="false">Rho_moyen*(20000-Alt_rampe-pos_z)/(20000+Alt_rampe+pos_z)</f>
        <v>1.22666129243436</v>
      </c>
      <c r="W804" s="449" t="n">
        <f aca="false">1/2*Rho*Sref*Cx*vit_xz^2</f>
        <v>52.0850274013732</v>
      </c>
      <c r="X804" s="438"/>
      <c r="Y804" s="454" t="str">
        <f aca="false">IF(AND(pos_z&lt;=0,K803&gt;0),"Impact balistique","") &amp; IF(AND(H805&lt;0,vit_z&gt;=0),"Apogée","") &amp; IF(AND(Poussee=0,Q803&gt;0),"Fin de propulsion","") &amp; IF(AND(L805&gt;L_rampe,pos_xz&lt;=L_rampe),"Sortie de rampe","")</f>
        <v/>
      </c>
      <c r="Z804" s="455" t="str">
        <f aca="false">IF(ABS(t-T_para)&lt;pas/2,"Para","")</f>
        <v/>
      </c>
      <c r="AA804" s="456" t="str">
        <f aca="false">IF(ABS(t-T_satellite)&lt;pas/2,"Satellite","")</f>
        <v/>
      </c>
      <c r="AB804" s="444"/>
      <c r="AC804" s="452" t="e">
        <f aca="false">IF(ABS(t-ROUND(t,0))&lt;0.001,t,NA())</f>
        <v>#N/A</v>
      </c>
      <c r="AD804" s="457" t="e">
        <f aca="false">IF(ABS(t-ROUND(t,0))&lt;0.001,pos_x,NA())</f>
        <v>#N/A</v>
      </c>
      <c r="AE804" s="458" t="e">
        <f aca="false">IF(t&lt;T_para, pos_z, NA())</f>
        <v>#N/A</v>
      </c>
      <c r="AF804" s="444"/>
      <c r="AG804" s="450" t="n">
        <f aca="false">IF(AND(L803&lt;L_rampe,Poussee&lt;Poids*SIN(M803)),0,(-W803+Poussee)/m-Poids*SIN(M803)/m)</f>
        <v>3.69782883135127</v>
      </c>
      <c r="AH804" s="449" t="n">
        <f aca="false">IF(AND(L803&lt;L_rampe,Poussee&lt;Poids*SIN(M803)), g*SIN(M803), (-W803+Poussee)/m)</f>
        <v>-6.01995808521895</v>
      </c>
    </row>
    <row r="805" customFormat="false" ht="12" hidden="false" customHeight="false" outlineLevel="0" collapsed="false">
      <c r="A805" s="448" t="n">
        <f aca="false">IF(B804+0.01&lt;=T_ini+ROUNDUP(Temps_fin_propu,0), 0.01, IF(K804&gt;0, 0.1, 0.0001))</f>
        <v>0.0001</v>
      </c>
      <c r="B805" s="449" t="n">
        <f aca="false">B804+pas</f>
        <v>35.7084000000005</v>
      </c>
      <c r="C805" s="432"/>
      <c r="D805" s="450" t="n">
        <f aca="false">IF(AND(L804&lt;L_rampe,Poussee&lt;Poids*SIN(M804)),0,(-W804+Poussee)/m*COS(M804)-U804/m*SIN(M804))</f>
        <v>-0.823468727174577</v>
      </c>
      <c r="E805" s="451" t="n">
        <f aca="false">IF(AND(L804&lt;L_rampe,Poussee&lt;Poids*SIN(M804)),0,(-W804+Poussee)/m*SIN(M804)+U804/m*COS(M804)-Poids/m)</f>
        <v>-3.84658808036054</v>
      </c>
      <c r="F805" s="449" t="n">
        <f aca="false">SQRT(acc_x^2+acc_z^2)</f>
        <v>3.9337438407459</v>
      </c>
      <c r="G805" s="450" t="n">
        <f aca="false">G804+acc_x*pas</f>
        <v>18.9027430932018</v>
      </c>
      <c r="H805" s="451" t="n">
        <f aca="false">H804+acc_z*pas</f>
        <v>-136.891235305898</v>
      </c>
      <c r="I805" s="449" t="n">
        <f aca="false">SQRT(vit_x^2+vit_z^2)</f>
        <v>138.190173312079</v>
      </c>
      <c r="J805" s="450" t="n">
        <f aca="false">J804+0.5*(vit_x+G804)*pas*(K804&gt;=0)</f>
        <v>1017.12580762709</v>
      </c>
      <c r="K805" s="451" t="n">
        <f aca="false">K804+0.5*(vit_z+H804)*pas</f>
        <v>-13.5660704179989</v>
      </c>
      <c r="L805" s="449" t="n">
        <f aca="false">SQRT(pos_x^2+pos_z^2)</f>
        <v>1017.21627336946</v>
      </c>
      <c r="M805" s="450" t="n">
        <f aca="false">IF(AND(L804&gt;L_rampe,G805&gt;0),ATAN2(G805,H805),$M$4)</f>
        <v>-1.4335782268789</v>
      </c>
      <c r="N805" s="449" t="n">
        <f aca="false">DEGREES(Beta)</f>
        <v>-82.1379820020091</v>
      </c>
      <c r="O805" s="438"/>
      <c r="P805" s="452" t="n">
        <f aca="false">MATCH(t-pas/2-T_ini,CdP_t)</f>
        <v>23</v>
      </c>
      <c r="Q805" s="449" t="n">
        <f aca="false">(INDEX(CdP,2,i_P+1)-INDEX(CdP,2,i_P+0))/(INDEX(CdP,1,i_P+1)-INDEX(CdP,1,i_P+0))*(t-pas/2-T_ini-INDEX(CdP,1,i_P+0))+INDEX(CdP,2,i_P+0)</f>
        <v>0</v>
      </c>
      <c r="R805" s="450" t="n">
        <f aca="false">Poussee/(g*ISP)</f>
        <v>0</v>
      </c>
      <c r="S805" s="451" t="n">
        <f aca="false">S804-Débit*pas</f>
        <v>8.652</v>
      </c>
      <c r="T805" s="449" t="n">
        <f aca="false">m*g</f>
        <v>84.87612</v>
      </c>
      <c r="U805" s="453" t="n">
        <f aca="false">IF(pos_xz&lt;L_rampe,Poids*COS(Beta),0)</f>
        <v>0</v>
      </c>
      <c r="V805" s="450" t="n">
        <f aca="false">Rho_moyen*(20000-Alt_rampe-pos_z)/(20000+Alt_rampe+pos_z)</f>
        <v>1.22666297162571</v>
      </c>
      <c r="W805" s="449" t="n">
        <f aca="false">1/2*Rho*Sref*Cx*vit_xz^2</f>
        <v>52.0853774482876</v>
      </c>
      <c r="X805" s="438"/>
      <c r="Y805" s="454" t="str">
        <f aca="false">IF(AND(pos_z&lt;=0,K804&gt;0),"Impact balistique","") &amp; IF(AND(H806&lt;0,vit_z&gt;=0),"Apogée","") &amp; IF(AND(Poussee=0,Q804&gt;0),"Fin de propulsion","") &amp; IF(AND(L806&gt;L_rampe,pos_xz&lt;=L_rampe),"Sortie de rampe","")</f>
        <v/>
      </c>
      <c r="Z805" s="455" t="str">
        <f aca="false">IF(ABS(t-T_para)&lt;pas/2,"Para","")</f>
        <v/>
      </c>
      <c r="AA805" s="456" t="str">
        <f aca="false">IF(ABS(t-T_satellite)&lt;pas/2,"Satellite","")</f>
        <v/>
      </c>
      <c r="AB805" s="444"/>
      <c r="AC805" s="452" t="e">
        <f aca="false">IF(ABS(t-ROUND(t,0))&lt;0.001,t,NA())</f>
        <v>#N/A</v>
      </c>
      <c r="AD805" s="457" t="e">
        <f aca="false">IF(ABS(t-ROUND(t,0))&lt;0.001,pos_x,NA())</f>
        <v>#N/A</v>
      </c>
      <c r="AE805" s="458" t="e">
        <f aca="false">IF(t&lt;T_para, pos_z, NA())</f>
        <v>#N/A</v>
      </c>
      <c r="AF805" s="444"/>
      <c r="AG805" s="450" t="n">
        <f aca="false">IF(AND(L804&lt;L_rampe,Poussee&lt;Poids*SIN(M804)),0,(-W804+Poussee)/m-Poids*SIN(M804)/m)</f>
        <v>3.69778967579307</v>
      </c>
      <c r="AH805" s="449" t="n">
        <f aca="false">IF(AND(L804&lt;L_rampe,Poussee&lt;Poids*SIN(M804)), g*SIN(M804), (-W804+Poussee)/m)</f>
        <v>-6.01999854384804</v>
      </c>
    </row>
    <row r="806" customFormat="false" ht="12" hidden="false" customHeight="false" outlineLevel="0" collapsed="false">
      <c r="A806" s="448" t="n">
        <f aca="false">IF(B805+0.01&lt;=T_ini+ROUNDUP(Temps_fin_propu,0), 0.01, IF(K805&gt;0, 0.1, 0.0001))</f>
        <v>0.0001</v>
      </c>
      <c r="B806" s="449" t="n">
        <f aca="false">B805+pas</f>
        <v>35.7085000000005</v>
      </c>
      <c r="C806" s="432"/>
      <c r="D806" s="450" t="n">
        <f aca="false">IF(AND(L805&lt;L_rampe,Poussee&lt;Poids*SIN(M805)),0,(-W805+Poussee)/m*COS(M805)-U805/m*SIN(M805))</f>
        <v>-0.823468470622672</v>
      </c>
      <c r="E806" s="451" t="n">
        <f aca="false">IF(AND(L805&lt;L_rampe,Poussee&lt;Poids*SIN(M805)),0,(-W805+Poussee)/m*SIN(M805)+U805/m*COS(M805)-Poids/m)</f>
        <v>-3.84654720253078</v>
      </c>
      <c r="F806" s="449" t="n">
        <f aca="false">SQRT(acc_x^2+acc_z^2)</f>
        <v>3.93370381490612</v>
      </c>
      <c r="G806" s="450" t="n">
        <f aca="false">G805+acc_x*pas</f>
        <v>18.9026607463547</v>
      </c>
      <c r="H806" s="451" t="n">
        <f aca="false">H805+acc_z*pas</f>
        <v>-136.891619960618</v>
      </c>
      <c r="I806" s="449" t="n">
        <f aca="false">SQRT(vit_x^2+vit_z^2)</f>
        <v>138.190543087196</v>
      </c>
      <c r="J806" s="450" t="n">
        <f aca="false">J805+0.5*(vit_x+G805)*pas*(K805&gt;=0)</f>
        <v>1017.12580762709</v>
      </c>
      <c r="K806" s="451" t="n">
        <f aca="false">K805+0.5*(vit_z+H805)*pas</f>
        <v>-13.5797595607622</v>
      </c>
      <c r="L806" s="449" t="n">
        <f aca="false">SQRT(pos_x^2+pos_z^2)</f>
        <v>1017.21645602634</v>
      </c>
      <c r="M806" s="450" t="n">
        <f aca="false">IF(AND(L805&gt;L_rampe,G806&gt;0),ATAN2(G806,H806),$M$4)</f>
        <v>-1.43357919792166</v>
      </c>
      <c r="N806" s="449" t="n">
        <f aca="false">DEGREES(Beta)</f>
        <v>-82.138037638661</v>
      </c>
      <c r="O806" s="438"/>
      <c r="P806" s="452" t="n">
        <f aca="false">MATCH(t-pas/2-T_ini,CdP_t)</f>
        <v>23</v>
      </c>
      <c r="Q806" s="449" t="n">
        <f aca="false">(INDEX(CdP,2,i_P+1)-INDEX(CdP,2,i_P+0))/(INDEX(CdP,1,i_P+1)-INDEX(CdP,1,i_P+0))*(t-pas/2-T_ini-INDEX(CdP,1,i_P+0))+INDEX(CdP,2,i_P+0)</f>
        <v>0</v>
      </c>
      <c r="R806" s="450" t="n">
        <f aca="false">Poussee/(g*ISP)</f>
        <v>0</v>
      </c>
      <c r="S806" s="451" t="n">
        <f aca="false">S805-Débit*pas</f>
        <v>8.652</v>
      </c>
      <c r="T806" s="449" t="n">
        <f aca="false">m*g</f>
        <v>84.87612</v>
      </c>
      <c r="U806" s="453" t="n">
        <f aca="false">IF(pos_xz&lt;L_rampe,Poids*COS(Beta),0)</f>
        <v>0</v>
      </c>
      <c r="V806" s="450" t="n">
        <f aca="false">Rho_moyen*(20000-Alt_rampe-pos_z)/(20000+Alt_rampe+pos_z)</f>
        <v>1.22666465082409</v>
      </c>
      <c r="W806" s="449" t="n">
        <f aca="false">1/2*Rho*Sref*Cx*vit_xz^2</f>
        <v>52.0857274940575</v>
      </c>
      <c r="X806" s="438"/>
      <c r="Y806" s="454" t="str">
        <f aca="false">IF(AND(pos_z&lt;=0,K805&gt;0),"Impact balistique","") &amp; IF(AND(H807&lt;0,vit_z&gt;=0),"Apogée","") &amp; IF(AND(Poussee=0,Q805&gt;0),"Fin de propulsion","") &amp; IF(AND(L807&gt;L_rampe,pos_xz&lt;=L_rampe),"Sortie de rampe","")</f>
        <v/>
      </c>
      <c r="Z806" s="455" t="str">
        <f aca="false">IF(ABS(t-T_para)&lt;pas/2,"Para","")</f>
        <v/>
      </c>
      <c r="AA806" s="456" t="str">
        <f aca="false">IF(ABS(t-T_satellite)&lt;pas/2,"Satellite","")</f>
        <v/>
      </c>
      <c r="AB806" s="444"/>
      <c r="AC806" s="452" t="e">
        <f aca="false">IF(ABS(t-ROUND(t,0))&lt;0.001,t,NA())</f>
        <v>#N/A</v>
      </c>
      <c r="AD806" s="457" t="e">
        <f aca="false">IF(ABS(t-ROUND(t,0))&lt;0.001,pos_x,NA())</f>
        <v>#N/A</v>
      </c>
      <c r="AE806" s="458" t="e">
        <f aca="false">IF(t&lt;T_para, pos_z, NA())</f>
        <v>#N/A</v>
      </c>
      <c r="AF806" s="444"/>
      <c r="AG806" s="450" t="n">
        <f aca="false">IF(AND(L805&lt;L_rampe,Poussee&lt;Poids*SIN(M805)),0,(-W805+Poussee)/m-Poids*SIN(M805)/m)</f>
        <v>3.69775052034534</v>
      </c>
      <c r="AH806" s="449" t="n">
        <f aca="false">IF(AND(L805&lt;L_rampe,Poussee&lt;Poids*SIN(M805)), g*SIN(M805), (-W805+Poussee)/m)</f>
        <v>-6.02003900234485</v>
      </c>
    </row>
    <row r="807" customFormat="false" ht="12" hidden="false" customHeight="false" outlineLevel="0" collapsed="false">
      <c r="A807" s="448" t="n">
        <f aca="false">IF(B806+0.01&lt;=T_ini+ROUNDUP(Temps_fin_propu,0), 0.01, IF(K806&gt;0, 0.1, 0.0001))</f>
        <v>0.0001</v>
      </c>
      <c r="B807" s="449" t="n">
        <f aca="false">B806+pas</f>
        <v>35.7086000000005</v>
      </c>
      <c r="C807" s="432"/>
      <c r="D807" s="450" t="n">
        <f aca="false">IF(AND(L806&lt;L_rampe,Poussee&lt;Poids*SIN(M806)),0,(-W806+Poussee)/m*COS(M806)-U806/m*SIN(M806))</f>
        <v>-0.823468214030277</v>
      </c>
      <c r="E807" s="451" t="n">
        <f aca="false">IF(AND(L806&lt;L_rampe,Poussee&lt;Poids*SIN(M806)),0,(-W806+Poussee)/m*SIN(M806)+U806/m*COS(M806)-Poids/m)</f>
        <v>-3.8465063248347</v>
      </c>
      <c r="F807" s="449" t="n">
        <f aca="false">SQRT(acc_x^2+acc_z^2)</f>
        <v>3.93366378920613</v>
      </c>
      <c r="G807" s="450" t="n">
        <f aca="false">G806+acc_x*pas</f>
        <v>18.9025783995333</v>
      </c>
      <c r="H807" s="451" t="n">
        <f aca="false">H806+acc_z*pas</f>
        <v>-136.892004611251</v>
      </c>
      <c r="I807" s="449" t="n">
        <f aca="false">SQRT(vit_x^2+vit_z^2)</f>
        <v>138.190912858397</v>
      </c>
      <c r="J807" s="450" t="n">
        <f aca="false">J806+0.5*(vit_x+G806)*pas*(K806&gt;=0)</f>
        <v>1017.12580762709</v>
      </c>
      <c r="K807" s="451" t="n">
        <f aca="false">K806+0.5*(vit_z+H806)*pas</f>
        <v>-13.5934487419908</v>
      </c>
      <c r="L807" s="449" t="n">
        <f aca="false">SQRT(pos_x^2+pos_z^2)</f>
        <v>1017.21663886793</v>
      </c>
      <c r="M807" s="450" t="n">
        <f aca="false">IF(AND(L806&gt;L_rampe,G807&gt;0),ATAN2(G807,H807),$M$4)</f>
        <v>-1.43358016895499</v>
      </c>
      <c r="N807" s="449" t="n">
        <f aca="false">DEGREES(Beta)</f>
        <v>-82.1380932747727</v>
      </c>
      <c r="O807" s="438"/>
      <c r="P807" s="452" t="n">
        <f aca="false">MATCH(t-pas/2-T_ini,CdP_t)</f>
        <v>23</v>
      </c>
      <c r="Q807" s="449" t="n">
        <f aca="false">(INDEX(CdP,2,i_P+1)-INDEX(CdP,2,i_P+0))/(INDEX(CdP,1,i_P+1)-INDEX(CdP,1,i_P+0))*(t-pas/2-T_ini-INDEX(CdP,1,i_P+0))+INDEX(CdP,2,i_P+0)</f>
        <v>0</v>
      </c>
      <c r="R807" s="450" t="n">
        <f aca="false">Poussee/(g*ISP)</f>
        <v>0</v>
      </c>
      <c r="S807" s="451" t="n">
        <f aca="false">S806-Débit*pas</f>
        <v>8.652</v>
      </c>
      <c r="T807" s="449" t="n">
        <f aca="false">m*g</f>
        <v>84.87612</v>
      </c>
      <c r="U807" s="453" t="n">
        <f aca="false">IF(pos_xz&lt;L_rampe,Poids*COS(Beta),0)</f>
        <v>0</v>
      </c>
      <c r="V807" s="450" t="n">
        <f aca="false">Rho_moyen*(20000-Alt_rampe-pos_z)/(20000+Alt_rampe+pos_z)</f>
        <v>1.22666633002949</v>
      </c>
      <c r="W807" s="449" t="n">
        <f aca="false">1/2*Rho*Sref*Cx*vit_xz^2</f>
        <v>52.0860775386827</v>
      </c>
      <c r="X807" s="438"/>
      <c r="Y807" s="454" t="str">
        <f aca="false">IF(AND(pos_z&lt;=0,K806&gt;0),"Impact balistique","") &amp; IF(AND(H808&lt;0,vit_z&gt;=0),"Apogée","") &amp; IF(AND(Poussee=0,Q806&gt;0),"Fin de propulsion","") &amp; IF(AND(L808&gt;L_rampe,pos_xz&lt;=L_rampe),"Sortie de rampe","")</f>
        <v/>
      </c>
      <c r="Z807" s="455" t="str">
        <f aca="false">IF(ABS(t-T_para)&lt;pas/2,"Para","")</f>
        <v/>
      </c>
      <c r="AA807" s="456" t="str">
        <f aca="false">IF(ABS(t-T_satellite)&lt;pas/2,"Satellite","")</f>
        <v/>
      </c>
      <c r="AB807" s="444"/>
      <c r="AC807" s="452" t="e">
        <f aca="false">IF(ABS(t-ROUND(t,0))&lt;0.001,t,NA())</f>
        <v>#N/A</v>
      </c>
      <c r="AD807" s="457" t="e">
        <f aca="false">IF(ABS(t-ROUND(t,0))&lt;0.001,pos_x,NA())</f>
        <v>#N/A</v>
      </c>
      <c r="AE807" s="458" t="e">
        <f aca="false">IF(t&lt;T_para, pos_z, NA())</f>
        <v>#N/A</v>
      </c>
      <c r="AF807" s="444"/>
      <c r="AG807" s="450" t="n">
        <f aca="false">IF(AND(L806&lt;L_rampe,Poussee&lt;Poids*SIN(M806)),0,(-W806+Poussee)/m-Poids*SIN(M806)/m)</f>
        <v>3.6977113650081</v>
      </c>
      <c r="AH807" s="449" t="n">
        <f aca="false">IF(AND(L806&lt;L_rampe,Poussee&lt;Poids*SIN(M806)), g*SIN(M806), (-W806+Poussee)/m)</f>
        <v>-6.02007946070937</v>
      </c>
    </row>
    <row r="808" customFormat="false" ht="12" hidden="false" customHeight="false" outlineLevel="0" collapsed="false">
      <c r="A808" s="448" t="n">
        <f aca="false">IF(B807+0.01&lt;=T_ini+ROUNDUP(Temps_fin_propu,0), 0.01, IF(K807&gt;0, 0.1, 0.0001))</f>
        <v>0.0001</v>
      </c>
      <c r="B808" s="449" t="n">
        <f aca="false">B807+pas</f>
        <v>35.7087000000005</v>
      </c>
      <c r="C808" s="432"/>
      <c r="D808" s="450" t="n">
        <f aca="false">IF(AND(L807&lt;L_rampe,Poussee&lt;Poids*SIN(M807)),0,(-W807+Poussee)/m*COS(M807)-U807/m*SIN(M807))</f>
        <v>-0.823467957397393</v>
      </c>
      <c r="E808" s="451" t="n">
        <f aca="false">IF(AND(L807&lt;L_rampe,Poussee&lt;Poids*SIN(M807)),0,(-W807+Poussee)/m*SIN(M807)+U807/m*COS(M807)-Poids/m)</f>
        <v>-3.8464654472723</v>
      </c>
      <c r="F808" s="449" t="n">
        <f aca="false">SQRT(acc_x^2+acc_z^2)</f>
        <v>3.93362376364593</v>
      </c>
      <c r="G808" s="450" t="n">
        <f aca="false">G807+acc_x*pas</f>
        <v>18.9024960527376</v>
      </c>
      <c r="H808" s="451" t="n">
        <f aca="false">H807+acc_z*pas</f>
        <v>-136.892389257795</v>
      </c>
      <c r="I808" s="449" t="n">
        <f aca="false">SQRT(vit_x^2+vit_z^2)</f>
        <v>138.191282625684</v>
      </c>
      <c r="J808" s="450" t="n">
        <f aca="false">J807+0.5*(vit_x+G807)*pas*(K807&gt;=0)</f>
        <v>1017.12580762709</v>
      </c>
      <c r="K808" s="451" t="n">
        <f aca="false">K807+0.5*(vit_z+H807)*pas</f>
        <v>-13.6071379616842</v>
      </c>
      <c r="L808" s="449" t="n">
        <f aca="false">SQRT(pos_x^2+pos_z^2)</f>
        <v>1017.21682189422</v>
      </c>
      <c r="M808" s="450" t="n">
        <f aca="false">IF(AND(L807&gt;L_rampe,G808&gt;0),ATAN2(G808,H808),$M$4)</f>
        <v>-1.4335811399789</v>
      </c>
      <c r="N808" s="449" t="n">
        <f aca="false">DEGREES(Beta)</f>
        <v>-82.1381489103443</v>
      </c>
      <c r="O808" s="438"/>
      <c r="P808" s="452" t="n">
        <f aca="false">MATCH(t-pas/2-T_ini,CdP_t)</f>
        <v>23</v>
      </c>
      <c r="Q808" s="449" t="n">
        <f aca="false">(INDEX(CdP,2,i_P+1)-INDEX(CdP,2,i_P+0))/(INDEX(CdP,1,i_P+1)-INDEX(CdP,1,i_P+0))*(t-pas/2-T_ini-INDEX(CdP,1,i_P+0))+INDEX(CdP,2,i_P+0)</f>
        <v>0</v>
      </c>
      <c r="R808" s="450" t="n">
        <f aca="false">Poussee/(g*ISP)</f>
        <v>0</v>
      </c>
      <c r="S808" s="451" t="n">
        <f aca="false">S807-Débit*pas</f>
        <v>8.652</v>
      </c>
      <c r="T808" s="449" t="n">
        <f aca="false">m*g</f>
        <v>84.87612</v>
      </c>
      <c r="U808" s="453" t="n">
        <f aca="false">IF(pos_xz&lt;L_rampe,Poids*COS(Beta),0)</f>
        <v>0</v>
      </c>
      <c r="V808" s="450" t="n">
        <f aca="false">Rho_moyen*(20000-Alt_rampe-pos_z)/(20000+Alt_rampe+pos_z)</f>
        <v>1.2266680092419</v>
      </c>
      <c r="W808" s="449" t="n">
        <f aca="false">1/2*Rho*Sref*Cx*vit_xz^2</f>
        <v>52.0864275821634</v>
      </c>
      <c r="X808" s="438"/>
      <c r="Y808" s="454" t="str">
        <f aca="false">IF(AND(pos_z&lt;=0,K807&gt;0),"Impact balistique","") &amp; IF(AND(H809&lt;0,vit_z&gt;=0),"Apogée","") &amp; IF(AND(Poussee=0,Q807&gt;0),"Fin de propulsion","") &amp; IF(AND(L809&gt;L_rampe,pos_xz&lt;=L_rampe),"Sortie de rampe","")</f>
        <v/>
      </c>
      <c r="Z808" s="455" t="str">
        <f aca="false">IF(ABS(t-T_para)&lt;pas/2,"Para","")</f>
        <v/>
      </c>
      <c r="AA808" s="456" t="str">
        <f aca="false">IF(ABS(t-T_satellite)&lt;pas/2,"Satellite","")</f>
        <v/>
      </c>
      <c r="AB808" s="444"/>
      <c r="AC808" s="452" t="e">
        <f aca="false">IF(ABS(t-ROUND(t,0))&lt;0.001,t,NA())</f>
        <v>#N/A</v>
      </c>
      <c r="AD808" s="457" t="e">
        <f aca="false">IF(ABS(t-ROUND(t,0))&lt;0.001,pos_x,NA())</f>
        <v>#N/A</v>
      </c>
      <c r="AE808" s="458" t="e">
        <f aca="false">IF(t&lt;T_para, pos_z, NA())</f>
        <v>#N/A</v>
      </c>
      <c r="AF808" s="444"/>
      <c r="AG808" s="450" t="n">
        <f aca="false">IF(AND(L807&lt;L_rampe,Poussee&lt;Poids*SIN(M807)),0,(-W807+Poussee)/m-Poids*SIN(M807)/m)</f>
        <v>3.69767220978132</v>
      </c>
      <c r="AH808" s="449" t="n">
        <f aca="false">IF(AND(L807&lt;L_rampe,Poussee&lt;Poids*SIN(M807)), g*SIN(M807), (-W807+Poussee)/m)</f>
        <v>-6.0201199189416</v>
      </c>
    </row>
    <row r="809" customFormat="false" ht="12" hidden="false" customHeight="false" outlineLevel="0" collapsed="false">
      <c r="A809" s="448" t="n">
        <f aca="false">IF(B808+0.01&lt;=T_ini+ROUNDUP(Temps_fin_propu,0), 0.01, IF(K808&gt;0, 0.1, 0.0001))</f>
        <v>0.0001</v>
      </c>
      <c r="B809" s="449" t="n">
        <f aca="false">B808+pas</f>
        <v>35.7088000000005</v>
      </c>
      <c r="C809" s="432"/>
      <c r="D809" s="450" t="n">
        <f aca="false">IF(AND(L808&lt;L_rampe,Poussee&lt;Poids*SIN(M808)),0,(-W808+Poussee)/m*COS(M808)-U808/m*SIN(M808))</f>
        <v>-0.823467700724019</v>
      </c>
      <c r="E809" s="451" t="n">
        <f aca="false">IF(AND(L808&lt;L_rampe,Poussee&lt;Poids*SIN(M808)),0,(-W808+Poussee)/m*SIN(M808)+U808/m*COS(M808)-Poids/m)</f>
        <v>-3.84642456984359</v>
      </c>
      <c r="F809" s="449" t="n">
        <f aca="false">SQRT(acc_x^2+acc_z^2)</f>
        <v>3.93358373822551</v>
      </c>
      <c r="G809" s="450" t="n">
        <f aca="false">G808+acc_x*pas</f>
        <v>18.9024137059675</v>
      </c>
      <c r="H809" s="451" t="n">
        <f aca="false">H808+acc_z*pas</f>
        <v>-136.892773900252</v>
      </c>
      <c r="I809" s="449" t="n">
        <f aca="false">SQRT(vit_x^2+vit_z^2)</f>
        <v>138.191652389054</v>
      </c>
      <c r="J809" s="450" t="n">
        <f aca="false">J808+0.5*(vit_x+G808)*pas*(K808&gt;=0)</f>
        <v>1017.12580762709</v>
      </c>
      <c r="K809" s="451" t="n">
        <f aca="false">K808+0.5*(vit_z+H808)*pas</f>
        <v>-13.6208272198421</v>
      </c>
      <c r="L809" s="449" t="n">
        <f aca="false">SQRT(pos_x^2+pos_z^2)</f>
        <v>1017.21700510521</v>
      </c>
      <c r="M809" s="450" t="n">
        <f aca="false">IF(AND(L808&gt;L_rampe,G809&gt;0),ATAN2(G809,H809),$M$4)</f>
        <v>-1.43358211099338</v>
      </c>
      <c r="N809" s="449" t="n">
        <f aca="false">DEGREES(Beta)</f>
        <v>-82.1382045453758</v>
      </c>
      <c r="O809" s="438"/>
      <c r="P809" s="452" t="n">
        <f aca="false">MATCH(t-pas/2-T_ini,CdP_t)</f>
        <v>23</v>
      </c>
      <c r="Q809" s="449" t="n">
        <f aca="false">(INDEX(CdP,2,i_P+1)-INDEX(CdP,2,i_P+0))/(INDEX(CdP,1,i_P+1)-INDEX(CdP,1,i_P+0))*(t-pas/2-T_ini-INDEX(CdP,1,i_P+0))+INDEX(CdP,2,i_P+0)</f>
        <v>0</v>
      </c>
      <c r="R809" s="450" t="n">
        <f aca="false">Poussee/(g*ISP)</f>
        <v>0</v>
      </c>
      <c r="S809" s="451" t="n">
        <f aca="false">S808-Débit*pas</f>
        <v>8.652</v>
      </c>
      <c r="T809" s="449" t="n">
        <f aca="false">m*g</f>
        <v>84.87612</v>
      </c>
      <c r="U809" s="453" t="n">
        <f aca="false">IF(pos_xz&lt;L_rampe,Poids*COS(Beta),0)</f>
        <v>0</v>
      </c>
      <c r="V809" s="450" t="n">
        <f aca="false">Rho_moyen*(20000-Alt_rampe-pos_z)/(20000+Alt_rampe+pos_z)</f>
        <v>1.22666968846133</v>
      </c>
      <c r="W809" s="449" t="n">
        <f aca="false">1/2*Rho*Sref*Cx*vit_xz^2</f>
        <v>52.0867776244994</v>
      </c>
      <c r="X809" s="438"/>
      <c r="Y809" s="454" t="str">
        <f aca="false">IF(AND(pos_z&lt;=0,K808&gt;0),"Impact balistique","") &amp; IF(AND(H810&lt;0,vit_z&gt;=0),"Apogée","") &amp; IF(AND(Poussee=0,Q808&gt;0),"Fin de propulsion","") &amp; IF(AND(L810&gt;L_rampe,pos_xz&lt;=L_rampe),"Sortie de rampe","")</f>
        <v/>
      </c>
      <c r="Z809" s="455" t="str">
        <f aca="false">IF(ABS(t-T_para)&lt;pas/2,"Para","")</f>
        <v/>
      </c>
      <c r="AA809" s="456" t="str">
        <f aca="false">IF(ABS(t-T_satellite)&lt;pas/2,"Satellite","")</f>
        <v/>
      </c>
      <c r="AB809" s="444"/>
      <c r="AC809" s="452" t="e">
        <f aca="false">IF(ABS(t-ROUND(t,0))&lt;0.001,t,NA())</f>
        <v>#N/A</v>
      </c>
      <c r="AD809" s="457" t="e">
        <f aca="false">IF(ABS(t-ROUND(t,0))&lt;0.001,pos_x,NA())</f>
        <v>#N/A</v>
      </c>
      <c r="AE809" s="458" t="e">
        <f aca="false">IF(t&lt;T_para, pos_z, NA())</f>
        <v>#N/A</v>
      </c>
      <c r="AF809" s="444"/>
      <c r="AG809" s="450" t="n">
        <f aca="false">IF(AND(L808&lt;L_rampe,Poussee&lt;Poids*SIN(M808)),0,(-W808+Poussee)/m-Poids*SIN(M808)/m)</f>
        <v>3.69763305466503</v>
      </c>
      <c r="AH809" s="449" t="n">
        <f aca="false">IF(AND(L808&lt;L_rampe,Poussee&lt;Poids*SIN(M808)), g*SIN(M808), (-W808+Poussee)/m)</f>
        <v>-6.02016037704154</v>
      </c>
    </row>
    <row r="810" customFormat="false" ht="12" hidden="false" customHeight="false" outlineLevel="0" collapsed="false">
      <c r="A810" s="448" t="n">
        <f aca="false">IF(B809+0.01&lt;=T_ini+ROUNDUP(Temps_fin_propu,0), 0.01, IF(K809&gt;0, 0.1, 0.0001))</f>
        <v>0.0001</v>
      </c>
      <c r="B810" s="449" t="n">
        <f aca="false">B809+pas</f>
        <v>35.7089000000005</v>
      </c>
      <c r="C810" s="432"/>
      <c r="D810" s="450" t="n">
        <f aca="false">IF(AND(L809&lt;L_rampe,Poussee&lt;Poids*SIN(M809)),0,(-W809+Poussee)/m*COS(M809)-U809/m*SIN(M809))</f>
        <v>-0.823467444010156</v>
      </c>
      <c r="E810" s="451" t="n">
        <f aca="false">IF(AND(L809&lt;L_rampe,Poussee&lt;Poids*SIN(M809)),0,(-W809+Poussee)/m*SIN(M809)+U809/m*COS(M809)-Poids/m)</f>
        <v>-3.84638369254858</v>
      </c>
      <c r="F810" s="449" t="n">
        <f aca="false">SQRT(acc_x^2+acc_z^2)</f>
        <v>3.93354371294489</v>
      </c>
      <c r="G810" s="450" t="n">
        <f aca="false">G809+acc_x*pas</f>
        <v>18.9023313592231</v>
      </c>
      <c r="H810" s="451" t="n">
        <f aca="false">H809+acc_z*pas</f>
        <v>-136.893158538622</v>
      </c>
      <c r="I810" s="449" t="n">
        <f aca="false">SQRT(vit_x^2+vit_z^2)</f>
        <v>138.192022148509</v>
      </c>
      <c r="J810" s="450" t="n">
        <f aca="false">J809+0.5*(vit_x+G809)*pas*(K809&gt;=0)</f>
        <v>1017.12580762709</v>
      </c>
      <c r="K810" s="451" t="n">
        <f aca="false">K809+0.5*(vit_z+H809)*pas</f>
        <v>-13.6345165164641</v>
      </c>
      <c r="L810" s="449" t="n">
        <f aca="false">SQRT(pos_x^2+pos_z^2)</f>
        <v>1017.21718850091</v>
      </c>
      <c r="M810" s="450" t="n">
        <f aca="false">IF(AND(L809&gt;L_rampe,G810&gt;0),ATAN2(G810,H810),$M$4)</f>
        <v>-1.43358308199843</v>
      </c>
      <c r="N810" s="449" t="n">
        <f aca="false">DEGREES(Beta)</f>
        <v>-82.1382601798672</v>
      </c>
      <c r="O810" s="438"/>
      <c r="P810" s="452" t="n">
        <f aca="false">MATCH(t-pas/2-T_ini,CdP_t)</f>
        <v>23</v>
      </c>
      <c r="Q810" s="449" t="n">
        <f aca="false">(INDEX(CdP,2,i_P+1)-INDEX(CdP,2,i_P+0))/(INDEX(CdP,1,i_P+1)-INDEX(CdP,1,i_P+0))*(t-pas/2-T_ini-INDEX(CdP,1,i_P+0))+INDEX(CdP,2,i_P+0)</f>
        <v>0</v>
      </c>
      <c r="R810" s="450" t="n">
        <f aca="false">Poussee/(g*ISP)</f>
        <v>0</v>
      </c>
      <c r="S810" s="451" t="n">
        <f aca="false">S809-Débit*pas</f>
        <v>8.652</v>
      </c>
      <c r="T810" s="449" t="n">
        <f aca="false">m*g</f>
        <v>84.87612</v>
      </c>
      <c r="U810" s="453" t="n">
        <f aca="false">IF(pos_xz&lt;L_rampe,Poids*COS(Beta),0)</f>
        <v>0</v>
      </c>
      <c r="V810" s="450" t="n">
        <f aca="false">Rho_moyen*(20000-Alt_rampe-pos_z)/(20000+Alt_rampe+pos_z)</f>
        <v>1.22667136768778</v>
      </c>
      <c r="W810" s="449" t="n">
        <f aca="false">1/2*Rho*Sref*Cx*vit_xz^2</f>
        <v>52.0871276656908</v>
      </c>
      <c r="X810" s="438"/>
      <c r="Y810" s="454" t="str">
        <f aca="false">IF(AND(pos_z&lt;=0,K809&gt;0),"Impact balistique","") &amp; IF(AND(H811&lt;0,vit_z&gt;=0),"Apogée","") &amp; IF(AND(Poussee=0,Q809&gt;0),"Fin de propulsion","") &amp; IF(AND(L811&gt;L_rampe,pos_xz&lt;=L_rampe),"Sortie de rampe","")</f>
        <v/>
      </c>
      <c r="Z810" s="455" t="str">
        <f aca="false">IF(ABS(t-T_para)&lt;pas/2,"Para","")</f>
        <v/>
      </c>
      <c r="AA810" s="456" t="str">
        <f aca="false">IF(ABS(t-T_satellite)&lt;pas/2,"Satellite","")</f>
        <v/>
      </c>
      <c r="AB810" s="444"/>
      <c r="AC810" s="452" t="e">
        <f aca="false">IF(ABS(t-ROUND(t,0))&lt;0.001,t,NA())</f>
        <v>#N/A</v>
      </c>
      <c r="AD810" s="457" t="e">
        <f aca="false">IF(ABS(t-ROUND(t,0))&lt;0.001,pos_x,NA())</f>
        <v>#N/A</v>
      </c>
      <c r="AE810" s="458" t="e">
        <f aca="false">IF(t&lt;T_para, pos_z, NA())</f>
        <v>#N/A</v>
      </c>
      <c r="AF810" s="444"/>
      <c r="AG810" s="450" t="n">
        <f aca="false">IF(AND(L809&lt;L_rampe,Poussee&lt;Poids*SIN(M809)),0,(-W809+Poussee)/m-Poids*SIN(M809)/m)</f>
        <v>3.69759389965923</v>
      </c>
      <c r="AH810" s="449" t="n">
        <f aca="false">IF(AND(L809&lt;L_rampe,Poussee&lt;Poids*SIN(M809)), g*SIN(M809), (-W809+Poussee)/m)</f>
        <v>-6.02020083500918</v>
      </c>
    </row>
    <row r="811" customFormat="false" ht="12" hidden="false" customHeight="false" outlineLevel="0" collapsed="false">
      <c r="A811" s="448" t="n">
        <f aca="false">IF(B810+0.01&lt;=T_ini+ROUNDUP(Temps_fin_propu,0), 0.01, IF(K810&gt;0, 0.1, 0.0001))</f>
        <v>0.0001</v>
      </c>
      <c r="B811" s="449" t="n">
        <f aca="false">B810+pas</f>
        <v>35.7090000000005</v>
      </c>
      <c r="C811" s="432"/>
      <c r="D811" s="450" t="n">
        <f aca="false">IF(AND(L810&lt;L_rampe,Poussee&lt;Poids*SIN(M810)),0,(-W810+Poussee)/m*COS(M810)-U810/m*SIN(M810))</f>
        <v>-0.823467187255804</v>
      </c>
      <c r="E811" s="451" t="n">
        <f aca="false">IF(AND(L810&lt;L_rampe,Poussee&lt;Poids*SIN(M810)),0,(-W810+Poussee)/m*SIN(M810)+U810/m*COS(M810)-Poids/m)</f>
        <v>-3.84634281538725</v>
      </c>
      <c r="F811" s="449" t="n">
        <f aca="false">SQRT(acc_x^2+acc_z^2)</f>
        <v>3.93350368780406</v>
      </c>
      <c r="G811" s="450" t="n">
        <f aca="false">G810+acc_x*pas</f>
        <v>18.9022490125044</v>
      </c>
      <c r="H811" s="451" t="n">
        <f aca="false">H810+acc_z*pas</f>
        <v>-136.893543172903</v>
      </c>
      <c r="I811" s="449" t="n">
        <f aca="false">SQRT(vit_x^2+vit_z^2)</f>
        <v>138.192391904049</v>
      </c>
      <c r="J811" s="450" t="n">
        <f aca="false">J810+0.5*(vit_x+G810)*pas*(K810&gt;=0)</f>
        <v>1017.12580762709</v>
      </c>
      <c r="K811" s="451" t="n">
        <f aca="false">K810+0.5*(vit_z+H810)*pas</f>
        <v>-13.6482058515496</v>
      </c>
      <c r="L811" s="449" t="n">
        <f aca="false">SQRT(pos_x^2+pos_z^2)</f>
        <v>1017.21737208132</v>
      </c>
      <c r="M811" s="450" t="n">
        <f aca="false">IF(AND(L810&gt;L_rampe,G811&gt;0),ATAN2(G811,H811),$M$4)</f>
        <v>-1.43358405299406</v>
      </c>
      <c r="N811" s="449" t="n">
        <f aca="false">DEGREES(Beta)</f>
        <v>-82.1383158138185</v>
      </c>
      <c r="O811" s="438"/>
      <c r="P811" s="452" t="n">
        <f aca="false">MATCH(t-pas/2-T_ini,CdP_t)</f>
        <v>23</v>
      </c>
      <c r="Q811" s="449" t="n">
        <f aca="false">(INDEX(CdP,2,i_P+1)-INDEX(CdP,2,i_P+0))/(INDEX(CdP,1,i_P+1)-INDEX(CdP,1,i_P+0))*(t-pas/2-T_ini-INDEX(CdP,1,i_P+0))+INDEX(CdP,2,i_P+0)</f>
        <v>0</v>
      </c>
      <c r="R811" s="450" t="n">
        <f aca="false">Poussee/(g*ISP)</f>
        <v>0</v>
      </c>
      <c r="S811" s="451" t="n">
        <f aca="false">S810-Débit*pas</f>
        <v>8.652</v>
      </c>
      <c r="T811" s="449" t="n">
        <f aca="false">m*g</f>
        <v>84.87612</v>
      </c>
      <c r="U811" s="453" t="n">
        <f aca="false">IF(pos_xz&lt;L_rampe,Poids*COS(Beta),0)</f>
        <v>0</v>
      </c>
      <c r="V811" s="450" t="n">
        <f aca="false">Rho_moyen*(20000-Alt_rampe-pos_z)/(20000+Alt_rampe+pos_z)</f>
        <v>1.22667304692125</v>
      </c>
      <c r="W811" s="449" t="n">
        <f aca="false">1/2*Rho*Sref*Cx*vit_xz^2</f>
        <v>52.0874777057375</v>
      </c>
      <c r="X811" s="438"/>
      <c r="Y811" s="454" t="str">
        <f aca="false">IF(AND(pos_z&lt;=0,K810&gt;0),"Impact balistique","") &amp; IF(AND(H812&lt;0,vit_z&gt;=0),"Apogée","") &amp; IF(AND(Poussee=0,Q810&gt;0),"Fin de propulsion","") &amp; IF(AND(L812&gt;L_rampe,pos_xz&lt;=L_rampe),"Sortie de rampe","")</f>
        <v/>
      </c>
      <c r="Z811" s="455" t="str">
        <f aca="false">IF(ABS(t-T_para)&lt;pas/2,"Para","")</f>
        <v/>
      </c>
      <c r="AA811" s="456" t="str">
        <f aca="false">IF(ABS(t-T_satellite)&lt;pas/2,"Satellite","")</f>
        <v/>
      </c>
      <c r="AB811" s="444"/>
      <c r="AC811" s="452" t="e">
        <f aca="false">IF(ABS(t-ROUND(t,0))&lt;0.001,t,NA())</f>
        <v>#N/A</v>
      </c>
      <c r="AD811" s="457" t="e">
        <f aca="false">IF(ABS(t-ROUND(t,0))&lt;0.001,pos_x,NA())</f>
        <v>#N/A</v>
      </c>
      <c r="AE811" s="458" t="e">
        <f aca="false">IF(t&lt;T_para, pos_z, NA())</f>
        <v>#N/A</v>
      </c>
      <c r="AF811" s="444"/>
      <c r="AG811" s="450" t="n">
        <f aca="false">IF(AND(L810&lt;L_rampe,Poussee&lt;Poids*SIN(M810)),0,(-W810+Poussee)/m-Poids*SIN(M810)/m)</f>
        <v>3.69755474476391</v>
      </c>
      <c r="AH811" s="449" t="n">
        <f aca="false">IF(AND(L810&lt;L_rampe,Poussee&lt;Poids*SIN(M810)), g*SIN(M810), (-W810+Poussee)/m)</f>
        <v>-6.02024129284452</v>
      </c>
    </row>
    <row r="812" customFormat="false" ht="12" hidden="false" customHeight="false" outlineLevel="0" collapsed="false">
      <c r="A812" s="448" t="n">
        <f aca="false">IF(B811+0.01&lt;=T_ini+ROUNDUP(Temps_fin_propu,0), 0.01, IF(K811&gt;0, 0.1, 0.0001))</f>
        <v>0.0001</v>
      </c>
      <c r="B812" s="449" t="n">
        <f aca="false">B811+pas</f>
        <v>35.7091000000005</v>
      </c>
      <c r="C812" s="432"/>
      <c r="D812" s="450" t="n">
        <f aca="false">IF(AND(L811&lt;L_rampe,Poussee&lt;Poids*SIN(M811)),0,(-W811+Poussee)/m*COS(M811)-U811/m*SIN(M811))</f>
        <v>-0.823466930460964</v>
      </c>
      <c r="E812" s="451" t="n">
        <f aca="false">IF(AND(L811&lt;L_rampe,Poussee&lt;Poids*SIN(M811)),0,(-W811+Poussee)/m*SIN(M811)+U811/m*COS(M811)-Poids/m)</f>
        <v>-3.84630193835962</v>
      </c>
      <c r="F812" s="449" t="n">
        <f aca="false">SQRT(acc_x^2+acc_z^2)</f>
        <v>3.93346366280303</v>
      </c>
      <c r="G812" s="450" t="n">
        <f aca="false">G811+acc_x*pas</f>
        <v>18.9021666658113</v>
      </c>
      <c r="H812" s="451" t="n">
        <f aca="false">H811+acc_z*pas</f>
        <v>-136.893927803097</v>
      </c>
      <c r="I812" s="449" t="n">
        <f aca="false">SQRT(vit_x^2+vit_z^2)</f>
        <v>138.192761655673</v>
      </c>
      <c r="J812" s="450" t="n">
        <f aca="false">J811+0.5*(vit_x+G811)*pas*(K811&gt;=0)</f>
        <v>1017.12580762709</v>
      </c>
      <c r="K812" s="451" t="n">
        <f aca="false">K811+0.5*(vit_z+H811)*pas</f>
        <v>-13.6618952250984</v>
      </c>
      <c r="L812" s="449" t="n">
        <f aca="false">SQRT(pos_x^2+pos_z^2)</f>
        <v>1017.21755584644</v>
      </c>
      <c r="M812" s="450" t="n">
        <f aca="false">IF(AND(L811&gt;L_rampe,G812&gt;0),ATAN2(G812,H812),$M$4)</f>
        <v>-1.43358502398026</v>
      </c>
      <c r="N812" s="449" t="n">
        <f aca="false">DEGREES(Beta)</f>
        <v>-82.1383714472297</v>
      </c>
      <c r="O812" s="438"/>
      <c r="P812" s="452" t="n">
        <f aca="false">MATCH(t-pas/2-T_ini,CdP_t)</f>
        <v>23</v>
      </c>
      <c r="Q812" s="449" t="n">
        <f aca="false">(INDEX(CdP,2,i_P+1)-INDEX(CdP,2,i_P+0))/(INDEX(CdP,1,i_P+1)-INDEX(CdP,1,i_P+0))*(t-pas/2-T_ini-INDEX(CdP,1,i_P+0))+INDEX(CdP,2,i_P+0)</f>
        <v>0</v>
      </c>
      <c r="R812" s="450" t="n">
        <f aca="false">Poussee/(g*ISP)</f>
        <v>0</v>
      </c>
      <c r="S812" s="451" t="n">
        <f aca="false">S811-Débit*pas</f>
        <v>8.652</v>
      </c>
      <c r="T812" s="449" t="n">
        <f aca="false">m*g</f>
        <v>84.87612</v>
      </c>
      <c r="U812" s="453" t="n">
        <f aca="false">IF(pos_xz&lt;L_rampe,Poids*COS(Beta),0)</f>
        <v>0</v>
      </c>
      <c r="V812" s="450" t="n">
        <f aca="false">Rho_moyen*(20000-Alt_rampe-pos_z)/(20000+Alt_rampe+pos_z)</f>
        <v>1.22667472616174</v>
      </c>
      <c r="W812" s="449" t="n">
        <f aca="false">1/2*Rho*Sref*Cx*vit_xz^2</f>
        <v>52.0878277446395</v>
      </c>
      <c r="X812" s="438"/>
      <c r="Y812" s="454" t="str">
        <f aca="false">IF(AND(pos_z&lt;=0,K811&gt;0),"Impact balistique","") &amp; IF(AND(H813&lt;0,vit_z&gt;=0),"Apogée","") &amp; IF(AND(Poussee=0,Q811&gt;0),"Fin de propulsion","") &amp; IF(AND(L813&gt;L_rampe,pos_xz&lt;=L_rampe),"Sortie de rampe","")</f>
        <v/>
      </c>
      <c r="Z812" s="455" t="str">
        <f aca="false">IF(ABS(t-T_para)&lt;pas/2,"Para","")</f>
        <v/>
      </c>
      <c r="AA812" s="456" t="str">
        <f aca="false">IF(ABS(t-T_satellite)&lt;pas/2,"Satellite","")</f>
        <v/>
      </c>
      <c r="AB812" s="444"/>
      <c r="AC812" s="452" t="e">
        <f aca="false">IF(ABS(t-ROUND(t,0))&lt;0.001,t,NA())</f>
        <v>#N/A</v>
      </c>
      <c r="AD812" s="457" t="e">
        <f aca="false">IF(ABS(t-ROUND(t,0))&lt;0.001,pos_x,NA())</f>
        <v>#N/A</v>
      </c>
      <c r="AE812" s="458" t="e">
        <f aca="false">IF(t&lt;T_para, pos_z, NA())</f>
        <v>#N/A</v>
      </c>
      <c r="AF812" s="444"/>
      <c r="AG812" s="450" t="n">
        <f aca="false">IF(AND(L811&lt;L_rampe,Poussee&lt;Poids*SIN(M811)),0,(-W811+Poussee)/m-Poids*SIN(M811)/m)</f>
        <v>3.69751558997907</v>
      </c>
      <c r="AH812" s="449" t="n">
        <f aca="false">IF(AND(L811&lt;L_rampe,Poussee&lt;Poids*SIN(M811)), g*SIN(M811), (-W811+Poussee)/m)</f>
        <v>-6.02028175054756</v>
      </c>
    </row>
    <row r="813" customFormat="false" ht="12" hidden="false" customHeight="false" outlineLevel="0" collapsed="false">
      <c r="A813" s="448" t="n">
        <f aca="false">IF(B812+0.01&lt;=T_ini+ROUNDUP(Temps_fin_propu,0), 0.01, IF(K812&gt;0, 0.1, 0.0001))</f>
        <v>0.0001</v>
      </c>
      <c r="B813" s="449" t="n">
        <f aca="false">B812+pas</f>
        <v>35.7092000000005</v>
      </c>
      <c r="C813" s="432"/>
      <c r="D813" s="450" t="n">
        <f aca="false">IF(AND(L812&lt;L_rampe,Poussee&lt;Poids*SIN(M812)),0,(-W812+Poussee)/m*COS(M812)-U812/m*SIN(M812))</f>
        <v>-0.823466673625635</v>
      </c>
      <c r="E813" s="451" t="n">
        <f aca="false">IF(AND(L812&lt;L_rampe,Poussee&lt;Poids*SIN(M812)),0,(-W812+Poussee)/m*SIN(M812)+U812/m*COS(M812)-Poids/m)</f>
        <v>-3.84626106146569</v>
      </c>
      <c r="F813" s="449" t="n">
        <f aca="false">SQRT(acc_x^2+acc_z^2)</f>
        <v>3.9334236379418</v>
      </c>
      <c r="G813" s="450" t="n">
        <f aca="false">G812+acc_x*pas</f>
        <v>18.902084319144</v>
      </c>
      <c r="H813" s="451" t="n">
        <f aca="false">H812+acc_z*pas</f>
        <v>-136.894312429203</v>
      </c>
      <c r="I813" s="449" t="n">
        <f aca="false">SQRT(vit_x^2+vit_z^2)</f>
        <v>138.193131403382</v>
      </c>
      <c r="J813" s="450" t="n">
        <f aca="false">J812+0.5*(vit_x+G812)*pas*(K812&gt;=0)</f>
        <v>1017.12580762709</v>
      </c>
      <c r="K813" s="451" t="n">
        <f aca="false">K812+0.5*(vit_z+H812)*pas</f>
        <v>-13.6755846371101</v>
      </c>
      <c r="L813" s="449" t="n">
        <f aca="false">SQRT(pos_x^2+pos_z^2)</f>
        <v>1017.21773979627</v>
      </c>
      <c r="M813" s="450" t="n">
        <f aca="false">IF(AND(L812&gt;L_rampe,G813&gt;0),ATAN2(G813,H813),$M$4)</f>
        <v>-1.43358599495703</v>
      </c>
      <c r="N813" s="449" t="n">
        <f aca="false">DEGREES(Beta)</f>
        <v>-82.1384270801009</v>
      </c>
      <c r="O813" s="438"/>
      <c r="P813" s="452" t="n">
        <f aca="false">MATCH(t-pas/2-T_ini,CdP_t)</f>
        <v>23</v>
      </c>
      <c r="Q813" s="449" t="n">
        <f aca="false">(INDEX(CdP,2,i_P+1)-INDEX(CdP,2,i_P+0))/(INDEX(CdP,1,i_P+1)-INDEX(CdP,1,i_P+0))*(t-pas/2-T_ini-INDEX(CdP,1,i_P+0))+INDEX(CdP,2,i_P+0)</f>
        <v>0</v>
      </c>
      <c r="R813" s="450" t="n">
        <f aca="false">Poussee/(g*ISP)</f>
        <v>0</v>
      </c>
      <c r="S813" s="451" t="n">
        <f aca="false">S812-Débit*pas</f>
        <v>8.652</v>
      </c>
      <c r="T813" s="449" t="n">
        <f aca="false">m*g</f>
        <v>84.87612</v>
      </c>
      <c r="U813" s="453" t="n">
        <f aca="false">IF(pos_xz&lt;L_rampe,Poids*COS(Beta),0)</f>
        <v>0</v>
      </c>
      <c r="V813" s="450" t="n">
        <f aca="false">Rho_moyen*(20000-Alt_rampe-pos_z)/(20000+Alt_rampe+pos_z)</f>
        <v>1.22667640540925</v>
      </c>
      <c r="W813" s="449" t="n">
        <f aca="false">1/2*Rho*Sref*Cx*vit_xz^2</f>
        <v>52.0881777823968</v>
      </c>
      <c r="X813" s="438"/>
      <c r="Y813" s="454" t="str">
        <f aca="false">IF(AND(pos_z&lt;=0,K812&gt;0),"Impact balistique","") &amp; IF(AND(H814&lt;0,vit_z&gt;=0),"Apogée","") &amp; IF(AND(Poussee=0,Q812&gt;0),"Fin de propulsion","") &amp; IF(AND(L814&gt;L_rampe,pos_xz&lt;=L_rampe),"Sortie de rampe","")</f>
        <v/>
      </c>
      <c r="Z813" s="455" t="str">
        <f aca="false">IF(ABS(t-T_para)&lt;pas/2,"Para","")</f>
        <v/>
      </c>
      <c r="AA813" s="456" t="str">
        <f aca="false">IF(ABS(t-T_satellite)&lt;pas/2,"Satellite","")</f>
        <v/>
      </c>
      <c r="AB813" s="444"/>
      <c r="AC813" s="452" t="e">
        <f aca="false">IF(ABS(t-ROUND(t,0))&lt;0.001,t,NA())</f>
        <v>#N/A</v>
      </c>
      <c r="AD813" s="457" t="e">
        <f aca="false">IF(ABS(t-ROUND(t,0))&lt;0.001,pos_x,NA())</f>
        <v>#N/A</v>
      </c>
      <c r="AE813" s="458" t="e">
        <f aca="false">IF(t&lt;T_para, pos_z, NA())</f>
        <v>#N/A</v>
      </c>
      <c r="AF813" s="444"/>
      <c r="AG813" s="450" t="n">
        <f aca="false">IF(AND(L812&lt;L_rampe,Poussee&lt;Poids*SIN(M812)),0,(-W812+Poussee)/m-Poids*SIN(M812)/m)</f>
        <v>3.69747643530474</v>
      </c>
      <c r="AH813" s="449" t="n">
        <f aca="false">IF(AND(L812&lt;L_rampe,Poussee&lt;Poids*SIN(M812)), g*SIN(M812), (-W812+Poussee)/m)</f>
        <v>-6.0203222081183</v>
      </c>
    </row>
    <row r="814" customFormat="false" ht="12" hidden="false" customHeight="false" outlineLevel="0" collapsed="false">
      <c r="A814" s="448" t="n">
        <f aca="false">IF(B813+0.01&lt;=T_ini+ROUNDUP(Temps_fin_propu,0), 0.01, IF(K813&gt;0, 0.1, 0.0001))</f>
        <v>0.0001</v>
      </c>
      <c r="B814" s="449" t="n">
        <f aca="false">B813+pas</f>
        <v>35.7093000000005</v>
      </c>
      <c r="C814" s="432"/>
      <c r="D814" s="450" t="n">
        <f aca="false">IF(AND(L813&lt;L_rampe,Poussee&lt;Poids*SIN(M813)),0,(-W813+Poussee)/m*COS(M813)-U813/m*SIN(M813))</f>
        <v>-0.823466416749819</v>
      </c>
      <c r="E814" s="451" t="n">
        <f aca="false">IF(AND(L813&lt;L_rampe,Poussee&lt;Poids*SIN(M813)),0,(-W813+Poussee)/m*SIN(M813)+U813/m*COS(M813)-Poids/m)</f>
        <v>-3.84622018470546</v>
      </c>
      <c r="F814" s="449" t="n">
        <f aca="false">SQRT(acc_x^2+acc_z^2)</f>
        <v>3.93338361322037</v>
      </c>
      <c r="G814" s="450" t="n">
        <f aca="false">G813+acc_x*pas</f>
        <v>18.9020019725023</v>
      </c>
      <c r="H814" s="451" t="n">
        <f aca="false">H813+acc_z*pas</f>
        <v>-136.894697051222</v>
      </c>
      <c r="I814" s="449" t="n">
        <f aca="false">SQRT(vit_x^2+vit_z^2)</f>
        <v>138.193501147175</v>
      </c>
      <c r="J814" s="450" t="n">
        <f aca="false">J813+0.5*(vit_x+G813)*pas*(K813&gt;=0)</f>
        <v>1017.12580762709</v>
      </c>
      <c r="K814" s="451" t="n">
        <f aca="false">K813+0.5*(vit_z+H813)*pas</f>
        <v>-13.6892740875841</v>
      </c>
      <c r="L814" s="449" t="n">
        <f aca="false">SQRT(pos_x^2+pos_z^2)</f>
        <v>1017.21792393081</v>
      </c>
      <c r="M814" s="450" t="n">
        <f aca="false">IF(AND(L813&gt;L_rampe,G814&gt;0),ATAN2(G814,H814),$M$4)</f>
        <v>-1.43358696592438</v>
      </c>
      <c r="N814" s="449" t="n">
        <f aca="false">DEGREES(Beta)</f>
        <v>-82.138482712432</v>
      </c>
      <c r="O814" s="438"/>
      <c r="P814" s="452" t="n">
        <f aca="false">MATCH(t-pas/2-T_ini,CdP_t)</f>
        <v>23</v>
      </c>
      <c r="Q814" s="449" t="n">
        <f aca="false">(INDEX(CdP,2,i_P+1)-INDEX(CdP,2,i_P+0))/(INDEX(CdP,1,i_P+1)-INDEX(CdP,1,i_P+0))*(t-pas/2-T_ini-INDEX(CdP,1,i_P+0))+INDEX(CdP,2,i_P+0)</f>
        <v>0</v>
      </c>
      <c r="R814" s="450" t="n">
        <f aca="false">Poussee/(g*ISP)</f>
        <v>0</v>
      </c>
      <c r="S814" s="451" t="n">
        <f aca="false">S813-Débit*pas</f>
        <v>8.652</v>
      </c>
      <c r="T814" s="449" t="n">
        <f aca="false">m*g</f>
        <v>84.87612</v>
      </c>
      <c r="U814" s="453" t="n">
        <f aca="false">IF(pos_xz&lt;L_rampe,Poids*COS(Beta),0)</f>
        <v>0</v>
      </c>
      <c r="V814" s="450" t="n">
        <f aca="false">Rho_moyen*(20000-Alt_rampe-pos_z)/(20000+Alt_rampe+pos_z)</f>
        <v>1.22667808466377</v>
      </c>
      <c r="W814" s="449" t="n">
        <f aca="false">1/2*Rho*Sref*Cx*vit_xz^2</f>
        <v>52.0885278190094</v>
      </c>
      <c r="X814" s="438"/>
      <c r="Y814" s="454" t="str">
        <f aca="false">IF(AND(pos_z&lt;=0,K813&gt;0),"Impact balistique","") &amp; IF(AND(H815&lt;0,vit_z&gt;=0),"Apogée","") &amp; IF(AND(Poussee=0,Q813&gt;0),"Fin de propulsion","") &amp; IF(AND(L815&gt;L_rampe,pos_xz&lt;=L_rampe),"Sortie de rampe","")</f>
        <v/>
      </c>
      <c r="Z814" s="455" t="str">
        <f aca="false">IF(ABS(t-T_para)&lt;pas/2,"Para","")</f>
        <v/>
      </c>
      <c r="AA814" s="456" t="str">
        <f aca="false">IF(ABS(t-T_satellite)&lt;pas/2,"Satellite","")</f>
        <v/>
      </c>
      <c r="AB814" s="444"/>
      <c r="AC814" s="452" t="e">
        <f aca="false">IF(ABS(t-ROUND(t,0))&lt;0.001,t,NA())</f>
        <v>#N/A</v>
      </c>
      <c r="AD814" s="457" t="e">
        <f aca="false">IF(ABS(t-ROUND(t,0))&lt;0.001,pos_x,NA())</f>
        <v>#N/A</v>
      </c>
      <c r="AE814" s="458" t="e">
        <f aca="false">IF(t&lt;T_para, pos_z, NA())</f>
        <v>#N/A</v>
      </c>
      <c r="AF814" s="444"/>
      <c r="AG814" s="450" t="n">
        <f aca="false">IF(AND(L813&lt;L_rampe,Poussee&lt;Poids*SIN(M813)),0,(-W813+Poussee)/m-Poids*SIN(M813)/m)</f>
        <v>3.69743728074089</v>
      </c>
      <c r="AH814" s="449" t="n">
        <f aca="false">IF(AND(L813&lt;L_rampe,Poussee&lt;Poids*SIN(M813)), g*SIN(M813), (-W813+Poussee)/m)</f>
        <v>-6.02036266555673</v>
      </c>
    </row>
    <row r="815" customFormat="false" ht="12" hidden="false" customHeight="false" outlineLevel="0" collapsed="false">
      <c r="A815" s="448" t="n">
        <f aca="false">IF(B814+0.01&lt;=T_ini+ROUNDUP(Temps_fin_propu,0), 0.01, IF(K814&gt;0, 0.1, 0.0001))</f>
        <v>0.0001</v>
      </c>
      <c r="B815" s="449" t="n">
        <f aca="false">B814+pas</f>
        <v>35.7094000000005</v>
      </c>
      <c r="C815" s="432"/>
      <c r="D815" s="450" t="n">
        <f aca="false">IF(AND(L814&lt;L_rampe,Poussee&lt;Poids*SIN(M814)),0,(-W814+Poussee)/m*COS(M814)-U814/m*SIN(M814))</f>
        <v>-0.823466159833515</v>
      </c>
      <c r="E815" s="451" t="n">
        <f aca="false">IF(AND(L814&lt;L_rampe,Poussee&lt;Poids*SIN(M814)),0,(-W814+Poussee)/m*SIN(M814)+U814/m*COS(M814)-Poids/m)</f>
        <v>-3.84617930807893</v>
      </c>
      <c r="F815" s="449" t="n">
        <f aca="false">SQRT(acc_x^2+acc_z^2)</f>
        <v>3.93334358863874</v>
      </c>
      <c r="G815" s="450" t="n">
        <f aca="false">G814+acc_x*pas</f>
        <v>18.9019196258863</v>
      </c>
      <c r="H815" s="451" t="n">
        <f aca="false">H814+acc_z*pas</f>
        <v>-136.895081669153</v>
      </c>
      <c r="I815" s="449" t="n">
        <f aca="false">SQRT(vit_x^2+vit_z^2)</f>
        <v>138.193870887053</v>
      </c>
      <c r="J815" s="450" t="n">
        <f aca="false">J814+0.5*(vit_x+G814)*pas*(K814&gt;=0)</f>
        <v>1017.12580762709</v>
      </c>
      <c r="K815" s="451" t="n">
        <f aca="false">K814+0.5*(vit_z+H814)*pas</f>
        <v>-13.7029635765201</v>
      </c>
      <c r="L815" s="449" t="n">
        <f aca="false">SQRT(pos_x^2+pos_z^2)</f>
        <v>1017.21810825006</v>
      </c>
      <c r="M815" s="450" t="n">
        <f aca="false">IF(AND(L814&gt;L_rampe,G815&gt;0),ATAN2(G815,H815),$M$4)</f>
        <v>-1.4335879368823</v>
      </c>
      <c r="N815" s="449" t="n">
        <f aca="false">DEGREES(Beta)</f>
        <v>-82.1385383442231</v>
      </c>
      <c r="O815" s="438"/>
      <c r="P815" s="452" t="n">
        <f aca="false">MATCH(t-pas/2-T_ini,CdP_t)</f>
        <v>23</v>
      </c>
      <c r="Q815" s="449" t="n">
        <f aca="false">(INDEX(CdP,2,i_P+1)-INDEX(CdP,2,i_P+0))/(INDEX(CdP,1,i_P+1)-INDEX(CdP,1,i_P+0))*(t-pas/2-T_ini-INDEX(CdP,1,i_P+0))+INDEX(CdP,2,i_P+0)</f>
        <v>0</v>
      </c>
      <c r="R815" s="450" t="n">
        <f aca="false">Poussee/(g*ISP)</f>
        <v>0</v>
      </c>
      <c r="S815" s="451" t="n">
        <f aca="false">S814-Débit*pas</f>
        <v>8.652</v>
      </c>
      <c r="T815" s="449" t="n">
        <f aca="false">m*g</f>
        <v>84.87612</v>
      </c>
      <c r="U815" s="453" t="n">
        <f aca="false">IF(pos_xz&lt;L_rampe,Poids*COS(Beta),0)</f>
        <v>0</v>
      </c>
      <c r="V815" s="450" t="n">
        <f aca="false">Rho_moyen*(20000-Alt_rampe-pos_z)/(20000+Alt_rampe+pos_z)</f>
        <v>1.22667976392532</v>
      </c>
      <c r="W815" s="449" t="n">
        <f aca="false">1/2*Rho*Sref*Cx*vit_xz^2</f>
        <v>52.0888778544773</v>
      </c>
      <c r="X815" s="438"/>
      <c r="Y815" s="454" t="str">
        <f aca="false">IF(AND(pos_z&lt;=0,K814&gt;0),"Impact balistique","") &amp; IF(AND(H816&lt;0,vit_z&gt;=0),"Apogée","") &amp; IF(AND(Poussee=0,Q814&gt;0),"Fin de propulsion","") &amp; IF(AND(L816&gt;L_rampe,pos_xz&lt;=L_rampe),"Sortie de rampe","")</f>
        <v/>
      </c>
      <c r="Z815" s="455" t="str">
        <f aca="false">IF(ABS(t-T_para)&lt;pas/2,"Para","")</f>
        <v/>
      </c>
      <c r="AA815" s="456" t="str">
        <f aca="false">IF(ABS(t-T_satellite)&lt;pas/2,"Satellite","")</f>
        <v/>
      </c>
      <c r="AB815" s="444"/>
      <c r="AC815" s="452" t="e">
        <f aca="false">IF(ABS(t-ROUND(t,0))&lt;0.001,t,NA())</f>
        <v>#N/A</v>
      </c>
      <c r="AD815" s="457" t="e">
        <f aca="false">IF(ABS(t-ROUND(t,0))&lt;0.001,pos_x,NA())</f>
        <v>#N/A</v>
      </c>
      <c r="AE815" s="458" t="e">
        <f aca="false">IF(t&lt;T_para, pos_z, NA())</f>
        <v>#N/A</v>
      </c>
      <c r="AF815" s="444"/>
      <c r="AG815" s="450" t="n">
        <f aca="false">IF(AND(L814&lt;L_rampe,Poussee&lt;Poids*SIN(M814)),0,(-W814+Poussee)/m-Poids*SIN(M814)/m)</f>
        <v>3.69739812628755</v>
      </c>
      <c r="AH815" s="449" t="n">
        <f aca="false">IF(AND(L814&lt;L_rampe,Poussee&lt;Poids*SIN(M814)), g*SIN(M814), (-W814+Poussee)/m)</f>
        <v>-6.02040312286286</v>
      </c>
    </row>
    <row r="816" customFormat="false" ht="12" hidden="false" customHeight="false" outlineLevel="0" collapsed="false">
      <c r="A816" s="448" t="n">
        <f aca="false">IF(B815+0.01&lt;=T_ini+ROUNDUP(Temps_fin_propu,0), 0.01, IF(K815&gt;0, 0.1, 0.0001))</f>
        <v>0.0001</v>
      </c>
      <c r="B816" s="449" t="n">
        <f aca="false">B815+pas</f>
        <v>35.7095000000005</v>
      </c>
      <c r="C816" s="432"/>
      <c r="D816" s="450" t="n">
        <f aca="false">IF(AND(L815&lt;L_rampe,Poussee&lt;Poids*SIN(M815)),0,(-W815+Poussee)/m*COS(M815)-U815/m*SIN(M815))</f>
        <v>-0.823465902876725</v>
      </c>
      <c r="E816" s="451" t="n">
        <f aca="false">IF(AND(L815&lt;L_rampe,Poussee&lt;Poids*SIN(M815)),0,(-W815+Poussee)/m*SIN(M815)+U815/m*COS(M815)-Poids/m)</f>
        <v>-3.84613843158611</v>
      </c>
      <c r="F816" s="449" t="n">
        <f aca="false">SQRT(acc_x^2+acc_z^2)</f>
        <v>3.93330356419693</v>
      </c>
      <c r="G816" s="450" t="n">
        <f aca="false">G815+acc_x*pas</f>
        <v>18.901837279296</v>
      </c>
      <c r="H816" s="451" t="n">
        <f aca="false">H815+acc_z*pas</f>
        <v>-136.895466282996</v>
      </c>
      <c r="I816" s="449" t="n">
        <f aca="false">SQRT(vit_x^2+vit_z^2)</f>
        <v>138.194240623015</v>
      </c>
      <c r="J816" s="450" t="n">
        <f aca="false">J815+0.5*(vit_x+G815)*pas*(K815&gt;=0)</f>
        <v>1017.12580762709</v>
      </c>
      <c r="K816" s="451" t="n">
        <f aca="false">K815+0.5*(vit_z+H815)*pas</f>
        <v>-13.7166531039177</v>
      </c>
      <c r="L816" s="449" t="n">
        <f aca="false">SQRT(pos_x^2+pos_z^2)</f>
        <v>1017.21829275403</v>
      </c>
      <c r="M816" s="450" t="n">
        <f aca="false">IF(AND(L815&gt;L_rampe,G816&gt;0),ATAN2(G816,H816),$M$4)</f>
        <v>-1.4335889078308</v>
      </c>
      <c r="N816" s="449" t="n">
        <f aca="false">DEGREES(Beta)</f>
        <v>-82.1385939754741</v>
      </c>
      <c r="O816" s="438"/>
      <c r="P816" s="452" t="n">
        <f aca="false">MATCH(t-pas/2-T_ini,CdP_t)</f>
        <v>23</v>
      </c>
      <c r="Q816" s="449" t="n">
        <f aca="false">(INDEX(CdP,2,i_P+1)-INDEX(CdP,2,i_P+0))/(INDEX(CdP,1,i_P+1)-INDEX(CdP,1,i_P+0))*(t-pas/2-T_ini-INDEX(CdP,1,i_P+0))+INDEX(CdP,2,i_P+0)</f>
        <v>0</v>
      </c>
      <c r="R816" s="450" t="n">
        <f aca="false">Poussee/(g*ISP)</f>
        <v>0</v>
      </c>
      <c r="S816" s="451" t="n">
        <f aca="false">S815-Débit*pas</f>
        <v>8.652</v>
      </c>
      <c r="T816" s="449" t="n">
        <f aca="false">m*g</f>
        <v>84.87612</v>
      </c>
      <c r="U816" s="453" t="n">
        <f aca="false">IF(pos_xz&lt;L_rampe,Poids*COS(Beta),0)</f>
        <v>0</v>
      </c>
      <c r="V816" s="450" t="n">
        <f aca="false">Rho_moyen*(20000-Alt_rampe-pos_z)/(20000+Alt_rampe+pos_z)</f>
        <v>1.22668144319388</v>
      </c>
      <c r="W816" s="449" t="n">
        <f aca="false">1/2*Rho*Sref*Cx*vit_xz^2</f>
        <v>52.0892278888004</v>
      </c>
      <c r="X816" s="438"/>
      <c r="Y816" s="454" t="str">
        <f aca="false">IF(AND(pos_z&lt;=0,K815&gt;0),"Impact balistique","") &amp; IF(AND(H817&lt;0,vit_z&gt;=0),"Apogée","") &amp; IF(AND(Poussee=0,Q815&gt;0),"Fin de propulsion","") &amp; IF(AND(L817&gt;L_rampe,pos_xz&lt;=L_rampe),"Sortie de rampe","")</f>
        <v/>
      </c>
      <c r="Z816" s="455" t="str">
        <f aca="false">IF(ABS(t-T_para)&lt;pas/2,"Para","")</f>
        <v/>
      </c>
      <c r="AA816" s="456" t="str">
        <f aca="false">IF(ABS(t-T_satellite)&lt;pas/2,"Satellite","")</f>
        <v/>
      </c>
      <c r="AB816" s="444"/>
      <c r="AC816" s="452" t="e">
        <f aca="false">IF(ABS(t-ROUND(t,0))&lt;0.001,t,NA())</f>
        <v>#N/A</v>
      </c>
      <c r="AD816" s="457" t="e">
        <f aca="false">IF(ABS(t-ROUND(t,0))&lt;0.001,pos_x,NA())</f>
        <v>#N/A</v>
      </c>
      <c r="AE816" s="458" t="e">
        <f aca="false">IF(t&lt;T_para, pos_z, NA())</f>
        <v>#N/A</v>
      </c>
      <c r="AF816" s="444"/>
      <c r="AG816" s="450" t="n">
        <f aca="false">IF(AND(L815&lt;L_rampe,Poussee&lt;Poids*SIN(M815)),0,(-W815+Poussee)/m-Poids*SIN(M815)/m)</f>
        <v>3.69735897194471</v>
      </c>
      <c r="AH816" s="449" t="n">
        <f aca="false">IF(AND(L815&lt;L_rampe,Poussee&lt;Poids*SIN(M815)), g*SIN(M815), (-W815+Poussee)/m)</f>
        <v>-6.02044358003667</v>
      </c>
    </row>
    <row r="817" customFormat="false" ht="12" hidden="false" customHeight="false" outlineLevel="0" collapsed="false">
      <c r="A817" s="448" t="n">
        <f aca="false">IF(B816+0.01&lt;=T_ini+ROUNDUP(Temps_fin_propu,0), 0.01, IF(K816&gt;0, 0.1, 0.0001))</f>
        <v>0.0001</v>
      </c>
      <c r="B817" s="449" t="n">
        <f aca="false">B816+pas</f>
        <v>35.7096000000005</v>
      </c>
      <c r="C817" s="432"/>
      <c r="D817" s="450" t="n">
        <f aca="false">IF(AND(L816&lt;L_rampe,Poussee&lt;Poids*SIN(M816)),0,(-W816+Poussee)/m*COS(M816)-U816/m*SIN(M816))</f>
        <v>-0.823465645879446</v>
      </c>
      <c r="E817" s="451" t="n">
        <f aca="false">IF(AND(L816&lt;L_rampe,Poussee&lt;Poids*SIN(M816)),0,(-W816+Poussee)/m*SIN(M816)+U816/m*COS(M816)-Poids/m)</f>
        <v>-3.84609755522699</v>
      </c>
      <c r="F817" s="449" t="n">
        <f aca="false">SQRT(acc_x^2+acc_z^2)</f>
        <v>3.93326353989492</v>
      </c>
      <c r="G817" s="450" t="n">
        <f aca="false">G816+acc_x*pas</f>
        <v>18.9017549327314</v>
      </c>
      <c r="H817" s="451" t="n">
        <f aca="false">H816+acc_z*pas</f>
        <v>-136.895850892751</v>
      </c>
      <c r="I817" s="449" t="n">
        <f aca="false">SQRT(vit_x^2+vit_z^2)</f>
        <v>138.194610355062</v>
      </c>
      <c r="J817" s="450" t="n">
        <f aca="false">J816+0.5*(vit_x+G816)*pas*(K816&gt;=0)</f>
        <v>1017.12580762709</v>
      </c>
      <c r="K817" s="451" t="n">
        <f aca="false">K816+0.5*(vit_z+H816)*pas</f>
        <v>-13.7303426697765</v>
      </c>
      <c r="L817" s="449" t="n">
        <f aca="false">SQRT(pos_x^2+pos_z^2)</f>
        <v>1017.21847744272</v>
      </c>
      <c r="M817" s="450" t="n">
        <f aca="false">IF(AND(L816&gt;L_rampe,G817&gt;0),ATAN2(G817,H817),$M$4)</f>
        <v>-1.43358987876987</v>
      </c>
      <c r="N817" s="449" t="n">
        <f aca="false">DEGREES(Beta)</f>
        <v>-82.1386496061851</v>
      </c>
      <c r="O817" s="438"/>
      <c r="P817" s="452" t="n">
        <f aca="false">MATCH(t-pas/2-T_ini,CdP_t)</f>
        <v>23</v>
      </c>
      <c r="Q817" s="449" t="n">
        <f aca="false">(INDEX(CdP,2,i_P+1)-INDEX(CdP,2,i_P+0))/(INDEX(CdP,1,i_P+1)-INDEX(CdP,1,i_P+0))*(t-pas/2-T_ini-INDEX(CdP,1,i_P+0))+INDEX(CdP,2,i_P+0)</f>
        <v>0</v>
      </c>
      <c r="R817" s="450" t="n">
        <f aca="false">Poussee/(g*ISP)</f>
        <v>0</v>
      </c>
      <c r="S817" s="451" t="n">
        <f aca="false">S816-Débit*pas</f>
        <v>8.652</v>
      </c>
      <c r="T817" s="449" t="n">
        <f aca="false">m*g</f>
        <v>84.87612</v>
      </c>
      <c r="U817" s="453" t="n">
        <f aca="false">IF(pos_xz&lt;L_rampe,Poids*COS(Beta),0)</f>
        <v>0</v>
      </c>
      <c r="V817" s="450" t="n">
        <f aca="false">Rho_moyen*(20000-Alt_rampe-pos_z)/(20000+Alt_rampe+pos_z)</f>
        <v>1.22668312246946</v>
      </c>
      <c r="W817" s="449" t="n">
        <f aca="false">1/2*Rho*Sref*Cx*vit_xz^2</f>
        <v>52.0895779219786</v>
      </c>
      <c r="X817" s="438"/>
      <c r="Y817" s="454" t="str">
        <f aca="false">IF(AND(pos_z&lt;=0,K816&gt;0),"Impact balistique","") &amp; IF(AND(H818&lt;0,vit_z&gt;=0),"Apogée","") &amp; IF(AND(Poussee=0,Q816&gt;0),"Fin de propulsion","") &amp; IF(AND(L818&gt;L_rampe,pos_xz&lt;=L_rampe),"Sortie de rampe","")</f>
        <v/>
      </c>
      <c r="Z817" s="455" t="str">
        <f aca="false">IF(ABS(t-T_para)&lt;pas/2,"Para","")</f>
        <v/>
      </c>
      <c r="AA817" s="456" t="str">
        <f aca="false">IF(ABS(t-T_satellite)&lt;pas/2,"Satellite","")</f>
        <v/>
      </c>
      <c r="AB817" s="444"/>
      <c r="AC817" s="452" t="e">
        <f aca="false">IF(ABS(t-ROUND(t,0))&lt;0.001,t,NA())</f>
        <v>#N/A</v>
      </c>
      <c r="AD817" s="457" t="e">
        <f aca="false">IF(ABS(t-ROUND(t,0))&lt;0.001,pos_x,NA())</f>
        <v>#N/A</v>
      </c>
      <c r="AE817" s="458" t="e">
        <f aca="false">IF(t&lt;T_para, pos_z, NA())</f>
        <v>#N/A</v>
      </c>
      <c r="AF817" s="444"/>
      <c r="AG817" s="450" t="n">
        <f aca="false">IF(AND(L816&lt;L_rampe,Poussee&lt;Poids*SIN(M816)),0,(-W816+Poussee)/m-Poids*SIN(M816)/m)</f>
        <v>3.69731981771237</v>
      </c>
      <c r="AH817" s="449" t="n">
        <f aca="false">IF(AND(L816&lt;L_rampe,Poussee&lt;Poids*SIN(M816)), g*SIN(M816), (-W816+Poussee)/m)</f>
        <v>-6.02048403707817</v>
      </c>
    </row>
    <row r="818" customFormat="false" ht="12" hidden="false" customHeight="false" outlineLevel="0" collapsed="false">
      <c r="A818" s="448" t="n">
        <f aca="false">IF(B817+0.01&lt;=T_ini+ROUNDUP(Temps_fin_propu,0), 0.01, IF(K817&gt;0, 0.1, 0.0001))</f>
        <v>0.0001</v>
      </c>
      <c r="B818" s="449" t="n">
        <f aca="false">B817+pas</f>
        <v>35.7097000000005</v>
      </c>
      <c r="C818" s="432"/>
      <c r="D818" s="450" t="n">
        <f aca="false">IF(AND(L817&lt;L_rampe,Poussee&lt;Poids*SIN(M817)),0,(-W817+Poussee)/m*COS(M817)-U817/m*SIN(M817))</f>
        <v>-0.823465388841683</v>
      </c>
      <c r="E818" s="451" t="n">
        <f aca="false">IF(AND(L817&lt;L_rampe,Poussee&lt;Poids*SIN(M817)),0,(-W817+Poussee)/m*SIN(M817)+U817/m*COS(M817)-Poids/m)</f>
        <v>-3.84605667900159</v>
      </c>
      <c r="F818" s="449" t="n">
        <f aca="false">SQRT(acc_x^2+acc_z^2)</f>
        <v>3.93322351573273</v>
      </c>
      <c r="G818" s="450" t="n">
        <f aca="false">G817+acc_x*pas</f>
        <v>18.9016725861925</v>
      </c>
      <c r="H818" s="451" t="n">
        <f aca="false">H817+acc_z*pas</f>
        <v>-136.896235498419</v>
      </c>
      <c r="I818" s="449" t="n">
        <f aca="false">SQRT(vit_x^2+vit_z^2)</f>
        <v>138.194980083193</v>
      </c>
      <c r="J818" s="450" t="n">
        <f aca="false">J817+0.5*(vit_x+G817)*pas*(K817&gt;=0)</f>
        <v>1017.12580762709</v>
      </c>
      <c r="K818" s="451" t="n">
        <f aca="false">K817+0.5*(vit_z+H817)*pas</f>
        <v>-13.7440322740961</v>
      </c>
      <c r="L818" s="449" t="n">
        <f aca="false">SQRT(pos_x^2+pos_z^2)</f>
        <v>1017.21866231613</v>
      </c>
      <c r="M818" s="450" t="n">
        <f aca="false">IF(AND(L817&gt;L_rampe,G818&gt;0),ATAN2(G818,H818),$M$4)</f>
        <v>-1.43359084969952</v>
      </c>
      <c r="N818" s="449" t="n">
        <f aca="false">DEGREES(Beta)</f>
        <v>-82.138705236356</v>
      </c>
      <c r="O818" s="438"/>
      <c r="P818" s="452" t="n">
        <f aca="false">MATCH(t-pas/2-T_ini,CdP_t)</f>
        <v>23</v>
      </c>
      <c r="Q818" s="449" t="n">
        <f aca="false">(INDEX(CdP,2,i_P+1)-INDEX(CdP,2,i_P+0))/(INDEX(CdP,1,i_P+1)-INDEX(CdP,1,i_P+0))*(t-pas/2-T_ini-INDEX(CdP,1,i_P+0))+INDEX(CdP,2,i_P+0)</f>
        <v>0</v>
      </c>
      <c r="R818" s="450" t="n">
        <f aca="false">Poussee/(g*ISP)</f>
        <v>0</v>
      </c>
      <c r="S818" s="451" t="n">
        <f aca="false">S817-Débit*pas</f>
        <v>8.652</v>
      </c>
      <c r="T818" s="449" t="n">
        <f aca="false">m*g</f>
        <v>84.87612</v>
      </c>
      <c r="U818" s="453" t="n">
        <f aca="false">IF(pos_xz&lt;L_rampe,Poids*COS(Beta),0)</f>
        <v>0</v>
      </c>
      <c r="V818" s="450" t="n">
        <f aca="false">Rho_moyen*(20000-Alt_rampe-pos_z)/(20000+Alt_rampe+pos_z)</f>
        <v>1.22668480175206</v>
      </c>
      <c r="W818" s="449" t="n">
        <f aca="false">1/2*Rho*Sref*Cx*vit_xz^2</f>
        <v>52.0899279540121</v>
      </c>
      <c r="X818" s="438"/>
      <c r="Y818" s="454" t="str">
        <f aca="false">IF(AND(pos_z&lt;=0,K817&gt;0),"Impact balistique","") &amp; IF(AND(H819&lt;0,vit_z&gt;=0),"Apogée","") &amp; IF(AND(Poussee=0,Q817&gt;0),"Fin de propulsion","") &amp; IF(AND(L819&gt;L_rampe,pos_xz&lt;=L_rampe),"Sortie de rampe","")</f>
        <v/>
      </c>
      <c r="Z818" s="455" t="str">
        <f aca="false">IF(ABS(t-T_para)&lt;pas/2,"Para","")</f>
        <v/>
      </c>
      <c r="AA818" s="456" t="str">
        <f aca="false">IF(ABS(t-T_satellite)&lt;pas/2,"Satellite","")</f>
        <v/>
      </c>
      <c r="AB818" s="444"/>
      <c r="AC818" s="452" t="e">
        <f aca="false">IF(ABS(t-ROUND(t,0))&lt;0.001,t,NA())</f>
        <v>#N/A</v>
      </c>
      <c r="AD818" s="457" t="e">
        <f aca="false">IF(ABS(t-ROUND(t,0))&lt;0.001,pos_x,NA())</f>
        <v>#N/A</v>
      </c>
      <c r="AE818" s="458" t="e">
        <f aca="false">IF(t&lt;T_para, pos_z, NA())</f>
        <v>#N/A</v>
      </c>
      <c r="AF818" s="444"/>
      <c r="AG818" s="450" t="n">
        <f aca="false">IF(AND(L817&lt;L_rampe,Poussee&lt;Poids*SIN(M817)),0,(-W817+Poussee)/m-Poids*SIN(M817)/m)</f>
        <v>3.69728066359054</v>
      </c>
      <c r="AH818" s="449" t="n">
        <f aca="false">IF(AND(L817&lt;L_rampe,Poussee&lt;Poids*SIN(M817)), g*SIN(M817), (-W817+Poussee)/m)</f>
        <v>-6.02052449398736</v>
      </c>
    </row>
    <row r="819" customFormat="false" ht="12" hidden="false" customHeight="false" outlineLevel="0" collapsed="false">
      <c r="A819" s="448" t="n">
        <f aca="false">IF(B818+0.01&lt;=T_ini+ROUNDUP(Temps_fin_propu,0), 0.01, IF(K818&gt;0, 0.1, 0.0001))</f>
        <v>0.0001</v>
      </c>
      <c r="B819" s="449" t="n">
        <f aca="false">B818+pas</f>
        <v>35.7098000000005</v>
      </c>
      <c r="C819" s="432"/>
      <c r="D819" s="450" t="n">
        <f aca="false">IF(AND(L818&lt;L_rampe,Poussee&lt;Poids*SIN(M818)),0,(-W818+Poussee)/m*COS(M818)-U818/m*SIN(M818))</f>
        <v>-0.823465131763432</v>
      </c>
      <c r="E819" s="451" t="n">
        <f aca="false">IF(AND(L818&lt;L_rampe,Poussee&lt;Poids*SIN(M818)),0,(-W818+Poussee)/m*SIN(M818)+U818/m*COS(M818)-Poids/m)</f>
        <v>-3.8460158029099</v>
      </c>
      <c r="F819" s="449" t="n">
        <f aca="false">SQRT(acc_x^2+acc_z^2)</f>
        <v>3.93318349171035</v>
      </c>
      <c r="G819" s="450" t="n">
        <f aca="false">G818+acc_x*pas</f>
        <v>18.9015902396794</v>
      </c>
      <c r="H819" s="451" t="n">
        <f aca="false">H818+acc_z*pas</f>
        <v>-136.896620099999</v>
      </c>
      <c r="I819" s="449" t="n">
        <f aca="false">SQRT(vit_x^2+vit_z^2)</f>
        <v>138.19534980741</v>
      </c>
      <c r="J819" s="450" t="n">
        <f aca="false">J818+0.5*(vit_x+G818)*pas*(K818&gt;=0)</f>
        <v>1017.12580762709</v>
      </c>
      <c r="K819" s="451" t="n">
        <f aca="false">K818+0.5*(vit_z+H818)*pas</f>
        <v>-13.757721916876</v>
      </c>
      <c r="L819" s="449" t="n">
        <f aca="false">SQRT(pos_x^2+pos_z^2)</f>
        <v>1017.21884737425</v>
      </c>
      <c r="M819" s="450" t="n">
        <f aca="false">IF(AND(L818&gt;L_rampe,G819&gt;0),ATAN2(G819,H819),$M$4)</f>
        <v>-1.43359182061974</v>
      </c>
      <c r="N819" s="449" t="n">
        <f aca="false">DEGREES(Beta)</f>
        <v>-82.138760865987</v>
      </c>
      <c r="O819" s="438"/>
      <c r="P819" s="452" t="n">
        <f aca="false">MATCH(t-pas/2-T_ini,CdP_t)</f>
        <v>23</v>
      </c>
      <c r="Q819" s="449" t="n">
        <f aca="false">(INDEX(CdP,2,i_P+1)-INDEX(CdP,2,i_P+0))/(INDEX(CdP,1,i_P+1)-INDEX(CdP,1,i_P+0))*(t-pas/2-T_ini-INDEX(CdP,1,i_P+0))+INDEX(CdP,2,i_P+0)</f>
        <v>0</v>
      </c>
      <c r="R819" s="450" t="n">
        <f aca="false">Poussee/(g*ISP)</f>
        <v>0</v>
      </c>
      <c r="S819" s="451" t="n">
        <f aca="false">S818-Débit*pas</f>
        <v>8.652</v>
      </c>
      <c r="T819" s="449" t="n">
        <f aca="false">m*g</f>
        <v>84.87612</v>
      </c>
      <c r="U819" s="453" t="n">
        <f aca="false">IF(pos_xz&lt;L_rampe,Poids*COS(Beta),0)</f>
        <v>0</v>
      </c>
      <c r="V819" s="450" t="n">
        <f aca="false">Rho_moyen*(20000-Alt_rampe-pos_z)/(20000+Alt_rampe+pos_z)</f>
        <v>1.22668648104168</v>
      </c>
      <c r="W819" s="449" t="n">
        <f aca="false">1/2*Rho*Sref*Cx*vit_xz^2</f>
        <v>52.0902779849007</v>
      </c>
      <c r="X819" s="438"/>
      <c r="Y819" s="454" t="str">
        <f aca="false">IF(AND(pos_z&lt;=0,K818&gt;0),"Impact balistique","") &amp; IF(AND(H820&lt;0,vit_z&gt;=0),"Apogée","") &amp; IF(AND(Poussee=0,Q818&gt;0),"Fin de propulsion","") &amp; IF(AND(L820&gt;L_rampe,pos_xz&lt;=L_rampe),"Sortie de rampe","")</f>
        <v/>
      </c>
      <c r="Z819" s="455" t="str">
        <f aca="false">IF(ABS(t-T_para)&lt;pas/2,"Para","")</f>
        <v/>
      </c>
      <c r="AA819" s="456" t="str">
        <f aca="false">IF(ABS(t-T_satellite)&lt;pas/2,"Satellite","")</f>
        <v/>
      </c>
      <c r="AB819" s="444"/>
      <c r="AC819" s="452" t="e">
        <f aca="false">IF(ABS(t-ROUND(t,0))&lt;0.001,t,NA())</f>
        <v>#N/A</v>
      </c>
      <c r="AD819" s="457" t="e">
        <f aca="false">IF(ABS(t-ROUND(t,0))&lt;0.001,pos_x,NA())</f>
        <v>#N/A</v>
      </c>
      <c r="AE819" s="458" t="e">
        <f aca="false">IF(t&lt;T_para, pos_z, NA())</f>
        <v>#N/A</v>
      </c>
      <c r="AF819" s="444"/>
      <c r="AG819" s="450" t="n">
        <f aca="false">IF(AND(L818&lt;L_rampe,Poussee&lt;Poids*SIN(M818)),0,(-W818+Poussee)/m-Poids*SIN(M818)/m)</f>
        <v>3.69724150957922</v>
      </c>
      <c r="AH819" s="449" t="n">
        <f aca="false">IF(AND(L818&lt;L_rampe,Poussee&lt;Poids*SIN(M818)), g*SIN(M818), (-W818+Poussee)/m)</f>
        <v>-6.02056495076423</v>
      </c>
    </row>
    <row r="820" customFormat="false" ht="12" hidden="false" customHeight="false" outlineLevel="0" collapsed="false">
      <c r="A820" s="448" t="n">
        <f aca="false">IF(B819+0.01&lt;=T_ini+ROUNDUP(Temps_fin_propu,0), 0.01, IF(K819&gt;0, 0.1, 0.0001))</f>
        <v>0.0001</v>
      </c>
      <c r="B820" s="449" t="n">
        <f aca="false">B819+pas</f>
        <v>35.7099000000005</v>
      </c>
      <c r="C820" s="432"/>
      <c r="D820" s="450" t="n">
        <f aca="false">IF(AND(L819&lt;L_rampe,Poussee&lt;Poids*SIN(M819)),0,(-W819+Poussee)/m*COS(M819)-U819/m*SIN(M819))</f>
        <v>-0.823464874644697</v>
      </c>
      <c r="E820" s="451" t="n">
        <f aca="false">IF(AND(L819&lt;L_rampe,Poussee&lt;Poids*SIN(M819)),0,(-W819+Poussee)/m*SIN(M819)+U819/m*COS(M819)-Poids/m)</f>
        <v>-3.84597492695192</v>
      </c>
      <c r="F820" s="449" t="n">
        <f aca="false">SQRT(acc_x^2+acc_z^2)</f>
        <v>3.93314346782779</v>
      </c>
      <c r="G820" s="450" t="n">
        <f aca="false">G819+acc_x*pas</f>
        <v>18.9015078931919</v>
      </c>
      <c r="H820" s="451" t="n">
        <f aca="false">H819+acc_z*pas</f>
        <v>-136.897004697492</v>
      </c>
      <c r="I820" s="449" t="n">
        <f aca="false">SQRT(vit_x^2+vit_z^2)</f>
        <v>138.19571952771</v>
      </c>
      <c r="J820" s="450" t="n">
        <f aca="false">J819+0.5*(vit_x+G819)*pas*(K819&gt;=0)</f>
        <v>1017.12580762709</v>
      </c>
      <c r="K820" s="451" t="n">
        <f aca="false">K819+0.5*(vit_z+H819)*pas</f>
        <v>-13.7714115981159</v>
      </c>
      <c r="L820" s="449" t="n">
        <f aca="false">SQRT(pos_x^2+pos_z^2)</f>
        <v>1017.2190326171</v>
      </c>
      <c r="M820" s="450" t="n">
        <f aca="false">IF(AND(L819&gt;L_rampe,G820&gt;0),ATAN2(G820,H820),$M$4)</f>
        <v>-1.43359279153054</v>
      </c>
      <c r="N820" s="449" t="n">
        <f aca="false">DEGREES(Beta)</f>
        <v>-82.1388164950779</v>
      </c>
      <c r="O820" s="438"/>
      <c r="P820" s="452" t="n">
        <f aca="false">MATCH(t-pas/2-T_ini,CdP_t)</f>
        <v>23</v>
      </c>
      <c r="Q820" s="449" t="n">
        <f aca="false">(INDEX(CdP,2,i_P+1)-INDEX(CdP,2,i_P+0))/(INDEX(CdP,1,i_P+1)-INDEX(CdP,1,i_P+0))*(t-pas/2-T_ini-INDEX(CdP,1,i_P+0))+INDEX(CdP,2,i_P+0)</f>
        <v>0</v>
      </c>
      <c r="R820" s="450" t="n">
        <f aca="false">Poussee/(g*ISP)</f>
        <v>0</v>
      </c>
      <c r="S820" s="451" t="n">
        <f aca="false">S819-Débit*pas</f>
        <v>8.652</v>
      </c>
      <c r="T820" s="449" t="n">
        <f aca="false">m*g</f>
        <v>84.87612</v>
      </c>
      <c r="U820" s="453" t="n">
        <f aca="false">IF(pos_xz&lt;L_rampe,Poids*COS(Beta),0)</f>
        <v>0</v>
      </c>
      <c r="V820" s="450" t="n">
        <f aca="false">Rho_moyen*(20000-Alt_rampe-pos_z)/(20000+Alt_rampe+pos_z)</f>
        <v>1.22668816033831</v>
      </c>
      <c r="W820" s="449" t="n">
        <f aca="false">1/2*Rho*Sref*Cx*vit_xz^2</f>
        <v>52.0906280146445</v>
      </c>
      <c r="X820" s="438"/>
      <c r="Y820" s="454" t="str">
        <f aca="false">IF(AND(pos_z&lt;=0,K819&gt;0),"Impact balistique","") &amp; IF(AND(H821&lt;0,vit_z&gt;=0),"Apogée","") &amp; IF(AND(Poussee=0,Q819&gt;0),"Fin de propulsion","") &amp; IF(AND(L821&gt;L_rampe,pos_xz&lt;=L_rampe),"Sortie de rampe","")</f>
        <v/>
      </c>
      <c r="Z820" s="455" t="str">
        <f aca="false">IF(ABS(t-T_para)&lt;pas/2,"Para","")</f>
        <v/>
      </c>
      <c r="AA820" s="456" t="str">
        <f aca="false">IF(ABS(t-T_satellite)&lt;pas/2,"Satellite","")</f>
        <v/>
      </c>
      <c r="AB820" s="444"/>
      <c r="AC820" s="452" t="e">
        <f aca="false">IF(ABS(t-ROUND(t,0))&lt;0.001,t,NA())</f>
        <v>#N/A</v>
      </c>
      <c r="AD820" s="457" t="e">
        <f aca="false">IF(ABS(t-ROUND(t,0))&lt;0.001,pos_x,NA())</f>
        <v>#N/A</v>
      </c>
      <c r="AE820" s="458" t="e">
        <f aca="false">IF(t&lt;T_para, pos_z, NA())</f>
        <v>#N/A</v>
      </c>
      <c r="AF820" s="444"/>
      <c r="AG820" s="450" t="n">
        <f aca="false">IF(AND(L819&lt;L_rampe,Poussee&lt;Poids*SIN(M819)),0,(-W819+Poussee)/m-Poids*SIN(M819)/m)</f>
        <v>3.69720235567841</v>
      </c>
      <c r="AH820" s="449" t="n">
        <f aca="false">IF(AND(L819&lt;L_rampe,Poussee&lt;Poids*SIN(M819)), g*SIN(M819), (-W819+Poussee)/m)</f>
        <v>-6.02060540740878</v>
      </c>
    </row>
    <row r="821" customFormat="false" ht="12" hidden="false" customHeight="false" outlineLevel="0" collapsed="false">
      <c r="A821" s="448" t="n">
        <f aca="false">IF(B820+0.01&lt;=T_ini+ROUNDUP(Temps_fin_propu,0), 0.01, IF(K820&gt;0, 0.1, 0.0001))</f>
        <v>0.0001</v>
      </c>
      <c r="B821" s="449" t="n">
        <f aca="false">B820+pas</f>
        <v>35.7100000000005</v>
      </c>
      <c r="C821" s="432"/>
      <c r="D821" s="450" t="n">
        <f aca="false">IF(AND(L820&lt;L_rampe,Poussee&lt;Poids*SIN(M820)),0,(-W820+Poussee)/m*COS(M820)-U820/m*SIN(M820))</f>
        <v>-0.823464617485475</v>
      </c>
      <c r="E821" s="451" t="n">
        <f aca="false">IF(AND(L820&lt;L_rampe,Poussee&lt;Poids*SIN(M820)),0,(-W820+Poussee)/m*SIN(M820)+U820/m*COS(M820)-Poids/m)</f>
        <v>-3.84593405112766</v>
      </c>
      <c r="F821" s="449" t="n">
        <f aca="false">SQRT(acc_x^2+acc_z^2)</f>
        <v>3.93310344408505</v>
      </c>
      <c r="G821" s="450" t="n">
        <f aca="false">G820+acc_x*pas</f>
        <v>18.9014255467301</v>
      </c>
      <c r="H821" s="451" t="n">
        <f aca="false">H820+acc_z*pas</f>
        <v>-136.897389290897</v>
      </c>
      <c r="I821" s="449" t="n">
        <f aca="false">SQRT(vit_x^2+vit_z^2)</f>
        <v>138.196089244096</v>
      </c>
      <c r="J821" s="450" t="n">
        <f aca="false">J820+0.5*(vit_x+G820)*pas*(K820&gt;=0)</f>
        <v>1017.12580762709</v>
      </c>
      <c r="K821" s="451" t="n">
        <f aca="false">K820+0.5*(vit_z+H820)*pas</f>
        <v>-13.7851013178153</v>
      </c>
      <c r="L821" s="449" t="n">
        <f aca="false">SQRT(pos_x^2+pos_z^2)</f>
        <v>1017.21921804467</v>
      </c>
      <c r="M821" s="450" t="n">
        <f aca="false">IF(AND(L820&gt;L_rampe,G821&gt;0),ATAN2(G821,H821),$M$4)</f>
        <v>-1.43359376243191</v>
      </c>
      <c r="N821" s="449" t="n">
        <f aca="false">DEGREES(Beta)</f>
        <v>-82.1388721236288</v>
      </c>
      <c r="O821" s="438"/>
      <c r="P821" s="452" t="n">
        <f aca="false">MATCH(t-pas/2-T_ini,CdP_t)</f>
        <v>23</v>
      </c>
      <c r="Q821" s="449" t="n">
        <f aca="false">(INDEX(CdP,2,i_P+1)-INDEX(CdP,2,i_P+0))/(INDEX(CdP,1,i_P+1)-INDEX(CdP,1,i_P+0))*(t-pas/2-T_ini-INDEX(CdP,1,i_P+0))+INDEX(CdP,2,i_P+0)</f>
        <v>0</v>
      </c>
      <c r="R821" s="450" t="n">
        <f aca="false">Poussee/(g*ISP)</f>
        <v>0</v>
      </c>
      <c r="S821" s="451" t="n">
        <f aca="false">S820-Débit*pas</f>
        <v>8.652</v>
      </c>
      <c r="T821" s="449" t="n">
        <f aca="false">m*g</f>
        <v>84.87612</v>
      </c>
      <c r="U821" s="453" t="n">
        <f aca="false">IF(pos_xz&lt;L_rampe,Poids*COS(Beta),0)</f>
        <v>0</v>
      </c>
      <c r="V821" s="450" t="n">
        <f aca="false">Rho_moyen*(20000-Alt_rampe-pos_z)/(20000+Alt_rampe+pos_z)</f>
        <v>1.22668983964197</v>
      </c>
      <c r="W821" s="449" t="n">
        <f aca="false">1/2*Rho*Sref*Cx*vit_xz^2</f>
        <v>52.0909780432435</v>
      </c>
      <c r="X821" s="438"/>
      <c r="Y821" s="454" t="str">
        <f aca="false">IF(AND(pos_z&lt;=0,K820&gt;0),"Impact balistique","") &amp; IF(AND(H822&lt;0,vit_z&gt;=0),"Apogée","") &amp; IF(AND(Poussee=0,Q820&gt;0),"Fin de propulsion","") &amp; IF(AND(L822&gt;L_rampe,pos_xz&lt;=L_rampe),"Sortie de rampe","")</f>
        <v/>
      </c>
      <c r="Z821" s="455" t="str">
        <f aca="false">IF(ABS(t-T_para)&lt;pas/2,"Para","")</f>
        <v/>
      </c>
      <c r="AA821" s="456" t="str">
        <f aca="false">IF(ABS(t-T_satellite)&lt;pas/2,"Satellite","")</f>
        <v/>
      </c>
      <c r="AB821" s="444"/>
      <c r="AC821" s="452" t="e">
        <f aca="false">IF(ABS(t-ROUND(t,0))&lt;0.001,t,NA())</f>
        <v>#N/A</v>
      </c>
      <c r="AD821" s="457" t="e">
        <f aca="false">IF(ABS(t-ROUND(t,0))&lt;0.001,pos_x,NA())</f>
        <v>#N/A</v>
      </c>
      <c r="AE821" s="458" t="e">
        <f aca="false">IF(t&lt;T_para, pos_z, NA())</f>
        <v>#N/A</v>
      </c>
      <c r="AF821" s="444"/>
      <c r="AG821" s="450" t="n">
        <f aca="false">IF(AND(L820&lt;L_rampe,Poussee&lt;Poids*SIN(M820)),0,(-W820+Poussee)/m-Poids*SIN(M820)/m)</f>
        <v>3.69716320188812</v>
      </c>
      <c r="AH821" s="449" t="n">
        <f aca="false">IF(AND(L820&lt;L_rampe,Poussee&lt;Poids*SIN(M820)), g*SIN(M820), (-W820+Poussee)/m)</f>
        <v>-6.020645863921</v>
      </c>
    </row>
    <row r="822" customFormat="false" ht="12" hidden="false" customHeight="false" outlineLevel="0" collapsed="false">
      <c r="A822" s="448" t="n">
        <f aca="false">IF(B821+0.01&lt;=T_ini+ROUNDUP(Temps_fin_propu,0), 0.01, IF(K821&gt;0, 0.1, 0.0001))</f>
        <v>0.0001</v>
      </c>
      <c r="B822" s="449" t="n">
        <f aca="false">B821+pas</f>
        <v>35.7101000000005</v>
      </c>
      <c r="C822" s="432"/>
      <c r="D822" s="450" t="n">
        <f aca="false">IF(AND(L821&lt;L_rampe,Poussee&lt;Poids*SIN(M821)),0,(-W821+Poussee)/m*COS(M821)-U821/m*SIN(M821))</f>
        <v>-0.823464360285771</v>
      </c>
      <c r="E822" s="451" t="n">
        <f aca="false">IF(AND(L821&lt;L_rampe,Poussee&lt;Poids*SIN(M821)),0,(-W821+Poussee)/m*SIN(M821)+U821/m*COS(M821)-Poids/m)</f>
        <v>-3.84589317543711</v>
      </c>
      <c r="F822" s="449" t="n">
        <f aca="false">SQRT(acc_x^2+acc_z^2)</f>
        <v>3.93306342048213</v>
      </c>
      <c r="G822" s="450" t="n">
        <f aca="false">G821+acc_x*pas</f>
        <v>18.9013432002941</v>
      </c>
      <c r="H822" s="451" t="n">
        <f aca="false">H821+acc_z*pas</f>
        <v>-136.897773880215</v>
      </c>
      <c r="I822" s="449" t="n">
        <f aca="false">SQRT(vit_x^2+vit_z^2)</f>
        <v>138.196458956566</v>
      </c>
      <c r="J822" s="450" t="n">
        <f aca="false">J821+0.5*(vit_x+G821)*pas*(K821&gt;=0)</f>
        <v>1017.12580762709</v>
      </c>
      <c r="K822" s="451" t="n">
        <f aca="false">K821+0.5*(vit_z+H821)*pas</f>
        <v>-13.7987910759738</v>
      </c>
      <c r="L822" s="449" t="n">
        <f aca="false">SQRT(pos_x^2+pos_z^2)</f>
        <v>1017.21940365696</v>
      </c>
      <c r="M822" s="450" t="n">
        <f aca="false">IF(AND(L821&gt;L_rampe,G822&gt;0),ATAN2(G822,H822),$M$4)</f>
        <v>-1.43359473332386</v>
      </c>
      <c r="N822" s="449" t="n">
        <f aca="false">DEGREES(Beta)</f>
        <v>-82.1389277516397</v>
      </c>
      <c r="O822" s="438"/>
      <c r="P822" s="452" t="n">
        <f aca="false">MATCH(t-pas/2-T_ini,CdP_t)</f>
        <v>23</v>
      </c>
      <c r="Q822" s="449" t="n">
        <f aca="false">(INDEX(CdP,2,i_P+1)-INDEX(CdP,2,i_P+0))/(INDEX(CdP,1,i_P+1)-INDEX(CdP,1,i_P+0))*(t-pas/2-T_ini-INDEX(CdP,1,i_P+0))+INDEX(CdP,2,i_P+0)</f>
        <v>0</v>
      </c>
      <c r="R822" s="450" t="n">
        <f aca="false">Poussee/(g*ISP)</f>
        <v>0</v>
      </c>
      <c r="S822" s="451" t="n">
        <f aca="false">S821-Débit*pas</f>
        <v>8.652</v>
      </c>
      <c r="T822" s="449" t="n">
        <f aca="false">m*g</f>
        <v>84.87612</v>
      </c>
      <c r="U822" s="453" t="n">
        <f aca="false">IF(pos_xz&lt;L_rampe,Poids*COS(Beta),0)</f>
        <v>0</v>
      </c>
      <c r="V822" s="450" t="n">
        <f aca="false">Rho_moyen*(20000-Alt_rampe-pos_z)/(20000+Alt_rampe+pos_z)</f>
        <v>1.22669151895264</v>
      </c>
      <c r="W822" s="449" t="n">
        <f aca="false">1/2*Rho*Sref*Cx*vit_xz^2</f>
        <v>52.0913280706975</v>
      </c>
      <c r="X822" s="438"/>
      <c r="Y822" s="454" t="str">
        <f aca="false">IF(AND(pos_z&lt;=0,K821&gt;0),"Impact balistique","") &amp; IF(AND(H823&lt;0,vit_z&gt;=0),"Apogée","") &amp; IF(AND(Poussee=0,Q821&gt;0),"Fin de propulsion","") &amp; IF(AND(L823&gt;L_rampe,pos_xz&lt;=L_rampe),"Sortie de rampe","")</f>
        <v/>
      </c>
      <c r="Z822" s="455" t="str">
        <f aca="false">IF(ABS(t-T_para)&lt;pas/2,"Para","")</f>
        <v/>
      </c>
      <c r="AA822" s="456" t="str">
        <f aca="false">IF(ABS(t-T_satellite)&lt;pas/2,"Satellite","")</f>
        <v/>
      </c>
      <c r="AB822" s="444"/>
      <c r="AC822" s="452" t="e">
        <f aca="false">IF(ABS(t-ROUND(t,0))&lt;0.001,t,NA())</f>
        <v>#N/A</v>
      </c>
      <c r="AD822" s="457" t="e">
        <f aca="false">IF(ABS(t-ROUND(t,0))&lt;0.001,pos_x,NA())</f>
        <v>#N/A</v>
      </c>
      <c r="AE822" s="458" t="e">
        <f aca="false">IF(t&lt;T_para, pos_z, NA())</f>
        <v>#N/A</v>
      </c>
      <c r="AF822" s="444"/>
      <c r="AG822" s="450" t="n">
        <f aca="false">IF(AND(L821&lt;L_rampe,Poussee&lt;Poids*SIN(M821)),0,(-W821+Poussee)/m-Poids*SIN(M821)/m)</f>
        <v>3.69712404820834</v>
      </c>
      <c r="AH822" s="449" t="n">
        <f aca="false">IF(AND(L821&lt;L_rampe,Poussee&lt;Poids*SIN(M821)), g*SIN(M821), (-W821+Poussee)/m)</f>
        <v>-6.02068632030091</v>
      </c>
    </row>
    <row r="823" customFormat="false" ht="12" hidden="false" customHeight="false" outlineLevel="0" collapsed="false">
      <c r="A823" s="448" t="n">
        <f aca="false">IF(B822+0.01&lt;=T_ini+ROUNDUP(Temps_fin_propu,0), 0.01, IF(K822&gt;0, 0.1, 0.0001))</f>
        <v>0.0001</v>
      </c>
      <c r="B823" s="449" t="n">
        <f aca="false">B822+pas</f>
        <v>35.7102000000005</v>
      </c>
      <c r="C823" s="432"/>
      <c r="D823" s="450" t="n">
        <f aca="false">IF(AND(L822&lt;L_rampe,Poussee&lt;Poids*SIN(M822)),0,(-W822+Poussee)/m*COS(M822)-U822/m*SIN(M822))</f>
        <v>-0.823464103045579</v>
      </c>
      <c r="E823" s="451" t="n">
        <f aca="false">IF(AND(L822&lt;L_rampe,Poussee&lt;Poids*SIN(M822)),0,(-W822+Poussee)/m*SIN(M822)+U822/m*COS(M822)-Poids/m)</f>
        <v>-3.84585229988029</v>
      </c>
      <c r="F823" s="449" t="n">
        <f aca="false">SQRT(acc_x^2+acc_z^2)</f>
        <v>3.93302339701904</v>
      </c>
      <c r="G823" s="450" t="n">
        <f aca="false">G822+acc_x*pas</f>
        <v>18.9012608538838</v>
      </c>
      <c r="H823" s="451" t="n">
        <f aca="false">H822+acc_z*pas</f>
        <v>-136.898158465445</v>
      </c>
      <c r="I823" s="449" t="n">
        <f aca="false">SQRT(vit_x^2+vit_z^2)</f>
        <v>138.19682866512</v>
      </c>
      <c r="J823" s="450" t="n">
        <f aca="false">J822+0.5*(vit_x+G822)*pas*(K822&gt;=0)</f>
        <v>1017.12580762709</v>
      </c>
      <c r="K823" s="451" t="n">
        <f aca="false">K822+0.5*(vit_z+H822)*pas</f>
        <v>-13.8124808725911</v>
      </c>
      <c r="L823" s="449" t="n">
        <f aca="false">SQRT(pos_x^2+pos_z^2)</f>
        <v>1017.21958945398</v>
      </c>
      <c r="M823" s="450" t="n">
        <f aca="false">IF(AND(L822&gt;L_rampe,G823&gt;0),ATAN2(G823,H823),$M$4)</f>
        <v>-1.43359570420638</v>
      </c>
      <c r="N823" s="449" t="n">
        <f aca="false">DEGREES(Beta)</f>
        <v>-82.1389833791107</v>
      </c>
      <c r="O823" s="438"/>
      <c r="P823" s="452" t="n">
        <f aca="false">MATCH(t-pas/2-T_ini,CdP_t)</f>
        <v>23</v>
      </c>
      <c r="Q823" s="449" t="n">
        <f aca="false">(INDEX(CdP,2,i_P+1)-INDEX(CdP,2,i_P+0))/(INDEX(CdP,1,i_P+1)-INDEX(CdP,1,i_P+0))*(t-pas/2-T_ini-INDEX(CdP,1,i_P+0))+INDEX(CdP,2,i_P+0)</f>
        <v>0</v>
      </c>
      <c r="R823" s="450" t="n">
        <f aca="false">Poussee/(g*ISP)</f>
        <v>0</v>
      </c>
      <c r="S823" s="451" t="n">
        <f aca="false">S822-Débit*pas</f>
        <v>8.652</v>
      </c>
      <c r="T823" s="449" t="n">
        <f aca="false">m*g</f>
        <v>84.87612</v>
      </c>
      <c r="U823" s="453" t="n">
        <f aca="false">IF(pos_xz&lt;L_rampe,Poids*COS(Beta),0)</f>
        <v>0</v>
      </c>
      <c r="V823" s="450" t="n">
        <f aca="false">Rho_moyen*(20000-Alt_rampe-pos_z)/(20000+Alt_rampe+pos_z)</f>
        <v>1.22669319827033</v>
      </c>
      <c r="W823" s="449" t="n">
        <f aca="false">1/2*Rho*Sref*Cx*vit_xz^2</f>
        <v>52.0916780970066</v>
      </c>
      <c r="X823" s="438"/>
      <c r="Y823" s="454" t="str">
        <f aca="false">IF(AND(pos_z&lt;=0,K822&gt;0),"Impact balistique","") &amp; IF(AND(H824&lt;0,vit_z&gt;=0),"Apogée","") &amp; IF(AND(Poussee=0,Q822&gt;0),"Fin de propulsion","") &amp; IF(AND(L824&gt;L_rampe,pos_xz&lt;=L_rampe),"Sortie de rampe","")</f>
        <v/>
      </c>
      <c r="Z823" s="455" t="str">
        <f aca="false">IF(ABS(t-T_para)&lt;pas/2,"Para","")</f>
        <v/>
      </c>
      <c r="AA823" s="456" t="str">
        <f aca="false">IF(ABS(t-T_satellite)&lt;pas/2,"Satellite","")</f>
        <v/>
      </c>
      <c r="AB823" s="444"/>
      <c r="AC823" s="452" t="e">
        <f aca="false">IF(ABS(t-ROUND(t,0))&lt;0.001,t,NA())</f>
        <v>#N/A</v>
      </c>
      <c r="AD823" s="457" t="e">
        <f aca="false">IF(ABS(t-ROUND(t,0))&lt;0.001,pos_x,NA())</f>
        <v>#N/A</v>
      </c>
      <c r="AE823" s="458" t="e">
        <f aca="false">IF(t&lt;T_para, pos_z, NA())</f>
        <v>#N/A</v>
      </c>
      <c r="AF823" s="444"/>
      <c r="AG823" s="450" t="n">
        <f aca="false">IF(AND(L822&lt;L_rampe,Poussee&lt;Poids*SIN(M822)),0,(-W822+Poussee)/m-Poids*SIN(M822)/m)</f>
        <v>3.69708489463909</v>
      </c>
      <c r="AH823" s="449" t="n">
        <f aca="false">IF(AND(L822&lt;L_rampe,Poussee&lt;Poids*SIN(M822)), g*SIN(M822), (-W822+Poussee)/m)</f>
        <v>-6.02072677654848</v>
      </c>
    </row>
    <row r="824" customFormat="false" ht="12" hidden="false" customHeight="false" outlineLevel="0" collapsed="false">
      <c r="A824" s="448" t="n">
        <f aca="false">IF(B823+0.01&lt;=T_ini+ROUNDUP(Temps_fin_propu,0), 0.01, IF(K823&gt;0, 0.1, 0.0001))</f>
        <v>0.0001</v>
      </c>
      <c r="B824" s="449" t="n">
        <f aca="false">B823+pas</f>
        <v>35.7103000000005</v>
      </c>
      <c r="C824" s="432"/>
      <c r="D824" s="450" t="n">
        <f aca="false">IF(AND(L823&lt;L_rampe,Poussee&lt;Poids*SIN(M823)),0,(-W823+Poussee)/m*COS(M823)-U823/m*SIN(M823))</f>
        <v>-0.823463845764904</v>
      </c>
      <c r="E824" s="451" t="n">
        <f aca="false">IF(AND(L823&lt;L_rampe,Poussee&lt;Poids*SIN(M823)),0,(-W823+Poussee)/m*SIN(M823)+U823/m*COS(M823)-Poids/m)</f>
        <v>-3.84581142445719</v>
      </c>
      <c r="F824" s="449" t="n">
        <f aca="false">SQRT(acc_x^2+acc_z^2)</f>
        <v>3.93298337369577</v>
      </c>
      <c r="G824" s="450" t="n">
        <f aca="false">G823+acc_x*pas</f>
        <v>18.9011785074992</v>
      </c>
      <c r="H824" s="451" t="n">
        <f aca="false">H823+acc_z*pas</f>
        <v>-136.898543046587</v>
      </c>
      <c r="I824" s="449" t="n">
        <f aca="false">SQRT(vit_x^2+vit_z^2)</f>
        <v>138.197198369759</v>
      </c>
      <c r="J824" s="450" t="n">
        <f aca="false">J823+0.5*(vit_x+G823)*pas*(K823&gt;=0)</f>
        <v>1017.12580762709</v>
      </c>
      <c r="K824" s="451" t="n">
        <f aca="false">K823+0.5*(vit_z+H823)*pas</f>
        <v>-13.8261707076667</v>
      </c>
      <c r="L824" s="449" t="n">
        <f aca="false">SQRT(pos_x^2+pos_z^2)</f>
        <v>1017.21977543572</v>
      </c>
      <c r="M824" s="450" t="n">
        <f aca="false">IF(AND(L823&gt;L_rampe,G824&gt;0),ATAN2(G824,H824),$M$4)</f>
        <v>-1.43359667507948</v>
      </c>
      <c r="N824" s="449" t="n">
        <f aca="false">DEGREES(Beta)</f>
        <v>-82.1390390060416</v>
      </c>
      <c r="O824" s="438"/>
      <c r="P824" s="452" t="n">
        <f aca="false">MATCH(t-pas/2-T_ini,CdP_t)</f>
        <v>23</v>
      </c>
      <c r="Q824" s="449" t="n">
        <f aca="false">(INDEX(CdP,2,i_P+1)-INDEX(CdP,2,i_P+0))/(INDEX(CdP,1,i_P+1)-INDEX(CdP,1,i_P+0))*(t-pas/2-T_ini-INDEX(CdP,1,i_P+0))+INDEX(CdP,2,i_P+0)</f>
        <v>0</v>
      </c>
      <c r="R824" s="450" t="n">
        <f aca="false">Poussee/(g*ISP)</f>
        <v>0</v>
      </c>
      <c r="S824" s="451" t="n">
        <f aca="false">S823-Débit*pas</f>
        <v>8.652</v>
      </c>
      <c r="T824" s="449" t="n">
        <f aca="false">m*g</f>
        <v>84.87612</v>
      </c>
      <c r="U824" s="453" t="n">
        <f aca="false">IF(pos_xz&lt;L_rampe,Poids*COS(Beta),0)</f>
        <v>0</v>
      </c>
      <c r="V824" s="450" t="n">
        <f aca="false">Rho_moyen*(20000-Alt_rampe-pos_z)/(20000+Alt_rampe+pos_z)</f>
        <v>1.22669487759504</v>
      </c>
      <c r="W824" s="449" t="n">
        <f aca="false">1/2*Rho*Sref*Cx*vit_xz^2</f>
        <v>52.0920281221708</v>
      </c>
      <c r="X824" s="438"/>
      <c r="Y824" s="454" t="str">
        <f aca="false">IF(AND(pos_z&lt;=0,K823&gt;0),"Impact balistique","") &amp; IF(AND(H825&lt;0,vit_z&gt;=0),"Apogée","") &amp; IF(AND(Poussee=0,Q823&gt;0),"Fin de propulsion","") &amp; IF(AND(L825&gt;L_rampe,pos_xz&lt;=L_rampe),"Sortie de rampe","")</f>
        <v/>
      </c>
      <c r="Z824" s="455" t="str">
        <f aca="false">IF(ABS(t-T_para)&lt;pas/2,"Para","")</f>
        <v/>
      </c>
      <c r="AA824" s="456" t="str">
        <f aca="false">IF(ABS(t-T_satellite)&lt;pas/2,"Satellite","")</f>
        <v/>
      </c>
      <c r="AB824" s="444"/>
      <c r="AC824" s="452" t="e">
        <f aca="false">IF(ABS(t-ROUND(t,0))&lt;0.001,t,NA())</f>
        <v>#N/A</v>
      </c>
      <c r="AD824" s="457" t="e">
        <f aca="false">IF(ABS(t-ROUND(t,0))&lt;0.001,pos_x,NA())</f>
        <v>#N/A</v>
      </c>
      <c r="AE824" s="458" t="e">
        <f aca="false">IF(t&lt;T_para, pos_z, NA())</f>
        <v>#N/A</v>
      </c>
      <c r="AF824" s="444"/>
      <c r="AG824" s="450" t="n">
        <f aca="false">IF(AND(L823&lt;L_rampe,Poussee&lt;Poids*SIN(M823)),0,(-W823+Poussee)/m-Poids*SIN(M823)/m)</f>
        <v>3.69704574118036</v>
      </c>
      <c r="AH824" s="449" t="n">
        <f aca="false">IF(AND(L823&lt;L_rampe,Poussee&lt;Poids*SIN(M823)), g*SIN(M823), (-W823+Poussee)/m)</f>
        <v>-6.02076723266373</v>
      </c>
    </row>
    <row r="825" customFormat="false" ht="12" hidden="false" customHeight="false" outlineLevel="0" collapsed="false">
      <c r="A825" s="448" t="n">
        <f aca="false">IF(B824+0.01&lt;=T_ini+ROUNDUP(Temps_fin_propu,0), 0.01, IF(K824&gt;0, 0.1, 0.0001))</f>
        <v>0.0001</v>
      </c>
      <c r="B825" s="449" t="n">
        <f aca="false">B824+pas</f>
        <v>35.7104000000005</v>
      </c>
      <c r="C825" s="432"/>
      <c r="D825" s="450" t="n">
        <f aca="false">IF(AND(L824&lt;L_rampe,Poussee&lt;Poids*SIN(M824)),0,(-W824+Poussee)/m*COS(M824)-U824/m*SIN(M824))</f>
        <v>-0.823463588443746</v>
      </c>
      <c r="E825" s="451" t="n">
        <f aca="false">IF(AND(L824&lt;L_rampe,Poussee&lt;Poids*SIN(M824)),0,(-W824+Poussee)/m*SIN(M824)+U824/m*COS(M824)-Poids/m)</f>
        <v>-3.84577054916782</v>
      </c>
      <c r="F825" s="449" t="n">
        <f aca="false">SQRT(acc_x^2+acc_z^2)</f>
        <v>3.93294335051234</v>
      </c>
      <c r="G825" s="450" t="n">
        <f aca="false">G824+acc_x*pas</f>
        <v>18.9010961611404</v>
      </c>
      <c r="H825" s="451" t="n">
        <f aca="false">H824+acc_z*pas</f>
        <v>-136.898927623642</v>
      </c>
      <c r="I825" s="449" t="n">
        <f aca="false">SQRT(vit_x^2+vit_z^2)</f>
        <v>138.197568070483</v>
      </c>
      <c r="J825" s="450" t="n">
        <f aca="false">J824+0.5*(vit_x+G824)*pas*(K824&gt;=0)</f>
        <v>1017.12580762709</v>
      </c>
      <c r="K825" s="451" t="n">
        <f aca="false">K824+0.5*(vit_z+H824)*pas</f>
        <v>-13.8398605812002</v>
      </c>
      <c r="L825" s="449" t="n">
        <f aca="false">SQRT(pos_x^2+pos_z^2)</f>
        <v>1017.21996160219</v>
      </c>
      <c r="M825" s="450" t="n">
        <f aca="false">IF(AND(L824&gt;L_rampe,G825&gt;0),ATAN2(G825,H825),$M$4)</f>
        <v>-1.43359764594315</v>
      </c>
      <c r="N825" s="449" t="n">
        <f aca="false">DEGREES(Beta)</f>
        <v>-82.1390946324326</v>
      </c>
      <c r="O825" s="438"/>
      <c r="P825" s="452" t="n">
        <f aca="false">MATCH(t-pas/2-T_ini,CdP_t)</f>
        <v>23</v>
      </c>
      <c r="Q825" s="449" t="n">
        <f aca="false">(INDEX(CdP,2,i_P+1)-INDEX(CdP,2,i_P+0))/(INDEX(CdP,1,i_P+1)-INDEX(CdP,1,i_P+0))*(t-pas/2-T_ini-INDEX(CdP,1,i_P+0))+INDEX(CdP,2,i_P+0)</f>
        <v>0</v>
      </c>
      <c r="R825" s="450" t="n">
        <f aca="false">Poussee/(g*ISP)</f>
        <v>0</v>
      </c>
      <c r="S825" s="451" t="n">
        <f aca="false">S824-Débit*pas</f>
        <v>8.652</v>
      </c>
      <c r="T825" s="449" t="n">
        <f aca="false">m*g</f>
        <v>84.87612</v>
      </c>
      <c r="U825" s="453" t="n">
        <f aca="false">IF(pos_xz&lt;L_rampe,Poids*COS(Beta),0)</f>
        <v>0</v>
      </c>
      <c r="V825" s="450" t="n">
        <f aca="false">Rho_moyen*(20000-Alt_rampe-pos_z)/(20000+Alt_rampe+pos_z)</f>
        <v>1.22669655692676</v>
      </c>
      <c r="W825" s="449" t="n">
        <f aca="false">1/2*Rho*Sref*Cx*vit_xz^2</f>
        <v>52.09237814619</v>
      </c>
      <c r="X825" s="438"/>
      <c r="Y825" s="454" t="str">
        <f aca="false">IF(AND(pos_z&lt;=0,K824&gt;0),"Impact balistique","") &amp; IF(AND(H826&lt;0,vit_z&gt;=0),"Apogée","") &amp; IF(AND(Poussee=0,Q824&gt;0),"Fin de propulsion","") &amp; IF(AND(L826&gt;L_rampe,pos_xz&lt;=L_rampe),"Sortie de rampe","")</f>
        <v/>
      </c>
      <c r="Z825" s="455" t="str">
        <f aca="false">IF(ABS(t-T_para)&lt;pas/2,"Para","")</f>
        <v/>
      </c>
      <c r="AA825" s="456" t="str">
        <f aca="false">IF(ABS(t-T_satellite)&lt;pas/2,"Satellite","")</f>
        <v/>
      </c>
      <c r="AB825" s="444"/>
      <c r="AC825" s="452" t="e">
        <f aca="false">IF(ABS(t-ROUND(t,0))&lt;0.001,t,NA())</f>
        <v>#N/A</v>
      </c>
      <c r="AD825" s="457" t="e">
        <f aca="false">IF(ABS(t-ROUND(t,0))&lt;0.001,pos_x,NA())</f>
        <v>#N/A</v>
      </c>
      <c r="AE825" s="458" t="e">
        <f aca="false">IF(t&lt;T_para, pos_z, NA())</f>
        <v>#N/A</v>
      </c>
      <c r="AF825" s="444"/>
      <c r="AG825" s="450" t="n">
        <f aca="false">IF(AND(L824&lt;L_rampe,Poussee&lt;Poids*SIN(M824)),0,(-W824+Poussee)/m-Poids*SIN(M824)/m)</f>
        <v>3.69700658783215</v>
      </c>
      <c r="AH825" s="449" t="n">
        <f aca="false">IF(AND(L824&lt;L_rampe,Poussee&lt;Poids*SIN(M824)), g*SIN(M824), (-W824+Poussee)/m)</f>
        <v>-6.02080768864665</v>
      </c>
    </row>
    <row r="826" customFormat="false" ht="12" hidden="false" customHeight="false" outlineLevel="0" collapsed="false">
      <c r="A826" s="448" t="n">
        <f aca="false">IF(B825+0.01&lt;=T_ini+ROUNDUP(Temps_fin_propu,0), 0.01, IF(K825&gt;0, 0.1, 0.0001))</f>
        <v>0.0001</v>
      </c>
      <c r="B826" s="449" t="n">
        <f aca="false">B825+pas</f>
        <v>35.7105000000005</v>
      </c>
      <c r="C826" s="432"/>
      <c r="D826" s="450" t="n">
        <f aca="false">IF(AND(L825&lt;L_rampe,Poussee&lt;Poids*SIN(M825)),0,(-W825+Poussee)/m*COS(M825)-U825/m*SIN(M825))</f>
        <v>-0.823463331082103</v>
      </c>
      <c r="E826" s="451" t="n">
        <f aca="false">IF(AND(L825&lt;L_rampe,Poussee&lt;Poids*SIN(M825)),0,(-W825+Poussee)/m*SIN(M825)+U825/m*COS(M825)-Poids/m)</f>
        <v>-3.84572967401218</v>
      </c>
      <c r="F826" s="449" t="n">
        <f aca="false">SQRT(acc_x^2+acc_z^2)</f>
        <v>3.93290332746874</v>
      </c>
      <c r="G826" s="450" t="n">
        <f aca="false">G825+acc_x*pas</f>
        <v>18.9010138148073</v>
      </c>
      <c r="H826" s="451" t="n">
        <f aca="false">H825+acc_z*pas</f>
        <v>-136.899312196609</v>
      </c>
      <c r="I826" s="449" t="n">
        <f aca="false">SQRT(vit_x^2+vit_z^2)</f>
        <v>138.197937767292</v>
      </c>
      <c r="J826" s="450" t="n">
        <f aca="false">J825+0.5*(vit_x+G825)*pas*(K825&gt;=0)</f>
        <v>1017.12580762709</v>
      </c>
      <c r="K826" s="451" t="n">
        <f aca="false">K825+0.5*(vit_z+H825)*pas</f>
        <v>-13.8535504931912</v>
      </c>
      <c r="L826" s="449" t="n">
        <f aca="false">SQRT(pos_x^2+pos_z^2)</f>
        <v>1017.22014795339</v>
      </c>
      <c r="M826" s="450" t="n">
        <f aca="false">IF(AND(L825&gt;L_rampe,G826&gt;0),ATAN2(G826,H826),$M$4)</f>
        <v>-1.4335986167974</v>
      </c>
      <c r="N826" s="449" t="n">
        <f aca="false">DEGREES(Beta)</f>
        <v>-82.1391502582837</v>
      </c>
      <c r="O826" s="438"/>
      <c r="P826" s="452" t="n">
        <f aca="false">MATCH(t-pas/2-T_ini,CdP_t)</f>
        <v>23</v>
      </c>
      <c r="Q826" s="449" t="n">
        <f aca="false">(INDEX(CdP,2,i_P+1)-INDEX(CdP,2,i_P+0))/(INDEX(CdP,1,i_P+1)-INDEX(CdP,1,i_P+0))*(t-pas/2-T_ini-INDEX(CdP,1,i_P+0))+INDEX(CdP,2,i_P+0)</f>
        <v>0</v>
      </c>
      <c r="R826" s="450" t="n">
        <f aca="false">Poussee/(g*ISP)</f>
        <v>0</v>
      </c>
      <c r="S826" s="451" t="n">
        <f aca="false">S825-Débit*pas</f>
        <v>8.652</v>
      </c>
      <c r="T826" s="449" t="n">
        <f aca="false">m*g</f>
        <v>84.87612</v>
      </c>
      <c r="U826" s="453" t="n">
        <f aca="false">IF(pos_xz&lt;L_rampe,Poids*COS(Beta),0)</f>
        <v>0</v>
      </c>
      <c r="V826" s="450" t="n">
        <f aca="false">Rho_moyen*(20000-Alt_rampe-pos_z)/(20000+Alt_rampe+pos_z)</f>
        <v>1.22669823626551</v>
      </c>
      <c r="W826" s="449" t="n">
        <f aca="false">1/2*Rho*Sref*Cx*vit_xz^2</f>
        <v>52.0927281690642</v>
      </c>
      <c r="X826" s="438"/>
      <c r="Y826" s="454" t="str">
        <f aca="false">IF(AND(pos_z&lt;=0,K825&gt;0),"Impact balistique","") &amp; IF(AND(H827&lt;0,vit_z&gt;=0),"Apogée","") &amp; IF(AND(Poussee=0,Q825&gt;0),"Fin de propulsion","") &amp; IF(AND(L827&gt;L_rampe,pos_xz&lt;=L_rampe),"Sortie de rampe","")</f>
        <v/>
      </c>
      <c r="Z826" s="455" t="str">
        <f aca="false">IF(ABS(t-T_para)&lt;pas/2,"Para","")</f>
        <v/>
      </c>
      <c r="AA826" s="456" t="str">
        <f aca="false">IF(ABS(t-T_satellite)&lt;pas/2,"Satellite","")</f>
        <v/>
      </c>
      <c r="AB826" s="444"/>
      <c r="AC826" s="452" t="e">
        <f aca="false">IF(ABS(t-ROUND(t,0))&lt;0.001,t,NA())</f>
        <v>#N/A</v>
      </c>
      <c r="AD826" s="457" t="e">
        <f aca="false">IF(ABS(t-ROUND(t,0))&lt;0.001,pos_x,NA())</f>
        <v>#N/A</v>
      </c>
      <c r="AE826" s="458" t="e">
        <f aca="false">IF(t&lt;T_para, pos_z, NA())</f>
        <v>#N/A</v>
      </c>
      <c r="AF826" s="444"/>
      <c r="AG826" s="450" t="n">
        <f aca="false">IF(AND(L825&lt;L_rampe,Poussee&lt;Poids*SIN(M825)),0,(-W825+Poussee)/m-Poids*SIN(M825)/m)</f>
        <v>3.69696743459448</v>
      </c>
      <c r="AH826" s="449" t="n">
        <f aca="false">IF(AND(L825&lt;L_rampe,Poussee&lt;Poids*SIN(M825)), g*SIN(M825), (-W825+Poussee)/m)</f>
        <v>-6.02084814449723</v>
      </c>
    </row>
    <row r="827" customFormat="false" ht="12" hidden="false" customHeight="false" outlineLevel="0" collapsed="false">
      <c r="A827" s="448" t="n">
        <f aca="false">IF(B826+0.01&lt;=T_ini+ROUNDUP(Temps_fin_propu,0), 0.01, IF(K826&gt;0, 0.1, 0.0001))</f>
        <v>0.0001</v>
      </c>
      <c r="B827" s="449" t="n">
        <f aca="false">B826+pas</f>
        <v>35.7106000000006</v>
      </c>
      <c r="C827" s="432"/>
      <c r="D827" s="450" t="n">
        <f aca="false">IF(AND(L826&lt;L_rampe,Poussee&lt;Poids*SIN(M826)),0,(-W826+Poussee)/m*COS(M826)-U826/m*SIN(M826))</f>
        <v>-0.823463073679977</v>
      </c>
      <c r="E827" s="451" t="n">
        <f aca="false">IF(AND(L826&lt;L_rampe,Poussee&lt;Poids*SIN(M826)),0,(-W826+Poussee)/m*SIN(M826)+U826/m*COS(M826)-Poids/m)</f>
        <v>-3.84568879899027</v>
      </c>
      <c r="F827" s="449" t="n">
        <f aca="false">SQRT(acc_x^2+acc_z^2)</f>
        <v>3.93286330456497</v>
      </c>
      <c r="G827" s="450" t="n">
        <f aca="false">G826+acc_x*pas</f>
        <v>18.9009314684999</v>
      </c>
      <c r="H827" s="451" t="n">
        <f aca="false">H826+acc_z*pas</f>
        <v>-136.899696765489</v>
      </c>
      <c r="I827" s="449" t="n">
        <f aca="false">SQRT(vit_x^2+vit_z^2)</f>
        <v>138.198307460185</v>
      </c>
      <c r="J827" s="450" t="n">
        <f aca="false">J826+0.5*(vit_x+G826)*pas*(K826&gt;=0)</f>
        <v>1017.12580762709</v>
      </c>
      <c r="K827" s="451" t="n">
        <f aca="false">K826+0.5*(vit_z+H826)*pas</f>
        <v>-13.8672404436393</v>
      </c>
      <c r="L827" s="449" t="n">
        <f aca="false">SQRT(pos_x^2+pos_z^2)</f>
        <v>1017.22033448933</v>
      </c>
      <c r="M827" s="450" t="n">
        <f aca="false">IF(AND(L826&gt;L_rampe,G827&gt;0),ATAN2(G827,H827),$M$4)</f>
        <v>-1.43359958764223</v>
      </c>
      <c r="N827" s="449" t="n">
        <f aca="false">DEGREES(Beta)</f>
        <v>-82.1392058835948</v>
      </c>
      <c r="O827" s="438"/>
      <c r="P827" s="452" t="n">
        <f aca="false">MATCH(t-pas/2-T_ini,CdP_t)</f>
        <v>23</v>
      </c>
      <c r="Q827" s="449" t="n">
        <f aca="false">(INDEX(CdP,2,i_P+1)-INDEX(CdP,2,i_P+0))/(INDEX(CdP,1,i_P+1)-INDEX(CdP,1,i_P+0))*(t-pas/2-T_ini-INDEX(CdP,1,i_P+0))+INDEX(CdP,2,i_P+0)</f>
        <v>0</v>
      </c>
      <c r="R827" s="450" t="n">
        <f aca="false">Poussee/(g*ISP)</f>
        <v>0</v>
      </c>
      <c r="S827" s="451" t="n">
        <f aca="false">S826-Débit*pas</f>
        <v>8.652</v>
      </c>
      <c r="T827" s="449" t="n">
        <f aca="false">m*g</f>
        <v>84.87612</v>
      </c>
      <c r="U827" s="453" t="n">
        <f aca="false">IF(pos_xz&lt;L_rampe,Poids*COS(Beta),0)</f>
        <v>0</v>
      </c>
      <c r="V827" s="450" t="n">
        <f aca="false">Rho_moyen*(20000-Alt_rampe-pos_z)/(20000+Alt_rampe+pos_z)</f>
        <v>1.22669991561127</v>
      </c>
      <c r="W827" s="449" t="n">
        <f aca="false">1/2*Rho*Sref*Cx*vit_xz^2</f>
        <v>52.0930781907935</v>
      </c>
      <c r="X827" s="438"/>
      <c r="Y827" s="454" t="str">
        <f aca="false">IF(AND(pos_z&lt;=0,K826&gt;0),"Impact balistique","") &amp; IF(AND(H828&lt;0,vit_z&gt;=0),"Apogée","") &amp; IF(AND(Poussee=0,Q826&gt;0),"Fin de propulsion","") &amp; IF(AND(L828&gt;L_rampe,pos_xz&lt;=L_rampe),"Sortie de rampe","")</f>
        <v/>
      </c>
      <c r="Z827" s="455" t="str">
        <f aca="false">IF(ABS(t-T_para)&lt;pas/2,"Para","")</f>
        <v/>
      </c>
      <c r="AA827" s="456" t="str">
        <f aca="false">IF(ABS(t-T_satellite)&lt;pas/2,"Satellite","")</f>
        <v/>
      </c>
      <c r="AB827" s="444"/>
      <c r="AC827" s="452" t="e">
        <f aca="false">IF(ABS(t-ROUND(t,0))&lt;0.001,t,NA())</f>
        <v>#N/A</v>
      </c>
      <c r="AD827" s="457" t="e">
        <f aca="false">IF(ABS(t-ROUND(t,0))&lt;0.001,pos_x,NA())</f>
        <v>#N/A</v>
      </c>
      <c r="AE827" s="458" t="e">
        <f aca="false">IF(t&lt;T_para, pos_z, NA())</f>
        <v>#N/A</v>
      </c>
      <c r="AF827" s="444"/>
      <c r="AG827" s="450" t="n">
        <f aca="false">IF(AND(L826&lt;L_rampe,Poussee&lt;Poids*SIN(M826)),0,(-W826+Poussee)/m-Poids*SIN(M826)/m)</f>
        <v>3.69692828146734</v>
      </c>
      <c r="AH827" s="449" t="n">
        <f aca="false">IF(AND(L826&lt;L_rampe,Poussee&lt;Poids*SIN(M826)), g*SIN(M826), (-W826+Poussee)/m)</f>
        <v>-6.02088860021547</v>
      </c>
    </row>
    <row r="828" customFormat="false" ht="12" hidden="false" customHeight="false" outlineLevel="0" collapsed="false">
      <c r="A828" s="448" t="n">
        <f aca="false">IF(B827+0.01&lt;=T_ini+ROUNDUP(Temps_fin_propu,0), 0.01, IF(K827&gt;0, 0.1, 0.0001))</f>
        <v>0.0001</v>
      </c>
      <c r="B828" s="449" t="n">
        <f aca="false">B827+pas</f>
        <v>35.7107000000006</v>
      </c>
      <c r="C828" s="432"/>
      <c r="D828" s="450" t="n">
        <f aca="false">IF(AND(L827&lt;L_rampe,Poussee&lt;Poids*SIN(M827)),0,(-W827+Poussee)/m*COS(M827)-U827/m*SIN(M827))</f>
        <v>-0.823462816237368</v>
      </c>
      <c r="E828" s="451" t="n">
        <f aca="false">IF(AND(L827&lt;L_rampe,Poussee&lt;Poids*SIN(M827)),0,(-W827+Poussee)/m*SIN(M827)+U827/m*COS(M827)-Poids/m)</f>
        <v>-3.84564792410209</v>
      </c>
      <c r="F828" s="449" t="n">
        <f aca="false">SQRT(acc_x^2+acc_z^2)</f>
        <v>3.93282328180104</v>
      </c>
      <c r="G828" s="450" t="n">
        <f aca="false">G827+acc_x*pas</f>
        <v>18.9008491222183</v>
      </c>
      <c r="H828" s="451" t="n">
        <f aca="false">H827+acc_z*pas</f>
        <v>-136.900081330282</v>
      </c>
      <c r="I828" s="449" t="n">
        <f aca="false">SQRT(vit_x^2+vit_z^2)</f>
        <v>138.198677149163</v>
      </c>
      <c r="J828" s="450" t="n">
        <f aca="false">J827+0.5*(vit_x+G827)*pas*(K827&gt;=0)</f>
        <v>1017.12580762709</v>
      </c>
      <c r="K828" s="451" t="n">
        <f aca="false">K827+0.5*(vit_z+H827)*pas</f>
        <v>-13.8809304325441</v>
      </c>
      <c r="L828" s="449" t="n">
        <f aca="false">SQRT(pos_x^2+pos_z^2)</f>
        <v>1017.22052120999</v>
      </c>
      <c r="M828" s="450" t="n">
        <f aca="false">IF(AND(L827&gt;L_rampe,G828&gt;0),ATAN2(G828,H828),$M$4)</f>
        <v>-1.43360055847763</v>
      </c>
      <c r="N828" s="449" t="n">
        <f aca="false">DEGREES(Beta)</f>
        <v>-82.1392615083659</v>
      </c>
      <c r="O828" s="438"/>
      <c r="P828" s="452" t="n">
        <f aca="false">MATCH(t-pas/2-T_ini,CdP_t)</f>
        <v>23</v>
      </c>
      <c r="Q828" s="449" t="n">
        <f aca="false">(INDEX(CdP,2,i_P+1)-INDEX(CdP,2,i_P+0))/(INDEX(CdP,1,i_P+1)-INDEX(CdP,1,i_P+0))*(t-pas/2-T_ini-INDEX(CdP,1,i_P+0))+INDEX(CdP,2,i_P+0)</f>
        <v>0</v>
      </c>
      <c r="R828" s="450" t="n">
        <f aca="false">Poussee/(g*ISP)</f>
        <v>0</v>
      </c>
      <c r="S828" s="451" t="n">
        <f aca="false">S827-Débit*pas</f>
        <v>8.652</v>
      </c>
      <c r="T828" s="449" t="n">
        <f aca="false">m*g</f>
        <v>84.87612</v>
      </c>
      <c r="U828" s="453" t="n">
        <f aca="false">IF(pos_xz&lt;L_rampe,Poids*COS(Beta),0)</f>
        <v>0</v>
      </c>
      <c r="V828" s="450" t="n">
        <f aca="false">Rho_moyen*(20000-Alt_rampe-pos_z)/(20000+Alt_rampe+pos_z)</f>
        <v>1.22670159496405</v>
      </c>
      <c r="W828" s="449" t="n">
        <f aca="false">1/2*Rho*Sref*Cx*vit_xz^2</f>
        <v>52.0934282113777</v>
      </c>
      <c r="X828" s="438"/>
      <c r="Y828" s="454" t="str">
        <f aca="false">IF(AND(pos_z&lt;=0,K827&gt;0),"Impact balistique","") &amp; IF(AND(H829&lt;0,vit_z&gt;=0),"Apogée","") &amp; IF(AND(Poussee=0,Q827&gt;0),"Fin de propulsion","") &amp; IF(AND(L829&gt;L_rampe,pos_xz&lt;=L_rampe),"Sortie de rampe","")</f>
        <v/>
      </c>
      <c r="Z828" s="455" t="str">
        <f aca="false">IF(ABS(t-T_para)&lt;pas/2,"Para","")</f>
        <v/>
      </c>
      <c r="AA828" s="456" t="str">
        <f aca="false">IF(ABS(t-T_satellite)&lt;pas/2,"Satellite","")</f>
        <v/>
      </c>
      <c r="AB828" s="444"/>
      <c r="AC828" s="452" t="e">
        <f aca="false">IF(ABS(t-ROUND(t,0))&lt;0.001,t,NA())</f>
        <v>#N/A</v>
      </c>
      <c r="AD828" s="457" t="e">
        <f aca="false">IF(ABS(t-ROUND(t,0))&lt;0.001,pos_x,NA())</f>
        <v>#N/A</v>
      </c>
      <c r="AE828" s="458" t="e">
        <f aca="false">IF(t&lt;T_para, pos_z, NA())</f>
        <v>#N/A</v>
      </c>
      <c r="AF828" s="444"/>
      <c r="AG828" s="450" t="n">
        <f aca="false">IF(AND(L827&lt;L_rampe,Poussee&lt;Poids*SIN(M827)),0,(-W827+Poussee)/m-Poids*SIN(M827)/m)</f>
        <v>3.69688912845073</v>
      </c>
      <c r="AH828" s="449" t="n">
        <f aca="false">IF(AND(L827&lt;L_rampe,Poussee&lt;Poids*SIN(M827)), g*SIN(M827), (-W827+Poussee)/m)</f>
        <v>-6.02092905580138</v>
      </c>
    </row>
    <row r="829" customFormat="false" ht="12" hidden="false" customHeight="false" outlineLevel="0" collapsed="false">
      <c r="A829" s="448" t="n">
        <f aca="false">IF(B828+0.01&lt;=T_ini+ROUNDUP(Temps_fin_propu,0), 0.01, IF(K828&gt;0, 0.1, 0.0001))</f>
        <v>0.0001</v>
      </c>
      <c r="B829" s="449" t="n">
        <f aca="false">B828+pas</f>
        <v>35.7108000000006</v>
      </c>
      <c r="C829" s="432"/>
      <c r="D829" s="450" t="n">
        <f aca="false">IF(AND(L828&lt;L_rampe,Poussee&lt;Poids*SIN(M828)),0,(-W828+Poussee)/m*COS(M828)-U828/m*SIN(M828))</f>
        <v>-0.823462558754276</v>
      </c>
      <c r="E829" s="451" t="n">
        <f aca="false">IF(AND(L828&lt;L_rampe,Poussee&lt;Poids*SIN(M828)),0,(-W828+Poussee)/m*SIN(M828)+U828/m*COS(M828)-Poids/m)</f>
        <v>-3.84560704934766</v>
      </c>
      <c r="F829" s="449" t="n">
        <f aca="false">SQRT(acc_x^2+acc_z^2)</f>
        <v>3.93278325917696</v>
      </c>
      <c r="G829" s="450" t="n">
        <f aca="false">G828+acc_x*pas</f>
        <v>18.9007667759624</v>
      </c>
      <c r="H829" s="451" t="n">
        <f aca="false">H828+acc_z*pas</f>
        <v>-136.900465890987</v>
      </c>
      <c r="I829" s="449" t="n">
        <f aca="false">SQRT(vit_x^2+vit_z^2)</f>
        <v>138.199046834226</v>
      </c>
      <c r="J829" s="450" t="n">
        <f aca="false">J828+0.5*(vit_x+G828)*pas*(K828&gt;=0)</f>
        <v>1017.12580762709</v>
      </c>
      <c r="K829" s="451" t="n">
        <f aca="false">K828+0.5*(vit_z+H828)*pas</f>
        <v>-13.8946204599052</v>
      </c>
      <c r="L829" s="449" t="n">
        <f aca="false">SQRT(pos_x^2+pos_z^2)</f>
        <v>1017.22070811539</v>
      </c>
      <c r="M829" s="450" t="n">
        <f aca="false">IF(AND(L828&gt;L_rampe,G829&gt;0),ATAN2(G829,H829),$M$4)</f>
        <v>-1.43360152930361</v>
      </c>
      <c r="N829" s="449" t="n">
        <f aca="false">DEGREES(Beta)</f>
        <v>-82.1393171325971</v>
      </c>
      <c r="O829" s="438"/>
      <c r="P829" s="452" t="n">
        <f aca="false">MATCH(t-pas/2-T_ini,CdP_t)</f>
        <v>23</v>
      </c>
      <c r="Q829" s="449" t="n">
        <f aca="false">(INDEX(CdP,2,i_P+1)-INDEX(CdP,2,i_P+0))/(INDEX(CdP,1,i_P+1)-INDEX(CdP,1,i_P+0))*(t-pas/2-T_ini-INDEX(CdP,1,i_P+0))+INDEX(CdP,2,i_P+0)</f>
        <v>0</v>
      </c>
      <c r="R829" s="450" t="n">
        <f aca="false">Poussee/(g*ISP)</f>
        <v>0</v>
      </c>
      <c r="S829" s="451" t="n">
        <f aca="false">S828-Débit*pas</f>
        <v>8.652</v>
      </c>
      <c r="T829" s="449" t="n">
        <f aca="false">m*g</f>
        <v>84.87612</v>
      </c>
      <c r="U829" s="453" t="n">
        <f aca="false">IF(pos_xz&lt;L_rampe,Poids*COS(Beta),0)</f>
        <v>0</v>
      </c>
      <c r="V829" s="450" t="n">
        <f aca="false">Rho_moyen*(20000-Alt_rampe-pos_z)/(20000+Alt_rampe+pos_z)</f>
        <v>1.22670327432385</v>
      </c>
      <c r="W829" s="449" t="n">
        <f aca="false">1/2*Rho*Sref*Cx*vit_xz^2</f>
        <v>52.0937782308169</v>
      </c>
      <c r="X829" s="438"/>
      <c r="Y829" s="454" t="str">
        <f aca="false">IF(AND(pos_z&lt;=0,K828&gt;0),"Impact balistique","") &amp; IF(AND(H830&lt;0,vit_z&gt;=0),"Apogée","") &amp; IF(AND(Poussee=0,Q828&gt;0),"Fin de propulsion","") &amp; IF(AND(L830&gt;L_rampe,pos_xz&lt;=L_rampe),"Sortie de rampe","")</f>
        <v/>
      </c>
      <c r="Z829" s="455" t="str">
        <f aca="false">IF(ABS(t-T_para)&lt;pas/2,"Para","")</f>
        <v/>
      </c>
      <c r="AA829" s="456" t="str">
        <f aca="false">IF(ABS(t-T_satellite)&lt;pas/2,"Satellite","")</f>
        <v/>
      </c>
      <c r="AB829" s="444"/>
      <c r="AC829" s="452" t="e">
        <f aca="false">IF(ABS(t-ROUND(t,0))&lt;0.001,t,NA())</f>
        <v>#N/A</v>
      </c>
      <c r="AD829" s="457" t="e">
        <f aca="false">IF(ABS(t-ROUND(t,0))&lt;0.001,pos_x,NA())</f>
        <v>#N/A</v>
      </c>
      <c r="AE829" s="458" t="e">
        <f aca="false">IF(t&lt;T_para, pos_z, NA())</f>
        <v>#N/A</v>
      </c>
      <c r="AF829" s="444"/>
      <c r="AG829" s="450" t="n">
        <f aca="false">IF(AND(L828&lt;L_rampe,Poussee&lt;Poids*SIN(M828)),0,(-W828+Poussee)/m-Poids*SIN(M828)/m)</f>
        <v>3.69684997554466</v>
      </c>
      <c r="AH829" s="449" t="n">
        <f aca="false">IF(AND(L828&lt;L_rampe,Poussee&lt;Poids*SIN(M828)), g*SIN(M828), (-W828+Poussee)/m)</f>
        <v>-6.02096951125494</v>
      </c>
    </row>
    <row r="830" customFormat="false" ht="12" hidden="false" customHeight="false" outlineLevel="0" collapsed="false">
      <c r="A830" s="448" t="n">
        <f aca="false">IF(B829+0.01&lt;=T_ini+ROUNDUP(Temps_fin_propu,0), 0.01, IF(K829&gt;0, 0.1, 0.0001))</f>
        <v>0.0001</v>
      </c>
      <c r="B830" s="449" t="n">
        <f aca="false">B829+pas</f>
        <v>35.7109000000006</v>
      </c>
      <c r="C830" s="432"/>
      <c r="D830" s="450" t="n">
        <f aca="false">IF(AND(L829&lt;L_rampe,Poussee&lt;Poids*SIN(M829)),0,(-W829+Poussee)/m*COS(M829)-U829/m*SIN(M829))</f>
        <v>-0.823462301230702</v>
      </c>
      <c r="E830" s="451" t="n">
        <f aca="false">IF(AND(L829&lt;L_rampe,Poussee&lt;Poids*SIN(M829)),0,(-W829+Poussee)/m*SIN(M829)+U829/m*COS(M829)-Poids/m)</f>
        <v>-3.84556617472696</v>
      </c>
      <c r="F830" s="449" t="n">
        <f aca="false">SQRT(acc_x^2+acc_z^2)</f>
        <v>3.93274323669271</v>
      </c>
      <c r="G830" s="450" t="n">
        <f aca="false">G829+acc_x*pas</f>
        <v>18.9006844297323</v>
      </c>
      <c r="H830" s="451" t="n">
        <f aca="false">H829+acc_z*pas</f>
        <v>-136.900850447604</v>
      </c>
      <c r="I830" s="449" t="n">
        <f aca="false">SQRT(vit_x^2+vit_z^2)</f>
        <v>138.199416515373</v>
      </c>
      <c r="J830" s="450" t="n">
        <f aca="false">J829+0.5*(vit_x+G829)*pas*(K829&gt;=0)</f>
        <v>1017.12580762709</v>
      </c>
      <c r="K830" s="451" t="n">
        <f aca="false">K829+0.5*(vit_z+H829)*pas</f>
        <v>-13.9083105257221</v>
      </c>
      <c r="L830" s="449" t="n">
        <f aca="false">SQRT(pos_x^2+pos_z^2)</f>
        <v>1017.22089520553</v>
      </c>
      <c r="M830" s="450" t="n">
        <f aca="false">IF(AND(L829&gt;L_rampe,G830&gt;0),ATAN2(G830,H830),$M$4)</f>
        <v>-1.43360250012016</v>
      </c>
      <c r="N830" s="449" t="n">
        <f aca="false">DEGREES(Beta)</f>
        <v>-82.1393727562883</v>
      </c>
      <c r="O830" s="438"/>
      <c r="P830" s="452" t="n">
        <f aca="false">MATCH(t-pas/2-T_ini,CdP_t)</f>
        <v>23</v>
      </c>
      <c r="Q830" s="449" t="n">
        <f aca="false">(INDEX(CdP,2,i_P+1)-INDEX(CdP,2,i_P+0))/(INDEX(CdP,1,i_P+1)-INDEX(CdP,1,i_P+0))*(t-pas/2-T_ini-INDEX(CdP,1,i_P+0))+INDEX(CdP,2,i_P+0)</f>
        <v>0</v>
      </c>
      <c r="R830" s="450" t="n">
        <f aca="false">Poussee/(g*ISP)</f>
        <v>0</v>
      </c>
      <c r="S830" s="451" t="n">
        <f aca="false">S829-Débit*pas</f>
        <v>8.652</v>
      </c>
      <c r="T830" s="449" t="n">
        <f aca="false">m*g</f>
        <v>84.87612</v>
      </c>
      <c r="U830" s="453" t="n">
        <f aca="false">IF(pos_xz&lt;L_rampe,Poids*COS(Beta),0)</f>
        <v>0</v>
      </c>
      <c r="V830" s="450" t="n">
        <f aca="false">Rho_moyen*(20000-Alt_rampe-pos_z)/(20000+Alt_rampe+pos_z)</f>
        <v>1.22670495369067</v>
      </c>
      <c r="W830" s="449" t="n">
        <f aca="false">1/2*Rho*Sref*Cx*vit_xz^2</f>
        <v>52.0941282491111</v>
      </c>
      <c r="X830" s="438"/>
      <c r="Y830" s="454" t="str">
        <f aca="false">IF(AND(pos_z&lt;=0,K829&gt;0),"Impact balistique","") &amp; IF(AND(H831&lt;0,vit_z&gt;=0),"Apogée","") &amp; IF(AND(Poussee=0,Q829&gt;0),"Fin de propulsion","") &amp; IF(AND(L831&gt;L_rampe,pos_xz&lt;=L_rampe),"Sortie de rampe","")</f>
        <v/>
      </c>
      <c r="Z830" s="455" t="str">
        <f aca="false">IF(ABS(t-T_para)&lt;pas/2,"Para","")</f>
        <v/>
      </c>
      <c r="AA830" s="456" t="str">
        <f aca="false">IF(ABS(t-T_satellite)&lt;pas/2,"Satellite","")</f>
        <v/>
      </c>
      <c r="AB830" s="444"/>
      <c r="AC830" s="452" t="e">
        <f aca="false">IF(ABS(t-ROUND(t,0))&lt;0.001,t,NA())</f>
        <v>#N/A</v>
      </c>
      <c r="AD830" s="457" t="e">
        <f aca="false">IF(ABS(t-ROUND(t,0))&lt;0.001,pos_x,NA())</f>
        <v>#N/A</v>
      </c>
      <c r="AE830" s="458" t="e">
        <f aca="false">IF(t&lt;T_para, pos_z, NA())</f>
        <v>#N/A</v>
      </c>
      <c r="AF830" s="444"/>
      <c r="AG830" s="450" t="n">
        <f aca="false">IF(AND(L829&lt;L_rampe,Poussee&lt;Poids*SIN(M829)),0,(-W829+Poussee)/m-Poids*SIN(M829)/m)</f>
        <v>3.69681082274914</v>
      </c>
      <c r="AH830" s="449" t="n">
        <f aca="false">IF(AND(L829&lt;L_rampe,Poussee&lt;Poids*SIN(M829)), g*SIN(M829), (-W829+Poussee)/m)</f>
        <v>-6.02100996657616</v>
      </c>
    </row>
    <row r="831" customFormat="false" ht="12" hidden="false" customHeight="false" outlineLevel="0" collapsed="false">
      <c r="A831" s="448" t="n">
        <f aca="false">IF(B830+0.01&lt;=T_ini+ROUNDUP(Temps_fin_propu,0), 0.01, IF(K830&gt;0, 0.1, 0.0001))</f>
        <v>0.0001</v>
      </c>
      <c r="B831" s="449" t="n">
        <f aca="false">B830+pas</f>
        <v>35.7110000000006</v>
      </c>
      <c r="C831" s="432"/>
      <c r="D831" s="450" t="n">
        <f aca="false">IF(AND(L830&lt;L_rampe,Poussee&lt;Poids*SIN(M830)),0,(-W830+Poussee)/m*COS(M830)-U830/m*SIN(M830))</f>
        <v>-0.823462043666647</v>
      </c>
      <c r="E831" s="451" t="n">
        <f aca="false">IF(AND(L830&lt;L_rampe,Poussee&lt;Poids*SIN(M830)),0,(-W830+Poussee)/m*SIN(M830)+U830/m*COS(M830)-Poids/m)</f>
        <v>-3.84552530023999</v>
      </c>
      <c r="F831" s="449" t="n">
        <f aca="false">SQRT(acc_x^2+acc_z^2)</f>
        <v>3.93270321434831</v>
      </c>
      <c r="G831" s="450" t="n">
        <f aca="false">G830+acc_x*pas</f>
        <v>18.9006020835279</v>
      </c>
      <c r="H831" s="451" t="n">
        <f aca="false">H830+acc_z*pas</f>
        <v>-136.901235000134</v>
      </c>
      <c r="I831" s="449" t="n">
        <f aca="false">SQRT(vit_x^2+vit_z^2)</f>
        <v>138.199786192605</v>
      </c>
      <c r="J831" s="450" t="n">
        <f aca="false">J830+0.5*(vit_x+G830)*pas*(K830&gt;=0)</f>
        <v>1017.12580762709</v>
      </c>
      <c r="K831" s="451" t="n">
        <f aca="false">K830+0.5*(vit_z+H830)*pas</f>
        <v>-13.9220006299945</v>
      </c>
      <c r="L831" s="449" t="n">
        <f aca="false">SQRT(pos_x^2+pos_z^2)</f>
        <v>1017.2210824804</v>
      </c>
      <c r="M831" s="450" t="n">
        <f aca="false">IF(AND(L830&gt;L_rampe,G831&gt;0),ATAN2(G831,H831),$M$4)</f>
        <v>-1.43360347092729</v>
      </c>
      <c r="N831" s="449" t="n">
        <f aca="false">DEGREES(Beta)</f>
        <v>-82.1394283794397</v>
      </c>
      <c r="O831" s="438"/>
      <c r="P831" s="452" t="n">
        <f aca="false">MATCH(t-pas/2-T_ini,CdP_t)</f>
        <v>23</v>
      </c>
      <c r="Q831" s="449" t="n">
        <f aca="false">(INDEX(CdP,2,i_P+1)-INDEX(CdP,2,i_P+0))/(INDEX(CdP,1,i_P+1)-INDEX(CdP,1,i_P+0))*(t-pas/2-T_ini-INDEX(CdP,1,i_P+0))+INDEX(CdP,2,i_P+0)</f>
        <v>0</v>
      </c>
      <c r="R831" s="450" t="n">
        <f aca="false">Poussee/(g*ISP)</f>
        <v>0</v>
      </c>
      <c r="S831" s="451" t="n">
        <f aca="false">S830-Débit*pas</f>
        <v>8.652</v>
      </c>
      <c r="T831" s="449" t="n">
        <f aca="false">m*g</f>
        <v>84.87612</v>
      </c>
      <c r="U831" s="453" t="n">
        <f aca="false">IF(pos_xz&lt;L_rampe,Poids*COS(Beta),0)</f>
        <v>0</v>
      </c>
      <c r="V831" s="450" t="n">
        <f aca="false">Rho_moyen*(20000-Alt_rampe-pos_z)/(20000+Alt_rampe+pos_z)</f>
        <v>1.2267066330645</v>
      </c>
      <c r="W831" s="449" t="n">
        <f aca="false">1/2*Rho*Sref*Cx*vit_xz^2</f>
        <v>52.0944782662601</v>
      </c>
      <c r="X831" s="438"/>
      <c r="Y831" s="454" t="str">
        <f aca="false">IF(AND(pos_z&lt;=0,K830&gt;0),"Impact balistique","") &amp; IF(AND(H832&lt;0,vit_z&gt;=0),"Apogée","") &amp; IF(AND(Poussee=0,Q830&gt;0),"Fin de propulsion","") &amp; IF(AND(L832&gt;L_rampe,pos_xz&lt;=L_rampe),"Sortie de rampe","")</f>
        <v/>
      </c>
      <c r="Z831" s="455" t="str">
        <f aca="false">IF(ABS(t-T_para)&lt;pas/2,"Para","")</f>
        <v/>
      </c>
      <c r="AA831" s="456" t="str">
        <f aca="false">IF(ABS(t-T_satellite)&lt;pas/2,"Satellite","")</f>
        <v/>
      </c>
      <c r="AB831" s="444"/>
      <c r="AC831" s="452" t="e">
        <f aca="false">IF(ABS(t-ROUND(t,0))&lt;0.001,t,NA())</f>
        <v>#N/A</v>
      </c>
      <c r="AD831" s="457" t="e">
        <f aca="false">IF(ABS(t-ROUND(t,0))&lt;0.001,pos_x,NA())</f>
        <v>#N/A</v>
      </c>
      <c r="AE831" s="458" t="e">
        <f aca="false">IF(t&lt;T_para, pos_z, NA())</f>
        <v>#N/A</v>
      </c>
      <c r="AF831" s="444"/>
      <c r="AG831" s="450" t="n">
        <f aca="false">IF(AND(L830&lt;L_rampe,Poussee&lt;Poids*SIN(M830)),0,(-W830+Poussee)/m-Poids*SIN(M830)/m)</f>
        <v>3.69677167006415</v>
      </c>
      <c r="AH831" s="449" t="n">
        <f aca="false">IF(AND(L830&lt;L_rampe,Poussee&lt;Poids*SIN(M830)), g*SIN(M830), (-W830+Poussee)/m)</f>
        <v>-6.02105042176503</v>
      </c>
    </row>
    <row r="832" customFormat="false" ht="12" hidden="false" customHeight="false" outlineLevel="0" collapsed="false">
      <c r="A832" s="448" t="n">
        <f aca="false">IF(B831+0.01&lt;=T_ini+ROUNDUP(Temps_fin_propu,0), 0.01, IF(K831&gt;0, 0.1, 0.0001))</f>
        <v>0.0001</v>
      </c>
      <c r="B832" s="449" t="n">
        <f aca="false">B831+pas</f>
        <v>35.7111000000006</v>
      </c>
      <c r="C832" s="432"/>
      <c r="D832" s="450" t="n">
        <f aca="false">IF(AND(L831&lt;L_rampe,Poussee&lt;Poids*SIN(M831)),0,(-W831+Poussee)/m*COS(M831)-U831/m*SIN(M831))</f>
        <v>-0.823461786062111</v>
      </c>
      <c r="E832" s="451" t="n">
        <f aca="false">IF(AND(L831&lt;L_rampe,Poussee&lt;Poids*SIN(M831)),0,(-W831+Poussee)/m*SIN(M831)+U831/m*COS(M831)-Poids/m)</f>
        <v>-3.84548442588678</v>
      </c>
      <c r="F832" s="449" t="n">
        <f aca="false">SQRT(acc_x^2+acc_z^2)</f>
        <v>3.93266319214376</v>
      </c>
      <c r="G832" s="450" t="n">
        <f aca="false">G831+acc_x*pas</f>
        <v>18.9005197373493</v>
      </c>
      <c r="H832" s="451" t="n">
        <f aca="false">H831+acc_z*pas</f>
        <v>-136.901619548577</v>
      </c>
      <c r="I832" s="449" t="n">
        <f aca="false">SQRT(vit_x^2+vit_z^2)</f>
        <v>138.200155865922</v>
      </c>
      <c r="J832" s="450" t="n">
        <f aca="false">J831+0.5*(vit_x+G831)*pas*(K831&gt;=0)</f>
        <v>1017.12580762709</v>
      </c>
      <c r="K832" s="451" t="n">
        <f aca="false">K831+0.5*(vit_z+H831)*pas</f>
        <v>-13.9356907727219</v>
      </c>
      <c r="L832" s="449" t="n">
        <f aca="false">SQRT(pos_x^2+pos_z^2)</f>
        <v>1017.22126994001</v>
      </c>
      <c r="M832" s="450" t="n">
        <f aca="false">IF(AND(L831&gt;L_rampe,G832&gt;0),ATAN2(G832,H832),$M$4)</f>
        <v>-1.433604441725</v>
      </c>
      <c r="N832" s="449" t="n">
        <f aca="false">DEGREES(Beta)</f>
        <v>-82.1394840020511</v>
      </c>
      <c r="O832" s="438"/>
      <c r="P832" s="452" t="n">
        <f aca="false">MATCH(t-pas/2-T_ini,CdP_t)</f>
        <v>23</v>
      </c>
      <c r="Q832" s="449" t="n">
        <f aca="false">(INDEX(CdP,2,i_P+1)-INDEX(CdP,2,i_P+0))/(INDEX(CdP,1,i_P+1)-INDEX(CdP,1,i_P+0))*(t-pas/2-T_ini-INDEX(CdP,1,i_P+0))+INDEX(CdP,2,i_P+0)</f>
        <v>0</v>
      </c>
      <c r="R832" s="450" t="n">
        <f aca="false">Poussee/(g*ISP)</f>
        <v>0</v>
      </c>
      <c r="S832" s="451" t="n">
        <f aca="false">S831-Débit*pas</f>
        <v>8.652</v>
      </c>
      <c r="T832" s="449" t="n">
        <f aca="false">m*g</f>
        <v>84.87612</v>
      </c>
      <c r="U832" s="453" t="n">
        <f aca="false">IF(pos_xz&lt;L_rampe,Poids*COS(Beta),0)</f>
        <v>0</v>
      </c>
      <c r="V832" s="450" t="n">
        <f aca="false">Rho_moyen*(20000-Alt_rampe-pos_z)/(20000+Alt_rampe+pos_z)</f>
        <v>1.22670831244536</v>
      </c>
      <c r="W832" s="449" t="n">
        <f aca="false">1/2*Rho*Sref*Cx*vit_xz^2</f>
        <v>52.0948282822641</v>
      </c>
      <c r="X832" s="438"/>
      <c r="Y832" s="454" t="str">
        <f aca="false">IF(AND(pos_z&lt;=0,K831&gt;0),"Impact balistique","") &amp; IF(AND(H833&lt;0,vit_z&gt;=0),"Apogée","") &amp; IF(AND(Poussee=0,Q831&gt;0),"Fin de propulsion","") &amp; IF(AND(L833&gt;L_rampe,pos_xz&lt;=L_rampe),"Sortie de rampe","")</f>
        <v/>
      </c>
      <c r="Z832" s="455" t="str">
        <f aca="false">IF(ABS(t-T_para)&lt;pas/2,"Para","")</f>
        <v/>
      </c>
      <c r="AA832" s="456" t="str">
        <f aca="false">IF(ABS(t-T_satellite)&lt;pas/2,"Satellite","")</f>
        <v/>
      </c>
      <c r="AB832" s="444"/>
      <c r="AC832" s="452" t="e">
        <f aca="false">IF(ABS(t-ROUND(t,0))&lt;0.001,t,NA())</f>
        <v>#N/A</v>
      </c>
      <c r="AD832" s="457" t="e">
        <f aca="false">IF(ABS(t-ROUND(t,0))&lt;0.001,pos_x,NA())</f>
        <v>#N/A</v>
      </c>
      <c r="AE832" s="458" t="e">
        <f aca="false">IF(t&lt;T_para, pos_z, NA())</f>
        <v>#N/A</v>
      </c>
      <c r="AF832" s="444"/>
      <c r="AG832" s="450" t="n">
        <f aca="false">IF(AND(L831&lt;L_rampe,Poussee&lt;Poids*SIN(M831)),0,(-W831+Poussee)/m-Poids*SIN(M831)/m)</f>
        <v>3.69673251748972</v>
      </c>
      <c r="AH832" s="449" t="n">
        <f aca="false">IF(AND(L831&lt;L_rampe,Poussee&lt;Poids*SIN(M831)), g*SIN(M831), (-W831+Poussee)/m)</f>
        <v>-6.02109087682156</v>
      </c>
    </row>
    <row r="833" customFormat="false" ht="12" hidden="false" customHeight="false" outlineLevel="0" collapsed="false">
      <c r="A833" s="448" t="n">
        <f aca="false">IF(B832+0.01&lt;=T_ini+ROUNDUP(Temps_fin_propu,0), 0.01, IF(K832&gt;0, 0.1, 0.0001))</f>
        <v>0.0001</v>
      </c>
      <c r="B833" s="449" t="n">
        <f aca="false">B832+pas</f>
        <v>35.7112000000006</v>
      </c>
      <c r="C833" s="432"/>
      <c r="D833" s="450" t="n">
        <f aca="false">IF(AND(L832&lt;L_rampe,Poussee&lt;Poids*SIN(M832)),0,(-W832+Poussee)/m*COS(M832)-U832/m*SIN(M832))</f>
        <v>-0.823461528417092</v>
      </c>
      <c r="E833" s="451" t="n">
        <f aca="false">IF(AND(L832&lt;L_rampe,Poussee&lt;Poids*SIN(M832)),0,(-W832+Poussee)/m*SIN(M832)+U832/m*COS(M832)-Poids/m)</f>
        <v>-3.84544355166731</v>
      </c>
      <c r="F833" s="449" t="n">
        <f aca="false">SQRT(acc_x^2+acc_z^2)</f>
        <v>3.93262317007906</v>
      </c>
      <c r="G833" s="450" t="n">
        <f aca="false">G832+acc_x*pas</f>
        <v>18.9004373911965</v>
      </c>
      <c r="H833" s="451" t="n">
        <f aca="false">H832+acc_z*pas</f>
        <v>-136.902004092932</v>
      </c>
      <c r="I833" s="449" t="n">
        <f aca="false">SQRT(vit_x^2+vit_z^2)</f>
        <v>138.200525535324</v>
      </c>
      <c r="J833" s="450" t="n">
        <f aca="false">J832+0.5*(vit_x+G832)*pas*(K832&gt;=0)</f>
        <v>1017.12580762709</v>
      </c>
      <c r="K833" s="451" t="n">
        <f aca="false">K832+0.5*(vit_z+H832)*pas</f>
        <v>-13.949380953904</v>
      </c>
      <c r="L833" s="449" t="n">
        <f aca="false">SQRT(pos_x^2+pos_z^2)</f>
        <v>1017.22145758436</v>
      </c>
      <c r="M833" s="450" t="n">
        <f aca="false">IF(AND(L832&gt;L_rampe,G833&gt;0),ATAN2(G833,H833),$M$4)</f>
        <v>-1.43360541251329</v>
      </c>
      <c r="N833" s="449" t="n">
        <f aca="false">DEGREES(Beta)</f>
        <v>-82.1395396241226</v>
      </c>
      <c r="O833" s="438"/>
      <c r="P833" s="452" t="n">
        <f aca="false">MATCH(t-pas/2-T_ini,CdP_t)</f>
        <v>23</v>
      </c>
      <c r="Q833" s="449" t="n">
        <f aca="false">(INDEX(CdP,2,i_P+1)-INDEX(CdP,2,i_P+0))/(INDEX(CdP,1,i_P+1)-INDEX(CdP,1,i_P+0))*(t-pas/2-T_ini-INDEX(CdP,1,i_P+0))+INDEX(CdP,2,i_P+0)</f>
        <v>0</v>
      </c>
      <c r="R833" s="450" t="n">
        <f aca="false">Poussee/(g*ISP)</f>
        <v>0</v>
      </c>
      <c r="S833" s="451" t="n">
        <f aca="false">S832-Débit*pas</f>
        <v>8.652</v>
      </c>
      <c r="T833" s="449" t="n">
        <f aca="false">m*g</f>
        <v>84.87612</v>
      </c>
      <c r="U833" s="453" t="n">
        <f aca="false">IF(pos_xz&lt;L_rampe,Poids*COS(Beta),0)</f>
        <v>0</v>
      </c>
      <c r="V833" s="450" t="n">
        <f aca="false">Rho_moyen*(20000-Alt_rampe-pos_z)/(20000+Alt_rampe+pos_z)</f>
        <v>1.22670999183323</v>
      </c>
      <c r="W833" s="449" t="n">
        <f aca="false">1/2*Rho*Sref*Cx*vit_xz^2</f>
        <v>52.0951782971229</v>
      </c>
      <c r="X833" s="438"/>
      <c r="Y833" s="454" t="str">
        <f aca="false">IF(AND(pos_z&lt;=0,K832&gt;0),"Impact balistique","") &amp; IF(AND(H834&lt;0,vit_z&gt;=0),"Apogée","") &amp; IF(AND(Poussee=0,Q832&gt;0),"Fin de propulsion","") &amp; IF(AND(L834&gt;L_rampe,pos_xz&lt;=L_rampe),"Sortie de rampe","")</f>
        <v/>
      </c>
      <c r="Z833" s="455" t="str">
        <f aca="false">IF(ABS(t-T_para)&lt;pas/2,"Para","")</f>
        <v/>
      </c>
      <c r="AA833" s="456" t="str">
        <f aca="false">IF(ABS(t-T_satellite)&lt;pas/2,"Satellite","")</f>
        <v/>
      </c>
      <c r="AB833" s="444"/>
      <c r="AC833" s="452" t="e">
        <f aca="false">IF(ABS(t-ROUND(t,0))&lt;0.001,t,NA())</f>
        <v>#N/A</v>
      </c>
      <c r="AD833" s="457" t="e">
        <f aca="false">IF(ABS(t-ROUND(t,0))&lt;0.001,pos_x,NA())</f>
        <v>#N/A</v>
      </c>
      <c r="AE833" s="458" t="e">
        <f aca="false">IF(t&lt;T_para, pos_z, NA())</f>
        <v>#N/A</v>
      </c>
      <c r="AF833" s="444"/>
      <c r="AG833" s="450" t="n">
        <f aca="false">IF(AND(L832&lt;L_rampe,Poussee&lt;Poids*SIN(M832)),0,(-W832+Poussee)/m-Poids*SIN(M832)/m)</f>
        <v>3.69669336502583</v>
      </c>
      <c r="AH833" s="449" t="n">
        <f aca="false">IF(AND(L832&lt;L_rampe,Poussee&lt;Poids*SIN(M832)), g*SIN(M832), (-W832+Poussee)/m)</f>
        <v>-6.02113133174573</v>
      </c>
    </row>
    <row r="834" customFormat="false" ht="12" hidden="false" customHeight="false" outlineLevel="0" collapsed="false">
      <c r="A834" s="448" t="n">
        <f aca="false">IF(B833+0.01&lt;=T_ini+ROUNDUP(Temps_fin_propu,0), 0.01, IF(K833&gt;0, 0.1, 0.0001))</f>
        <v>0.0001</v>
      </c>
      <c r="B834" s="449" t="n">
        <f aca="false">B833+pas</f>
        <v>35.7113000000006</v>
      </c>
      <c r="C834" s="432"/>
      <c r="D834" s="450" t="n">
        <f aca="false">IF(AND(L833&lt;L_rampe,Poussee&lt;Poids*SIN(M833)),0,(-W833+Poussee)/m*COS(M833)-U833/m*SIN(M833))</f>
        <v>-0.823461270731593</v>
      </c>
      <c r="E834" s="451" t="n">
        <f aca="false">IF(AND(L833&lt;L_rampe,Poussee&lt;Poids*SIN(M833)),0,(-W833+Poussee)/m*SIN(M833)+U833/m*COS(M833)-Poids/m)</f>
        <v>-3.84540267758158</v>
      </c>
      <c r="F834" s="449" t="n">
        <f aca="false">SQRT(acc_x^2+acc_z^2)</f>
        <v>3.93258314815421</v>
      </c>
      <c r="G834" s="450" t="n">
        <f aca="false">G833+acc_x*pas</f>
        <v>18.9003550450694</v>
      </c>
      <c r="H834" s="451" t="n">
        <f aca="false">H833+acc_z*pas</f>
        <v>-136.9023886332</v>
      </c>
      <c r="I834" s="449" t="n">
        <f aca="false">SQRT(vit_x^2+vit_z^2)</f>
        <v>138.20089520081</v>
      </c>
      <c r="J834" s="450" t="n">
        <f aca="false">J833+0.5*(vit_x+G833)*pas*(K833&gt;=0)</f>
        <v>1017.12580762709</v>
      </c>
      <c r="K834" s="451" t="n">
        <f aca="false">K833+0.5*(vit_z+H833)*pas</f>
        <v>-13.9630711735403</v>
      </c>
      <c r="L834" s="449" t="n">
        <f aca="false">SQRT(pos_x^2+pos_z^2)</f>
        <v>1017.22164541345</v>
      </c>
      <c r="M834" s="450" t="n">
        <f aca="false">IF(AND(L833&gt;L_rampe,G834&gt;0),ATAN2(G834,H834),$M$4)</f>
        <v>-1.43360638329215</v>
      </c>
      <c r="N834" s="449" t="n">
        <f aca="false">DEGREES(Beta)</f>
        <v>-82.1395952456543</v>
      </c>
      <c r="O834" s="438"/>
      <c r="P834" s="452" t="n">
        <f aca="false">MATCH(t-pas/2-T_ini,CdP_t)</f>
        <v>23</v>
      </c>
      <c r="Q834" s="449" t="n">
        <f aca="false">(INDEX(CdP,2,i_P+1)-INDEX(CdP,2,i_P+0))/(INDEX(CdP,1,i_P+1)-INDEX(CdP,1,i_P+0))*(t-pas/2-T_ini-INDEX(CdP,1,i_P+0))+INDEX(CdP,2,i_P+0)</f>
        <v>0</v>
      </c>
      <c r="R834" s="450" t="n">
        <f aca="false">Poussee/(g*ISP)</f>
        <v>0</v>
      </c>
      <c r="S834" s="451" t="n">
        <f aca="false">S833-Débit*pas</f>
        <v>8.652</v>
      </c>
      <c r="T834" s="449" t="n">
        <f aca="false">m*g</f>
        <v>84.87612</v>
      </c>
      <c r="U834" s="453" t="n">
        <f aca="false">IF(pos_xz&lt;L_rampe,Poids*COS(Beta),0)</f>
        <v>0</v>
      </c>
      <c r="V834" s="450" t="n">
        <f aca="false">Rho_moyen*(20000-Alt_rampe-pos_z)/(20000+Alt_rampe+pos_z)</f>
        <v>1.22671167122812</v>
      </c>
      <c r="W834" s="449" t="n">
        <f aca="false">1/2*Rho*Sref*Cx*vit_xz^2</f>
        <v>52.0955283108366</v>
      </c>
      <c r="X834" s="438"/>
      <c r="Y834" s="454" t="str">
        <f aca="false">IF(AND(pos_z&lt;=0,K833&gt;0),"Impact balistique","") &amp; IF(AND(H835&lt;0,vit_z&gt;=0),"Apogée","") &amp; IF(AND(Poussee=0,Q833&gt;0),"Fin de propulsion","") &amp; IF(AND(L835&gt;L_rampe,pos_xz&lt;=L_rampe),"Sortie de rampe","")</f>
        <v/>
      </c>
      <c r="Z834" s="455" t="str">
        <f aca="false">IF(ABS(t-T_para)&lt;pas/2,"Para","")</f>
        <v/>
      </c>
      <c r="AA834" s="456" t="str">
        <f aca="false">IF(ABS(t-T_satellite)&lt;pas/2,"Satellite","")</f>
        <v/>
      </c>
      <c r="AB834" s="444"/>
      <c r="AC834" s="452" t="e">
        <f aca="false">IF(ABS(t-ROUND(t,0))&lt;0.001,t,NA())</f>
        <v>#N/A</v>
      </c>
      <c r="AD834" s="457" t="e">
        <f aca="false">IF(ABS(t-ROUND(t,0))&lt;0.001,pos_x,NA())</f>
        <v>#N/A</v>
      </c>
      <c r="AE834" s="458" t="e">
        <f aca="false">IF(t&lt;T_para, pos_z, NA())</f>
        <v>#N/A</v>
      </c>
      <c r="AF834" s="444"/>
      <c r="AG834" s="450" t="n">
        <f aca="false">IF(AND(L833&lt;L_rampe,Poussee&lt;Poids*SIN(M833)),0,(-W833+Poussee)/m-Poids*SIN(M833)/m)</f>
        <v>3.6966542126725</v>
      </c>
      <c r="AH834" s="449" t="n">
        <f aca="false">IF(AND(L833&lt;L_rampe,Poussee&lt;Poids*SIN(M833)), g*SIN(M833), (-W833+Poussee)/m)</f>
        <v>-6.02117178653756</v>
      </c>
    </row>
    <row r="835" customFormat="false" ht="12" hidden="false" customHeight="false" outlineLevel="0" collapsed="false">
      <c r="A835" s="448" t="n">
        <f aca="false">IF(B834+0.01&lt;=T_ini+ROUNDUP(Temps_fin_propu,0), 0.01, IF(K834&gt;0, 0.1, 0.0001))</f>
        <v>0.0001</v>
      </c>
      <c r="B835" s="449" t="n">
        <f aca="false">B834+pas</f>
        <v>35.7114000000006</v>
      </c>
      <c r="C835" s="432"/>
      <c r="D835" s="450" t="n">
        <f aca="false">IF(AND(L834&lt;L_rampe,Poussee&lt;Poids*SIN(M834)),0,(-W834+Poussee)/m*COS(M834)-U834/m*SIN(M834))</f>
        <v>-0.823461013005613</v>
      </c>
      <c r="E835" s="451" t="n">
        <f aca="false">IF(AND(L834&lt;L_rampe,Poussee&lt;Poids*SIN(M834)),0,(-W834+Poussee)/m*SIN(M834)+U834/m*COS(M834)-Poids/m)</f>
        <v>-3.84536180362961</v>
      </c>
      <c r="F835" s="449" t="n">
        <f aca="false">SQRT(acc_x^2+acc_z^2)</f>
        <v>3.93254312636922</v>
      </c>
      <c r="G835" s="450" t="n">
        <f aca="false">G834+acc_x*pas</f>
        <v>18.9002726989681</v>
      </c>
      <c r="H835" s="451" t="n">
        <f aca="false">H834+acc_z*pas</f>
        <v>-136.90277316938</v>
      </c>
      <c r="I835" s="449" t="n">
        <f aca="false">SQRT(vit_x^2+vit_z^2)</f>
        <v>138.201264862381</v>
      </c>
      <c r="J835" s="450" t="n">
        <f aca="false">J834+0.5*(vit_x+G834)*pas*(K834&gt;=0)</f>
        <v>1017.12580762709</v>
      </c>
      <c r="K835" s="451" t="n">
        <f aca="false">K834+0.5*(vit_z+H834)*pas</f>
        <v>-13.9767614316305</v>
      </c>
      <c r="L835" s="449" t="n">
        <f aca="false">SQRT(pos_x^2+pos_z^2)</f>
        <v>1017.22183342729</v>
      </c>
      <c r="M835" s="450" t="n">
        <f aca="false">IF(AND(L834&gt;L_rampe,G835&gt;0),ATAN2(G835,H835),$M$4)</f>
        <v>-1.43360735406159</v>
      </c>
      <c r="N835" s="449" t="n">
        <f aca="false">DEGREES(Beta)</f>
        <v>-82.139650866646</v>
      </c>
      <c r="O835" s="438"/>
      <c r="P835" s="452" t="n">
        <f aca="false">MATCH(t-pas/2-T_ini,CdP_t)</f>
        <v>23</v>
      </c>
      <c r="Q835" s="449" t="n">
        <f aca="false">(INDEX(CdP,2,i_P+1)-INDEX(CdP,2,i_P+0))/(INDEX(CdP,1,i_P+1)-INDEX(CdP,1,i_P+0))*(t-pas/2-T_ini-INDEX(CdP,1,i_P+0))+INDEX(CdP,2,i_P+0)</f>
        <v>0</v>
      </c>
      <c r="R835" s="450" t="n">
        <f aca="false">Poussee/(g*ISP)</f>
        <v>0</v>
      </c>
      <c r="S835" s="451" t="n">
        <f aca="false">S834-Débit*pas</f>
        <v>8.652</v>
      </c>
      <c r="T835" s="449" t="n">
        <f aca="false">m*g</f>
        <v>84.87612</v>
      </c>
      <c r="U835" s="453" t="n">
        <f aca="false">IF(pos_xz&lt;L_rampe,Poids*COS(Beta),0)</f>
        <v>0</v>
      </c>
      <c r="V835" s="450" t="n">
        <f aca="false">Rho_moyen*(20000-Alt_rampe-pos_z)/(20000+Alt_rampe+pos_z)</f>
        <v>1.22671335063003</v>
      </c>
      <c r="W835" s="449" t="n">
        <f aca="false">1/2*Rho*Sref*Cx*vit_xz^2</f>
        <v>52.0958783234051</v>
      </c>
      <c r="X835" s="438"/>
      <c r="Y835" s="454" t="str">
        <f aca="false">IF(AND(pos_z&lt;=0,K834&gt;0),"Impact balistique","") &amp; IF(AND(H836&lt;0,vit_z&gt;=0),"Apogée","") &amp; IF(AND(Poussee=0,Q834&gt;0),"Fin de propulsion","") &amp; IF(AND(L836&gt;L_rampe,pos_xz&lt;=L_rampe),"Sortie de rampe","")</f>
        <v/>
      </c>
      <c r="Z835" s="455" t="str">
        <f aca="false">IF(ABS(t-T_para)&lt;pas/2,"Para","")</f>
        <v/>
      </c>
      <c r="AA835" s="456" t="str">
        <f aca="false">IF(ABS(t-T_satellite)&lt;pas/2,"Satellite","")</f>
        <v/>
      </c>
      <c r="AB835" s="444"/>
      <c r="AC835" s="452" t="e">
        <f aca="false">IF(ABS(t-ROUND(t,0))&lt;0.001,t,NA())</f>
        <v>#N/A</v>
      </c>
      <c r="AD835" s="457" t="e">
        <f aca="false">IF(ABS(t-ROUND(t,0))&lt;0.001,pos_x,NA())</f>
        <v>#N/A</v>
      </c>
      <c r="AE835" s="458" t="e">
        <f aca="false">IF(t&lt;T_para, pos_z, NA())</f>
        <v>#N/A</v>
      </c>
      <c r="AF835" s="444"/>
      <c r="AG835" s="450" t="n">
        <f aca="false">IF(AND(L834&lt;L_rampe,Poussee&lt;Poids*SIN(M834)),0,(-W834+Poussee)/m-Poids*SIN(M834)/m)</f>
        <v>3.69661506042972</v>
      </c>
      <c r="AH835" s="449" t="n">
        <f aca="false">IF(AND(L834&lt;L_rampe,Poussee&lt;Poids*SIN(M834)), g*SIN(M834), (-W834+Poussee)/m)</f>
        <v>-6.02121224119702</v>
      </c>
    </row>
    <row r="836" customFormat="false" ht="12" hidden="false" customHeight="false" outlineLevel="0" collapsed="false">
      <c r="A836" s="448" t="n">
        <f aca="false">IF(B835+0.01&lt;=T_ini+ROUNDUP(Temps_fin_propu,0), 0.01, IF(K835&gt;0, 0.1, 0.0001))</f>
        <v>0.0001</v>
      </c>
      <c r="B836" s="449" t="n">
        <f aca="false">B835+pas</f>
        <v>35.7115000000006</v>
      </c>
      <c r="C836" s="432"/>
      <c r="D836" s="450" t="n">
        <f aca="false">IF(AND(L835&lt;L_rampe,Poussee&lt;Poids*SIN(M835)),0,(-W835+Poussee)/m*COS(M835)-U835/m*SIN(M835))</f>
        <v>-0.823460755239153</v>
      </c>
      <c r="E836" s="451" t="n">
        <f aca="false">IF(AND(L835&lt;L_rampe,Poussee&lt;Poids*SIN(M835)),0,(-W835+Poussee)/m*SIN(M835)+U835/m*COS(M835)-Poids/m)</f>
        <v>-3.84532092981139</v>
      </c>
      <c r="F836" s="449" t="n">
        <f aca="false">SQRT(acc_x^2+acc_z^2)</f>
        <v>3.93250310472409</v>
      </c>
      <c r="G836" s="450" t="n">
        <f aca="false">G835+acc_x*pas</f>
        <v>18.9001903528926</v>
      </c>
      <c r="H836" s="451" t="n">
        <f aca="false">H835+acc_z*pas</f>
        <v>-136.903157701473</v>
      </c>
      <c r="I836" s="449" t="n">
        <f aca="false">SQRT(vit_x^2+vit_z^2)</f>
        <v>138.201634520037</v>
      </c>
      <c r="J836" s="450" t="n">
        <f aca="false">J835+0.5*(vit_x+G835)*pas*(K835&gt;=0)</f>
        <v>1017.12580762709</v>
      </c>
      <c r="K836" s="451" t="n">
        <f aca="false">K835+0.5*(vit_z+H835)*pas</f>
        <v>-13.990451728174</v>
      </c>
      <c r="L836" s="449" t="n">
        <f aca="false">SQRT(pos_x^2+pos_z^2)</f>
        <v>1017.22202162587</v>
      </c>
      <c r="M836" s="450" t="n">
        <f aca="false">IF(AND(L835&gt;L_rampe,G836&gt;0),ATAN2(G836,H836),$M$4)</f>
        <v>-1.4336083248216</v>
      </c>
      <c r="N836" s="449" t="n">
        <f aca="false">DEGREES(Beta)</f>
        <v>-82.1397064870979</v>
      </c>
      <c r="O836" s="438"/>
      <c r="P836" s="452" t="n">
        <f aca="false">MATCH(t-pas/2-T_ini,CdP_t)</f>
        <v>23</v>
      </c>
      <c r="Q836" s="449" t="n">
        <f aca="false">(INDEX(CdP,2,i_P+1)-INDEX(CdP,2,i_P+0))/(INDEX(CdP,1,i_P+1)-INDEX(CdP,1,i_P+0))*(t-pas/2-T_ini-INDEX(CdP,1,i_P+0))+INDEX(CdP,2,i_P+0)</f>
        <v>0</v>
      </c>
      <c r="R836" s="450" t="n">
        <f aca="false">Poussee/(g*ISP)</f>
        <v>0</v>
      </c>
      <c r="S836" s="451" t="n">
        <f aca="false">S835-Débit*pas</f>
        <v>8.652</v>
      </c>
      <c r="T836" s="449" t="n">
        <f aca="false">m*g</f>
        <v>84.87612</v>
      </c>
      <c r="U836" s="453" t="n">
        <f aca="false">IF(pos_xz&lt;L_rampe,Poids*COS(Beta),0)</f>
        <v>0</v>
      </c>
      <c r="V836" s="450" t="n">
        <f aca="false">Rho_moyen*(20000-Alt_rampe-pos_z)/(20000+Alt_rampe+pos_z)</f>
        <v>1.22671503003895</v>
      </c>
      <c r="W836" s="449" t="n">
        <f aca="false">1/2*Rho*Sref*Cx*vit_xz^2</f>
        <v>52.0962283348285</v>
      </c>
      <c r="X836" s="438"/>
      <c r="Y836" s="454" t="str">
        <f aca="false">IF(AND(pos_z&lt;=0,K835&gt;0),"Impact balistique","") &amp; IF(AND(H837&lt;0,vit_z&gt;=0),"Apogée","") &amp; IF(AND(Poussee=0,Q835&gt;0),"Fin de propulsion","") &amp; IF(AND(L837&gt;L_rampe,pos_xz&lt;=L_rampe),"Sortie de rampe","")</f>
        <v/>
      </c>
      <c r="Z836" s="455" t="str">
        <f aca="false">IF(ABS(t-T_para)&lt;pas/2,"Para","")</f>
        <v/>
      </c>
      <c r="AA836" s="456" t="str">
        <f aca="false">IF(ABS(t-T_satellite)&lt;pas/2,"Satellite","")</f>
        <v/>
      </c>
      <c r="AB836" s="444"/>
      <c r="AC836" s="452" t="e">
        <f aca="false">IF(ABS(t-ROUND(t,0))&lt;0.001,t,NA())</f>
        <v>#N/A</v>
      </c>
      <c r="AD836" s="457" t="e">
        <f aca="false">IF(ABS(t-ROUND(t,0))&lt;0.001,pos_x,NA())</f>
        <v>#N/A</v>
      </c>
      <c r="AE836" s="458" t="e">
        <f aca="false">IF(t&lt;T_para, pos_z, NA())</f>
        <v>#N/A</v>
      </c>
      <c r="AF836" s="444"/>
      <c r="AG836" s="450" t="n">
        <f aca="false">IF(AND(L835&lt;L_rampe,Poussee&lt;Poids*SIN(M835)),0,(-W835+Poussee)/m-Poids*SIN(M835)/m)</f>
        <v>3.6965759082975</v>
      </c>
      <c r="AH836" s="449" t="n">
        <f aca="false">IF(AND(L835&lt;L_rampe,Poussee&lt;Poids*SIN(M835)), g*SIN(M835), (-W835+Poussee)/m)</f>
        <v>-6.02125269572413</v>
      </c>
    </row>
    <row r="837" customFormat="false" ht="12" hidden="false" customHeight="false" outlineLevel="0" collapsed="false">
      <c r="A837" s="448" t="n">
        <f aca="false">IF(B836+0.01&lt;=T_ini+ROUNDUP(Temps_fin_propu,0), 0.01, IF(K836&gt;0, 0.1, 0.0001))</f>
        <v>0.0001</v>
      </c>
      <c r="B837" s="449" t="n">
        <f aca="false">B836+pas</f>
        <v>35.7116000000006</v>
      </c>
      <c r="C837" s="432"/>
      <c r="D837" s="450" t="n">
        <f aca="false">IF(AND(L836&lt;L_rampe,Poussee&lt;Poids*SIN(M836)),0,(-W836+Poussee)/m*COS(M836)-U836/m*SIN(M836))</f>
        <v>-0.823460497432215</v>
      </c>
      <c r="E837" s="451" t="n">
        <f aca="false">IF(AND(L836&lt;L_rampe,Poussee&lt;Poids*SIN(M836)),0,(-W836+Poussee)/m*SIN(M836)+U836/m*COS(M836)-Poids/m)</f>
        <v>-3.84528005612693</v>
      </c>
      <c r="F837" s="449" t="n">
        <f aca="false">SQRT(acc_x^2+acc_z^2)</f>
        <v>3.93246308321881</v>
      </c>
      <c r="G837" s="450" t="n">
        <f aca="false">G836+acc_x*pas</f>
        <v>18.9001080068428</v>
      </c>
      <c r="H837" s="451" t="n">
        <f aca="false">H836+acc_z*pas</f>
        <v>-136.903542229479</v>
      </c>
      <c r="I837" s="449" t="n">
        <f aca="false">SQRT(vit_x^2+vit_z^2)</f>
        <v>138.202004173778</v>
      </c>
      <c r="J837" s="450" t="n">
        <f aca="false">J836+0.5*(vit_x+G836)*pas*(K836&gt;=0)</f>
        <v>1017.12580762709</v>
      </c>
      <c r="K837" s="451" t="n">
        <f aca="false">K836+0.5*(vit_z+H836)*pas</f>
        <v>-14.0041420631705</v>
      </c>
      <c r="L837" s="449" t="n">
        <f aca="false">SQRT(pos_x^2+pos_z^2)</f>
        <v>1017.22221000919</v>
      </c>
      <c r="M837" s="450" t="n">
        <f aca="false">IF(AND(L836&gt;L_rampe,G837&gt;0),ATAN2(G837,H837),$M$4)</f>
        <v>-1.4336092955722</v>
      </c>
      <c r="N837" s="449" t="n">
        <f aca="false">DEGREES(Beta)</f>
        <v>-82.1397621070099</v>
      </c>
      <c r="O837" s="438"/>
      <c r="P837" s="452" t="n">
        <f aca="false">MATCH(t-pas/2-T_ini,CdP_t)</f>
        <v>23</v>
      </c>
      <c r="Q837" s="449" t="n">
        <f aca="false">(INDEX(CdP,2,i_P+1)-INDEX(CdP,2,i_P+0))/(INDEX(CdP,1,i_P+1)-INDEX(CdP,1,i_P+0))*(t-pas/2-T_ini-INDEX(CdP,1,i_P+0))+INDEX(CdP,2,i_P+0)</f>
        <v>0</v>
      </c>
      <c r="R837" s="450" t="n">
        <f aca="false">Poussee/(g*ISP)</f>
        <v>0</v>
      </c>
      <c r="S837" s="451" t="n">
        <f aca="false">S836-Débit*pas</f>
        <v>8.652</v>
      </c>
      <c r="T837" s="449" t="n">
        <f aca="false">m*g</f>
        <v>84.87612</v>
      </c>
      <c r="U837" s="453" t="n">
        <f aca="false">IF(pos_xz&lt;L_rampe,Poids*COS(Beta),0)</f>
        <v>0</v>
      </c>
      <c r="V837" s="450" t="n">
        <f aca="false">Rho_moyen*(20000-Alt_rampe-pos_z)/(20000+Alt_rampe+pos_z)</f>
        <v>1.22671670945489</v>
      </c>
      <c r="W837" s="449" t="n">
        <f aca="false">1/2*Rho*Sref*Cx*vit_xz^2</f>
        <v>52.0965783451067</v>
      </c>
      <c r="X837" s="438"/>
      <c r="Y837" s="454" t="str">
        <f aca="false">IF(AND(pos_z&lt;=0,K836&gt;0),"Impact balistique","") &amp; IF(AND(H838&lt;0,vit_z&gt;=0),"Apogée","") &amp; IF(AND(Poussee=0,Q836&gt;0),"Fin de propulsion","") &amp; IF(AND(L838&gt;L_rampe,pos_xz&lt;=L_rampe),"Sortie de rampe","")</f>
        <v/>
      </c>
      <c r="Z837" s="455" t="str">
        <f aca="false">IF(ABS(t-T_para)&lt;pas/2,"Para","")</f>
        <v/>
      </c>
      <c r="AA837" s="456" t="str">
        <f aca="false">IF(ABS(t-T_satellite)&lt;pas/2,"Satellite","")</f>
        <v/>
      </c>
      <c r="AB837" s="444"/>
      <c r="AC837" s="452" t="e">
        <f aca="false">IF(ABS(t-ROUND(t,0))&lt;0.001,t,NA())</f>
        <v>#N/A</v>
      </c>
      <c r="AD837" s="457" t="e">
        <f aca="false">IF(ABS(t-ROUND(t,0))&lt;0.001,pos_x,NA())</f>
        <v>#N/A</v>
      </c>
      <c r="AE837" s="458" t="e">
        <f aca="false">IF(t&lt;T_para, pos_z, NA())</f>
        <v>#N/A</v>
      </c>
      <c r="AF837" s="444"/>
      <c r="AG837" s="450" t="n">
        <f aca="false">IF(AND(L836&lt;L_rampe,Poussee&lt;Poids*SIN(M836)),0,(-W836+Poussee)/m-Poids*SIN(M836)/m)</f>
        <v>3.69653675627583</v>
      </c>
      <c r="AH837" s="449" t="n">
        <f aca="false">IF(AND(L836&lt;L_rampe,Poussee&lt;Poids*SIN(M836)), g*SIN(M836), (-W836+Poussee)/m)</f>
        <v>-6.02129315011888</v>
      </c>
    </row>
    <row r="838" customFormat="false" ht="12" hidden="false" customHeight="false" outlineLevel="0" collapsed="false">
      <c r="A838" s="448" t="n">
        <f aca="false">IF(B837+0.01&lt;=T_ini+ROUNDUP(Temps_fin_propu,0), 0.01, IF(K837&gt;0, 0.1, 0.0001))</f>
        <v>0.0001</v>
      </c>
      <c r="B838" s="449" t="n">
        <f aca="false">B837+pas</f>
        <v>35.7117000000006</v>
      </c>
      <c r="C838" s="432"/>
      <c r="D838" s="450" t="n">
        <f aca="false">IF(AND(L837&lt;L_rampe,Poussee&lt;Poids*SIN(M837)),0,(-W837+Poussee)/m*COS(M837)-U837/m*SIN(M837))</f>
        <v>-0.823460239584796</v>
      </c>
      <c r="E838" s="451" t="n">
        <f aca="false">IF(AND(L837&lt;L_rampe,Poussee&lt;Poids*SIN(M837)),0,(-W837+Poussee)/m*SIN(M837)+U837/m*COS(M837)-Poids/m)</f>
        <v>-3.84523918257622</v>
      </c>
      <c r="F838" s="449" t="n">
        <f aca="false">SQRT(acc_x^2+acc_z^2)</f>
        <v>3.9324230618534</v>
      </c>
      <c r="G838" s="450" t="n">
        <f aca="false">G837+acc_x*pas</f>
        <v>18.9000256608189</v>
      </c>
      <c r="H838" s="451" t="n">
        <f aca="false">H837+acc_z*pas</f>
        <v>-136.903926753397</v>
      </c>
      <c r="I838" s="449" t="n">
        <f aca="false">SQRT(vit_x^2+vit_z^2)</f>
        <v>138.202373823604</v>
      </c>
      <c r="J838" s="450" t="n">
        <f aca="false">J837+0.5*(vit_x+G837)*pas*(K837&gt;=0)</f>
        <v>1017.12580762709</v>
      </c>
      <c r="K838" s="451" t="n">
        <f aca="false">K837+0.5*(vit_z+H837)*pas</f>
        <v>-14.0178324366197</v>
      </c>
      <c r="L838" s="449" t="n">
        <f aca="false">SQRT(pos_x^2+pos_z^2)</f>
        <v>1017.22239857726</v>
      </c>
      <c r="M838" s="450" t="n">
        <f aca="false">IF(AND(L837&gt;L_rampe,G838&gt;0),ATAN2(G838,H838),$M$4)</f>
        <v>-1.43361026631337</v>
      </c>
      <c r="N838" s="449" t="n">
        <f aca="false">DEGREES(Beta)</f>
        <v>-82.139817726382</v>
      </c>
      <c r="O838" s="438"/>
      <c r="P838" s="452" t="n">
        <f aca="false">MATCH(t-pas/2-T_ini,CdP_t)</f>
        <v>23</v>
      </c>
      <c r="Q838" s="449" t="n">
        <f aca="false">(INDEX(CdP,2,i_P+1)-INDEX(CdP,2,i_P+0))/(INDEX(CdP,1,i_P+1)-INDEX(CdP,1,i_P+0))*(t-pas/2-T_ini-INDEX(CdP,1,i_P+0))+INDEX(CdP,2,i_P+0)</f>
        <v>0</v>
      </c>
      <c r="R838" s="450" t="n">
        <f aca="false">Poussee/(g*ISP)</f>
        <v>0</v>
      </c>
      <c r="S838" s="451" t="n">
        <f aca="false">S837-Débit*pas</f>
        <v>8.652</v>
      </c>
      <c r="T838" s="449" t="n">
        <f aca="false">m*g</f>
        <v>84.87612</v>
      </c>
      <c r="U838" s="453" t="n">
        <f aca="false">IF(pos_xz&lt;L_rampe,Poids*COS(Beta),0)</f>
        <v>0</v>
      </c>
      <c r="V838" s="450" t="n">
        <f aca="false">Rho_moyen*(20000-Alt_rampe-pos_z)/(20000+Alt_rampe+pos_z)</f>
        <v>1.22671838887785</v>
      </c>
      <c r="W838" s="449" t="n">
        <f aca="false">1/2*Rho*Sref*Cx*vit_xz^2</f>
        <v>52.0969283542396</v>
      </c>
      <c r="X838" s="438"/>
      <c r="Y838" s="454" t="str">
        <f aca="false">IF(AND(pos_z&lt;=0,K837&gt;0),"Impact balistique","") &amp; IF(AND(H839&lt;0,vit_z&gt;=0),"Apogée","") &amp; IF(AND(Poussee=0,Q837&gt;0),"Fin de propulsion","") &amp; IF(AND(L839&gt;L_rampe,pos_xz&lt;=L_rampe),"Sortie de rampe","")</f>
        <v/>
      </c>
      <c r="Z838" s="455" t="str">
        <f aca="false">IF(ABS(t-T_para)&lt;pas/2,"Para","")</f>
        <v/>
      </c>
      <c r="AA838" s="456" t="str">
        <f aca="false">IF(ABS(t-T_satellite)&lt;pas/2,"Satellite","")</f>
        <v/>
      </c>
      <c r="AB838" s="444"/>
      <c r="AC838" s="452" t="e">
        <f aca="false">IF(ABS(t-ROUND(t,0))&lt;0.001,t,NA())</f>
        <v>#N/A</v>
      </c>
      <c r="AD838" s="457" t="e">
        <f aca="false">IF(ABS(t-ROUND(t,0))&lt;0.001,pos_x,NA())</f>
        <v>#N/A</v>
      </c>
      <c r="AE838" s="458" t="e">
        <f aca="false">IF(t&lt;T_para, pos_z, NA())</f>
        <v>#N/A</v>
      </c>
      <c r="AF838" s="444"/>
      <c r="AG838" s="450" t="n">
        <f aca="false">IF(AND(L837&lt;L_rampe,Poussee&lt;Poids*SIN(M837)),0,(-W837+Poussee)/m-Poids*SIN(M837)/m)</f>
        <v>3.69649760436474</v>
      </c>
      <c r="AH838" s="449" t="n">
        <f aca="false">IF(AND(L837&lt;L_rampe,Poussee&lt;Poids*SIN(M837)), g*SIN(M837), (-W837+Poussee)/m)</f>
        <v>-6.02133360438126</v>
      </c>
    </row>
    <row r="839" customFormat="false" ht="12" hidden="false" customHeight="false" outlineLevel="0" collapsed="false">
      <c r="A839" s="448" t="n">
        <f aca="false">IF(B838+0.01&lt;=T_ini+ROUNDUP(Temps_fin_propu,0), 0.01, IF(K838&gt;0, 0.1, 0.0001))</f>
        <v>0.0001</v>
      </c>
      <c r="B839" s="449" t="n">
        <f aca="false">B838+pas</f>
        <v>35.7118000000006</v>
      </c>
      <c r="C839" s="432"/>
      <c r="D839" s="450" t="n">
        <f aca="false">IF(AND(L838&lt;L_rampe,Poussee&lt;Poids*SIN(M838)),0,(-W838+Poussee)/m*COS(M838)-U838/m*SIN(M838))</f>
        <v>-0.823459981696897</v>
      </c>
      <c r="E839" s="451" t="n">
        <f aca="false">IF(AND(L838&lt;L_rampe,Poussee&lt;Poids*SIN(M838)),0,(-W838+Poussee)/m*SIN(M838)+U838/m*COS(M838)-Poids/m)</f>
        <v>-3.84519830915928</v>
      </c>
      <c r="F839" s="449" t="n">
        <f aca="false">SQRT(acc_x^2+acc_z^2)</f>
        <v>3.93238304062786</v>
      </c>
      <c r="G839" s="450" t="n">
        <f aca="false">G838+acc_x*pas</f>
        <v>18.8999433148207</v>
      </c>
      <c r="H839" s="451" t="n">
        <f aca="false">H838+acc_z*pas</f>
        <v>-136.904311273228</v>
      </c>
      <c r="I839" s="449" t="n">
        <f aca="false">SQRT(vit_x^2+vit_z^2)</f>
        <v>138.202743469514</v>
      </c>
      <c r="J839" s="450" t="n">
        <f aca="false">J838+0.5*(vit_x+G838)*pas*(K838&gt;=0)</f>
        <v>1017.12580762709</v>
      </c>
      <c r="K839" s="451" t="n">
        <f aca="false">K838+0.5*(vit_z+H838)*pas</f>
        <v>-14.031522848521</v>
      </c>
      <c r="L839" s="449" t="n">
        <f aca="false">SQRT(pos_x^2+pos_z^2)</f>
        <v>1017.22258733008</v>
      </c>
      <c r="M839" s="450" t="n">
        <f aca="false">IF(AND(L838&gt;L_rampe,G839&gt;0),ATAN2(G839,H839),$M$4)</f>
        <v>-1.43361123704512</v>
      </c>
      <c r="N839" s="449" t="n">
        <f aca="false">DEGREES(Beta)</f>
        <v>-82.1398733452143</v>
      </c>
      <c r="O839" s="438"/>
      <c r="P839" s="452" t="n">
        <f aca="false">MATCH(t-pas/2-T_ini,CdP_t)</f>
        <v>23</v>
      </c>
      <c r="Q839" s="449" t="n">
        <f aca="false">(INDEX(CdP,2,i_P+1)-INDEX(CdP,2,i_P+0))/(INDEX(CdP,1,i_P+1)-INDEX(CdP,1,i_P+0))*(t-pas/2-T_ini-INDEX(CdP,1,i_P+0))+INDEX(CdP,2,i_P+0)</f>
        <v>0</v>
      </c>
      <c r="R839" s="450" t="n">
        <f aca="false">Poussee/(g*ISP)</f>
        <v>0</v>
      </c>
      <c r="S839" s="451" t="n">
        <f aca="false">S838-Débit*pas</f>
        <v>8.652</v>
      </c>
      <c r="T839" s="449" t="n">
        <f aca="false">m*g</f>
        <v>84.87612</v>
      </c>
      <c r="U839" s="453" t="n">
        <f aca="false">IF(pos_xz&lt;L_rampe,Poids*COS(Beta),0)</f>
        <v>0</v>
      </c>
      <c r="V839" s="450" t="n">
        <f aca="false">Rho_moyen*(20000-Alt_rampe-pos_z)/(20000+Alt_rampe+pos_z)</f>
        <v>1.22672006830783</v>
      </c>
      <c r="W839" s="449" t="n">
        <f aca="false">1/2*Rho*Sref*Cx*vit_xz^2</f>
        <v>52.0972783622272</v>
      </c>
      <c r="X839" s="438"/>
      <c r="Y839" s="454" t="str">
        <f aca="false">IF(AND(pos_z&lt;=0,K838&gt;0),"Impact balistique","") &amp; IF(AND(H840&lt;0,vit_z&gt;=0),"Apogée","") &amp; IF(AND(Poussee=0,Q838&gt;0),"Fin de propulsion","") &amp; IF(AND(L840&gt;L_rampe,pos_xz&lt;=L_rampe),"Sortie de rampe","")</f>
        <v/>
      </c>
      <c r="Z839" s="455" t="str">
        <f aca="false">IF(ABS(t-T_para)&lt;pas/2,"Para","")</f>
        <v/>
      </c>
      <c r="AA839" s="456" t="str">
        <f aca="false">IF(ABS(t-T_satellite)&lt;pas/2,"Satellite","")</f>
        <v/>
      </c>
      <c r="AB839" s="444"/>
      <c r="AC839" s="452" t="e">
        <f aca="false">IF(ABS(t-ROUND(t,0))&lt;0.001,t,NA())</f>
        <v>#N/A</v>
      </c>
      <c r="AD839" s="457" t="e">
        <f aca="false">IF(ABS(t-ROUND(t,0))&lt;0.001,pos_x,NA())</f>
        <v>#N/A</v>
      </c>
      <c r="AE839" s="458" t="e">
        <f aca="false">IF(t&lt;T_para, pos_z, NA())</f>
        <v>#N/A</v>
      </c>
      <c r="AF839" s="444"/>
      <c r="AG839" s="450" t="n">
        <f aca="false">IF(AND(L838&lt;L_rampe,Poussee&lt;Poids*SIN(M838)),0,(-W838+Poussee)/m-Poids*SIN(M838)/m)</f>
        <v>3.69645845256421</v>
      </c>
      <c r="AH839" s="449" t="n">
        <f aca="false">IF(AND(L838&lt;L_rampe,Poussee&lt;Poids*SIN(M838)), g*SIN(M838), (-W838+Poussee)/m)</f>
        <v>-6.02137405851128</v>
      </c>
    </row>
    <row r="840" customFormat="false" ht="12" hidden="false" customHeight="false" outlineLevel="0" collapsed="false">
      <c r="A840" s="448" t="n">
        <f aca="false">IF(B839+0.01&lt;=T_ini+ROUNDUP(Temps_fin_propu,0), 0.01, IF(K839&gt;0, 0.1, 0.0001))</f>
        <v>0.0001</v>
      </c>
      <c r="B840" s="449" t="n">
        <f aca="false">B839+pas</f>
        <v>35.7119000000006</v>
      </c>
      <c r="C840" s="432"/>
      <c r="D840" s="450" t="n">
        <f aca="false">IF(AND(L839&lt;L_rampe,Poussee&lt;Poids*SIN(M839)),0,(-W839+Poussee)/m*COS(M839)-U839/m*SIN(M839))</f>
        <v>-0.82345972376852</v>
      </c>
      <c r="E840" s="451" t="n">
        <f aca="false">IF(AND(L839&lt;L_rampe,Poussee&lt;Poids*SIN(M839)),0,(-W839+Poussee)/m*SIN(M839)+U839/m*COS(M839)-Poids/m)</f>
        <v>-3.8451574358761</v>
      </c>
      <c r="F840" s="449" t="n">
        <f aca="false">SQRT(acc_x^2+acc_z^2)</f>
        <v>3.93234301954219</v>
      </c>
      <c r="G840" s="450" t="n">
        <f aca="false">G839+acc_x*pas</f>
        <v>18.8998609688483</v>
      </c>
      <c r="H840" s="451" t="n">
        <f aca="false">H839+acc_z*pas</f>
        <v>-136.904695788971</v>
      </c>
      <c r="I840" s="449" t="n">
        <f aca="false">SQRT(vit_x^2+vit_z^2)</f>
        <v>138.203113111509</v>
      </c>
      <c r="J840" s="450" t="n">
        <f aca="false">J839+0.5*(vit_x+G839)*pas*(K839&gt;=0)</f>
        <v>1017.12580762709</v>
      </c>
      <c r="K840" s="451" t="n">
        <f aca="false">K839+0.5*(vit_z+H839)*pas</f>
        <v>-14.0452132988741</v>
      </c>
      <c r="L840" s="449" t="n">
        <f aca="false">SQRT(pos_x^2+pos_z^2)</f>
        <v>1017.22277626765</v>
      </c>
      <c r="M840" s="450" t="n">
        <f aca="false">IF(AND(L839&gt;L_rampe,G840&gt;0),ATAN2(G840,H840),$M$4)</f>
        <v>-1.43361220776745</v>
      </c>
      <c r="N840" s="449" t="n">
        <f aca="false">DEGREES(Beta)</f>
        <v>-82.1399289635067</v>
      </c>
      <c r="O840" s="438"/>
      <c r="P840" s="452" t="n">
        <f aca="false">MATCH(t-pas/2-T_ini,CdP_t)</f>
        <v>23</v>
      </c>
      <c r="Q840" s="449" t="n">
        <f aca="false">(INDEX(CdP,2,i_P+1)-INDEX(CdP,2,i_P+0))/(INDEX(CdP,1,i_P+1)-INDEX(CdP,1,i_P+0))*(t-pas/2-T_ini-INDEX(CdP,1,i_P+0))+INDEX(CdP,2,i_P+0)</f>
        <v>0</v>
      </c>
      <c r="R840" s="450" t="n">
        <f aca="false">Poussee/(g*ISP)</f>
        <v>0</v>
      </c>
      <c r="S840" s="451" t="n">
        <f aca="false">S839-Débit*pas</f>
        <v>8.652</v>
      </c>
      <c r="T840" s="449" t="n">
        <f aca="false">m*g</f>
        <v>84.87612</v>
      </c>
      <c r="U840" s="453" t="n">
        <f aca="false">IF(pos_xz&lt;L_rampe,Poids*COS(Beta),0)</f>
        <v>0</v>
      </c>
      <c r="V840" s="450" t="n">
        <f aca="false">Rho_moyen*(20000-Alt_rampe-pos_z)/(20000+Alt_rampe+pos_z)</f>
        <v>1.22672174774483</v>
      </c>
      <c r="W840" s="449" t="n">
        <f aca="false">1/2*Rho*Sref*Cx*vit_xz^2</f>
        <v>52.0976283690696</v>
      </c>
      <c r="X840" s="438"/>
      <c r="Y840" s="454" t="str">
        <f aca="false">IF(AND(pos_z&lt;=0,K839&gt;0),"Impact balistique","") &amp; IF(AND(H841&lt;0,vit_z&gt;=0),"Apogée","") &amp; IF(AND(Poussee=0,Q839&gt;0),"Fin de propulsion","") &amp; IF(AND(L841&gt;L_rampe,pos_xz&lt;=L_rampe),"Sortie de rampe","")</f>
        <v/>
      </c>
      <c r="Z840" s="455" t="str">
        <f aca="false">IF(ABS(t-T_para)&lt;pas/2,"Para","")</f>
        <v/>
      </c>
      <c r="AA840" s="456" t="str">
        <f aca="false">IF(ABS(t-T_satellite)&lt;pas/2,"Satellite","")</f>
        <v/>
      </c>
      <c r="AB840" s="444"/>
      <c r="AC840" s="452" t="e">
        <f aca="false">IF(ABS(t-ROUND(t,0))&lt;0.001,t,NA())</f>
        <v>#N/A</v>
      </c>
      <c r="AD840" s="457" t="e">
        <f aca="false">IF(ABS(t-ROUND(t,0))&lt;0.001,pos_x,NA())</f>
        <v>#N/A</v>
      </c>
      <c r="AE840" s="458" t="e">
        <f aca="false">IF(t&lt;T_para, pos_z, NA())</f>
        <v>#N/A</v>
      </c>
      <c r="AF840" s="444"/>
      <c r="AG840" s="450" t="n">
        <f aca="false">IF(AND(L839&lt;L_rampe,Poussee&lt;Poids*SIN(M839)),0,(-W839+Poussee)/m-Poids*SIN(M839)/m)</f>
        <v>3.69641930087426</v>
      </c>
      <c r="AH840" s="449" t="n">
        <f aca="false">IF(AND(L839&lt;L_rampe,Poussee&lt;Poids*SIN(M839)), g*SIN(M839), (-W839+Poussee)/m)</f>
        <v>-6.02141451250893</v>
      </c>
    </row>
    <row r="841" customFormat="false" ht="12" hidden="false" customHeight="false" outlineLevel="0" collapsed="false">
      <c r="A841" s="448" t="n">
        <f aca="false">IF(B840+0.01&lt;=T_ini+ROUNDUP(Temps_fin_propu,0), 0.01, IF(K840&gt;0, 0.1, 0.0001))</f>
        <v>0.0001</v>
      </c>
      <c r="B841" s="449" t="n">
        <f aca="false">B840+pas</f>
        <v>35.7120000000006</v>
      </c>
      <c r="C841" s="432"/>
      <c r="D841" s="450" t="n">
        <f aca="false">IF(AND(L840&lt;L_rampe,Poussee&lt;Poids*SIN(M840)),0,(-W840+Poussee)/m*COS(M840)-U840/m*SIN(M840))</f>
        <v>-0.823459465799663</v>
      </c>
      <c r="E841" s="451" t="n">
        <f aca="false">IF(AND(L840&lt;L_rampe,Poussee&lt;Poids*SIN(M840)),0,(-W840+Poussee)/m*SIN(M840)+U840/m*COS(M840)-Poids/m)</f>
        <v>-3.84511656272668</v>
      </c>
      <c r="F841" s="449" t="n">
        <f aca="false">SQRT(acc_x^2+acc_z^2)</f>
        <v>3.93230299859639</v>
      </c>
      <c r="G841" s="450" t="n">
        <f aca="false">G840+acc_x*pas</f>
        <v>18.8997786229018</v>
      </c>
      <c r="H841" s="451" t="n">
        <f aca="false">H840+acc_z*pas</f>
        <v>-136.905080300628</v>
      </c>
      <c r="I841" s="449" t="n">
        <f aca="false">SQRT(vit_x^2+vit_z^2)</f>
        <v>138.203482749589</v>
      </c>
      <c r="J841" s="450" t="n">
        <f aca="false">J840+0.5*(vit_x+G840)*pas*(K840&gt;=0)</f>
        <v>1017.12580762709</v>
      </c>
      <c r="K841" s="451" t="n">
        <f aca="false">K840+0.5*(vit_z+H840)*pas</f>
        <v>-14.0589037876786</v>
      </c>
      <c r="L841" s="449" t="n">
        <f aca="false">SQRT(pos_x^2+pos_z^2)</f>
        <v>1017.22296538997</v>
      </c>
      <c r="M841" s="450" t="n">
        <f aca="false">IF(AND(L840&gt;L_rampe,G841&gt;0),ATAN2(G841,H841),$M$4)</f>
        <v>-1.43361317848035</v>
      </c>
      <c r="N841" s="449" t="n">
        <f aca="false">DEGREES(Beta)</f>
        <v>-82.1399845812593</v>
      </c>
      <c r="O841" s="438"/>
      <c r="P841" s="452" t="n">
        <f aca="false">MATCH(t-pas/2-T_ini,CdP_t)</f>
        <v>23</v>
      </c>
      <c r="Q841" s="449" t="n">
        <f aca="false">(INDEX(CdP,2,i_P+1)-INDEX(CdP,2,i_P+0))/(INDEX(CdP,1,i_P+1)-INDEX(CdP,1,i_P+0))*(t-pas/2-T_ini-INDEX(CdP,1,i_P+0))+INDEX(CdP,2,i_P+0)</f>
        <v>0</v>
      </c>
      <c r="R841" s="450" t="n">
        <f aca="false">Poussee/(g*ISP)</f>
        <v>0</v>
      </c>
      <c r="S841" s="451" t="n">
        <f aca="false">S840-Débit*pas</f>
        <v>8.652</v>
      </c>
      <c r="T841" s="449" t="n">
        <f aca="false">m*g</f>
        <v>84.87612</v>
      </c>
      <c r="U841" s="453" t="n">
        <f aca="false">IF(pos_xz&lt;L_rampe,Poids*COS(Beta),0)</f>
        <v>0</v>
      </c>
      <c r="V841" s="450" t="n">
        <f aca="false">Rho_moyen*(20000-Alt_rampe-pos_z)/(20000+Alt_rampe+pos_z)</f>
        <v>1.22672342718884</v>
      </c>
      <c r="W841" s="449" t="n">
        <f aca="false">1/2*Rho*Sref*Cx*vit_xz^2</f>
        <v>52.0979783747668</v>
      </c>
      <c r="X841" s="438"/>
      <c r="Y841" s="454" t="str">
        <f aca="false">IF(AND(pos_z&lt;=0,K840&gt;0),"Impact balistique","") &amp; IF(AND(H842&lt;0,vit_z&gt;=0),"Apogée","") &amp; IF(AND(Poussee=0,Q840&gt;0),"Fin de propulsion","") &amp; IF(AND(L842&gt;L_rampe,pos_xz&lt;=L_rampe),"Sortie de rampe","")</f>
        <v/>
      </c>
      <c r="Z841" s="455" t="str">
        <f aca="false">IF(ABS(t-T_para)&lt;pas/2,"Para","")</f>
        <v/>
      </c>
      <c r="AA841" s="456" t="str">
        <f aca="false">IF(ABS(t-T_satellite)&lt;pas/2,"Satellite","")</f>
        <v/>
      </c>
      <c r="AB841" s="444"/>
      <c r="AC841" s="452" t="e">
        <f aca="false">IF(ABS(t-ROUND(t,0))&lt;0.001,t,NA())</f>
        <v>#N/A</v>
      </c>
      <c r="AD841" s="457" t="e">
        <f aca="false">IF(ABS(t-ROUND(t,0))&lt;0.001,pos_x,NA())</f>
        <v>#N/A</v>
      </c>
      <c r="AE841" s="458" t="e">
        <f aca="false">IF(t&lt;T_para, pos_z, NA())</f>
        <v>#N/A</v>
      </c>
      <c r="AF841" s="444"/>
      <c r="AG841" s="450" t="n">
        <f aca="false">IF(AND(L840&lt;L_rampe,Poussee&lt;Poids*SIN(M840)),0,(-W840+Poussee)/m-Poids*SIN(M840)/m)</f>
        <v>3.69638014929487</v>
      </c>
      <c r="AH841" s="449" t="n">
        <f aca="false">IF(AND(L840&lt;L_rampe,Poussee&lt;Poids*SIN(M840)), g*SIN(M840), (-W840+Poussee)/m)</f>
        <v>-6.02145496637421</v>
      </c>
    </row>
    <row r="842" customFormat="false" ht="12" hidden="false" customHeight="false" outlineLevel="0" collapsed="false">
      <c r="A842" s="448" t="n">
        <f aca="false">IF(B841+0.01&lt;=T_ini+ROUNDUP(Temps_fin_propu,0), 0.01, IF(K841&gt;0, 0.1, 0.0001))</f>
        <v>0.0001</v>
      </c>
      <c r="B842" s="449" t="n">
        <f aca="false">B841+pas</f>
        <v>35.7121000000006</v>
      </c>
      <c r="C842" s="432"/>
      <c r="D842" s="450" t="n">
        <f aca="false">IF(AND(L841&lt;L_rampe,Poussee&lt;Poids*SIN(M841)),0,(-W841+Poussee)/m*COS(M841)-U841/m*SIN(M841))</f>
        <v>-0.82345920779033</v>
      </c>
      <c r="E842" s="451" t="n">
        <f aca="false">IF(AND(L841&lt;L_rampe,Poussee&lt;Poids*SIN(M841)),0,(-W841+Poussee)/m*SIN(M841)+U841/m*COS(M841)-Poids/m)</f>
        <v>-3.84507568971103</v>
      </c>
      <c r="F842" s="449" t="n">
        <f aca="false">SQRT(acc_x^2+acc_z^2)</f>
        <v>3.93226297779046</v>
      </c>
      <c r="G842" s="450" t="n">
        <f aca="false">G841+acc_x*pas</f>
        <v>18.899696276981</v>
      </c>
      <c r="H842" s="451" t="n">
        <f aca="false">H841+acc_z*pas</f>
        <v>-136.905464808197</v>
      </c>
      <c r="I842" s="449" t="n">
        <f aca="false">SQRT(vit_x^2+vit_z^2)</f>
        <v>138.203852383754</v>
      </c>
      <c r="J842" s="450" t="n">
        <f aca="false">J841+0.5*(vit_x+G841)*pas*(K841&gt;=0)</f>
        <v>1017.12580762709</v>
      </c>
      <c r="K842" s="451" t="n">
        <f aca="false">K841+0.5*(vit_z+H841)*pas</f>
        <v>-14.0725943149341</v>
      </c>
      <c r="L842" s="449" t="n">
        <f aca="false">SQRT(pos_x^2+pos_z^2)</f>
        <v>1017.22315469705</v>
      </c>
      <c r="M842" s="450" t="n">
        <f aca="false">IF(AND(L841&gt;L_rampe,G842&gt;0),ATAN2(G842,H842),$M$4)</f>
        <v>-1.43361414918383</v>
      </c>
      <c r="N842" s="449" t="n">
        <f aca="false">DEGREES(Beta)</f>
        <v>-82.1400401984721</v>
      </c>
      <c r="O842" s="438"/>
      <c r="P842" s="452" t="n">
        <f aca="false">MATCH(t-pas/2-T_ini,CdP_t)</f>
        <v>23</v>
      </c>
      <c r="Q842" s="449" t="n">
        <f aca="false">(INDEX(CdP,2,i_P+1)-INDEX(CdP,2,i_P+0))/(INDEX(CdP,1,i_P+1)-INDEX(CdP,1,i_P+0))*(t-pas/2-T_ini-INDEX(CdP,1,i_P+0))+INDEX(CdP,2,i_P+0)</f>
        <v>0</v>
      </c>
      <c r="R842" s="450" t="n">
        <f aca="false">Poussee/(g*ISP)</f>
        <v>0</v>
      </c>
      <c r="S842" s="451" t="n">
        <f aca="false">S841-Débit*pas</f>
        <v>8.652</v>
      </c>
      <c r="T842" s="449" t="n">
        <f aca="false">m*g</f>
        <v>84.87612</v>
      </c>
      <c r="U842" s="453" t="n">
        <f aca="false">IF(pos_xz&lt;L_rampe,Poids*COS(Beta),0)</f>
        <v>0</v>
      </c>
      <c r="V842" s="450" t="n">
        <f aca="false">Rho_moyen*(20000-Alt_rampe-pos_z)/(20000+Alt_rampe+pos_z)</f>
        <v>1.22672510663987</v>
      </c>
      <c r="W842" s="449" t="n">
        <f aca="false">1/2*Rho*Sref*Cx*vit_xz^2</f>
        <v>52.0983283793186</v>
      </c>
      <c r="X842" s="438"/>
      <c r="Y842" s="454" t="str">
        <f aca="false">IF(AND(pos_z&lt;=0,K841&gt;0),"Impact balistique","") &amp; IF(AND(H843&lt;0,vit_z&gt;=0),"Apogée","") &amp; IF(AND(Poussee=0,Q841&gt;0),"Fin de propulsion","") &amp; IF(AND(L843&gt;L_rampe,pos_xz&lt;=L_rampe),"Sortie de rampe","")</f>
        <v/>
      </c>
      <c r="Z842" s="455" t="str">
        <f aca="false">IF(ABS(t-T_para)&lt;pas/2,"Para","")</f>
        <v/>
      </c>
      <c r="AA842" s="456" t="str">
        <f aca="false">IF(ABS(t-T_satellite)&lt;pas/2,"Satellite","")</f>
        <v/>
      </c>
      <c r="AB842" s="444"/>
      <c r="AC842" s="452" t="e">
        <f aca="false">IF(ABS(t-ROUND(t,0))&lt;0.001,t,NA())</f>
        <v>#N/A</v>
      </c>
      <c r="AD842" s="457" t="e">
        <f aca="false">IF(ABS(t-ROUND(t,0))&lt;0.001,pos_x,NA())</f>
        <v>#N/A</v>
      </c>
      <c r="AE842" s="458" t="e">
        <f aca="false">IF(t&lt;T_para, pos_z, NA())</f>
        <v>#N/A</v>
      </c>
      <c r="AF842" s="444"/>
      <c r="AG842" s="450" t="n">
        <f aca="false">IF(AND(L841&lt;L_rampe,Poussee&lt;Poids*SIN(M841)),0,(-W841+Poussee)/m-Poids*SIN(M841)/m)</f>
        <v>3.69634099782606</v>
      </c>
      <c r="AH842" s="449" t="n">
        <f aca="false">IF(AND(L841&lt;L_rampe,Poussee&lt;Poids*SIN(M841)), g*SIN(M841), (-W841+Poussee)/m)</f>
        <v>-6.02149542010712</v>
      </c>
    </row>
    <row r="843" customFormat="false" ht="12" hidden="false" customHeight="false" outlineLevel="0" collapsed="false">
      <c r="A843" s="448" t="n">
        <f aca="false">IF(B842+0.01&lt;=T_ini+ROUNDUP(Temps_fin_propu,0), 0.01, IF(K842&gt;0, 0.1, 0.0001))</f>
        <v>0.0001</v>
      </c>
      <c r="B843" s="449" t="n">
        <f aca="false">B842+pas</f>
        <v>35.7122000000006</v>
      </c>
      <c r="C843" s="432"/>
      <c r="D843" s="450" t="n">
        <f aca="false">IF(AND(L842&lt;L_rampe,Poussee&lt;Poids*SIN(M842)),0,(-W842+Poussee)/m*COS(M842)-U842/m*SIN(M842))</f>
        <v>-0.823458949740519</v>
      </c>
      <c r="E843" s="451" t="n">
        <f aca="false">IF(AND(L842&lt;L_rampe,Poussee&lt;Poids*SIN(M842)),0,(-W842+Poussee)/m*SIN(M842)+U842/m*COS(M842)-Poids/m)</f>
        <v>-3.84503481682915</v>
      </c>
      <c r="F843" s="449" t="n">
        <f aca="false">SQRT(acc_x^2+acc_z^2)</f>
        <v>3.9322229571244</v>
      </c>
      <c r="G843" s="450" t="n">
        <f aca="false">G842+acc_x*pas</f>
        <v>18.899613931086</v>
      </c>
      <c r="H843" s="451" t="n">
        <f aca="false">H842+acc_z*pas</f>
        <v>-136.905849311678</v>
      </c>
      <c r="I843" s="449" t="n">
        <f aca="false">SQRT(vit_x^2+vit_z^2)</f>
        <v>138.204222014004</v>
      </c>
      <c r="J843" s="450" t="n">
        <f aca="false">J842+0.5*(vit_x+G842)*pas*(K842&gt;=0)</f>
        <v>1017.12580762709</v>
      </c>
      <c r="K843" s="451" t="n">
        <f aca="false">K842+0.5*(vit_z+H842)*pas</f>
        <v>-14.08628488064</v>
      </c>
      <c r="L843" s="449" t="n">
        <f aca="false">SQRT(pos_x^2+pos_z^2)</f>
        <v>1017.22334418887</v>
      </c>
      <c r="M843" s="450" t="n">
        <f aca="false">IF(AND(L842&gt;L_rampe,G843&gt;0),ATAN2(G843,H843),$M$4)</f>
        <v>-1.4336151198779</v>
      </c>
      <c r="N843" s="449" t="n">
        <f aca="false">DEGREES(Beta)</f>
        <v>-82.140095815145</v>
      </c>
      <c r="O843" s="438"/>
      <c r="P843" s="452" t="n">
        <f aca="false">MATCH(t-pas/2-T_ini,CdP_t)</f>
        <v>23</v>
      </c>
      <c r="Q843" s="449" t="n">
        <f aca="false">(INDEX(CdP,2,i_P+1)-INDEX(CdP,2,i_P+0))/(INDEX(CdP,1,i_P+1)-INDEX(CdP,1,i_P+0))*(t-pas/2-T_ini-INDEX(CdP,1,i_P+0))+INDEX(CdP,2,i_P+0)</f>
        <v>0</v>
      </c>
      <c r="R843" s="450" t="n">
        <f aca="false">Poussee/(g*ISP)</f>
        <v>0</v>
      </c>
      <c r="S843" s="451" t="n">
        <f aca="false">S842-Débit*pas</f>
        <v>8.652</v>
      </c>
      <c r="T843" s="449" t="n">
        <f aca="false">m*g</f>
        <v>84.87612</v>
      </c>
      <c r="U843" s="453" t="n">
        <f aca="false">IF(pos_xz&lt;L_rampe,Poids*COS(Beta),0)</f>
        <v>0</v>
      </c>
      <c r="V843" s="450" t="n">
        <f aca="false">Rho_moyen*(20000-Alt_rampe-pos_z)/(20000+Alt_rampe+pos_z)</f>
        <v>1.22672678609792</v>
      </c>
      <c r="W843" s="449" t="n">
        <f aca="false">1/2*Rho*Sref*Cx*vit_xz^2</f>
        <v>52.0986783827251</v>
      </c>
      <c r="X843" s="438"/>
      <c r="Y843" s="454" t="str">
        <f aca="false">IF(AND(pos_z&lt;=0,K842&gt;0),"Impact balistique","") &amp; IF(AND(H844&lt;0,vit_z&gt;=0),"Apogée","") &amp; IF(AND(Poussee=0,Q842&gt;0),"Fin de propulsion","") &amp; IF(AND(L844&gt;L_rampe,pos_xz&lt;=L_rampe),"Sortie de rampe","")</f>
        <v/>
      </c>
      <c r="Z843" s="455" t="str">
        <f aca="false">IF(ABS(t-T_para)&lt;pas/2,"Para","")</f>
        <v/>
      </c>
      <c r="AA843" s="456" t="str">
        <f aca="false">IF(ABS(t-T_satellite)&lt;pas/2,"Satellite","")</f>
        <v/>
      </c>
      <c r="AB843" s="444"/>
      <c r="AC843" s="452" t="e">
        <f aca="false">IF(ABS(t-ROUND(t,0))&lt;0.001,t,NA())</f>
        <v>#N/A</v>
      </c>
      <c r="AD843" s="457" t="e">
        <f aca="false">IF(ABS(t-ROUND(t,0))&lt;0.001,pos_x,NA())</f>
        <v>#N/A</v>
      </c>
      <c r="AE843" s="458" t="e">
        <f aca="false">IF(t&lt;T_para, pos_z, NA())</f>
        <v>#N/A</v>
      </c>
      <c r="AF843" s="444"/>
      <c r="AG843" s="450" t="n">
        <f aca="false">IF(AND(L842&lt;L_rampe,Poussee&lt;Poids*SIN(M842)),0,(-W842+Poussee)/m-Poids*SIN(M842)/m)</f>
        <v>3.69630184646782</v>
      </c>
      <c r="AH843" s="449" t="n">
        <f aca="false">IF(AND(L842&lt;L_rampe,Poussee&lt;Poids*SIN(M842)), g*SIN(M842), (-W842+Poussee)/m)</f>
        <v>-6.02153587370765</v>
      </c>
    </row>
    <row r="844" customFormat="false" ht="12" hidden="false" customHeight="false" outlineLevel="0" collapsed="false">
      <c r="A844" s="448" t="n">
        <f aca="false">IF(B843+0.01&lt;=T_ini+ROUNDUP(Temps_fin_propu,0), 0.01, IF(K843&gt;0, 0.1, 0.0001))</f>
        <v>0.0001</v>
      </c>
      <c r="B844" s="449" t="n">
        <f aca="false">B843+pas</f>
        <v>35.7123000000006</v>
      </c>
      <c r="C844" s="432"/>
      <c r="D844" s="450" t="n">
        <f aca="false">IF(AND(L843&lt;L_rampe,Poussee&lt;Poids*SIN(M843)),0,(-W843+Poussee)/m*COS(M843)-U843/m*SIN(M843))</f>
        <v>-0.82345869165023</v>
      </c>
      <c r="E844" s="451" t="n">
        <f aca="false">IF(AND(L843&lt;L_rampe,Poussee&lt;Poids*SIN(M843)),0,(-W843+Poussee)/m*SIN(M843)+U843/m*COS(M843)-Poids/m)</f>
        <v>-3.84499394408105</v>
      </c>
      <c r="F844" s="449" t="n">
        <f aca="false">SQRT(acc_x^2+acc_z^2)</f>
        <v>3.93218293659823</v>
      </c>
      <c r="G844" s="450" t="n">
        <f aca="false">G843+acc_x*pas</f>
        <v>18.8995315852168</v>
      </c>
      <c r="H844" s="451" t="n">
        <f aca="false">H843+acc_z*pas</f>
        <v>-136.906233811073</v>
      </c>
      <c r="I844" s="449" t="n">
        <f aca="false">SQRT(vit_x^2+vit_z^2)</f>
        <v>138.204591640339</v>
      </c>
      <c r="J844" s="450" t="n">
        <f aca="false">J843+0.5*(vit_x+G843)*pas*(K843&gt;=0)</f>
        <v>1017.12580762709</v>
      </c>
      <c r="K844" s="451" t="n">
        <f aca="false">K843+0.5*(vit_z+H843)*pas</f>
        <v>-14.0999754847962</v>
      </c>
      <c r="L844" s="449" t="n">
        <f aca="false">SQRT(pos_x^2+pos_z^2)</f>
        <v>1017.22353386546</v>
      </c>
      <c r="M844" s="450" t="n">
        <f aca="false">IF(AND(L843&gt;L_rampe,G844&gt;0),ATAN2(G844,H844),$M$4)</f>
        <v>-1.43361609056254</v>
      </c>
      <c r="N844" s="449" t="n">
        <f aca="false">DEGREES(Beta)</f>
        <v>-82.1401514312781</v>
      </c>
      <c r="O844" s="438"/>
      <c r="P844" s="452" t="n">
        <f aca="false">MATCH(t-pas/2-T_ini,CdP_t)</f>
        <v>23</v>
      </c>
      <c r="Q844" s="449" t="n">
        <f aca="false">(INDEX(CdP,2,i_P+1)-INDEX(CdP,2,i_P+0))/(INDEX(CdP,1,i_P+1)-INDEX(CdP,1,i_P+0))*(t-pas/2-T_ini-INDEX(CdP,1,i_P+0))+INDEX(CdP,2,i_P+0)</f>
        <v>0</v>
      </c>
      <c r="R844" s="450" t="n">
        <f aca="false">Poussee/(g*ISP)</f>
        <v>0</v>
      </c>
      <c r="S844" s="451" t="n">
        <f aca="false">S843-Débit*pas</f>
        <v>8.652</v>
      </c>
      <c r="T844" s="449" t="n">
        <f aca="false">m*g</f>
        <v>84.87612</v>
      </c>
      <c r="U844" s="453" t="n">
        <f aca="false">IF(pos_xz&lt;L_rampe,Poids*COS(Beta),0)</f>
        <v>0</v>
      </c>
      <c r="V844" s="450" t="n">
        <f aca="false">Rho_moyen*(20000-Alt_rampe-pos_z)/(20000+Alt_rampe+pos_z)</f>
        <v>1.22672846556299</v>
      </c>
      <c r="W844" s="449" t="n">
        <f aca="false">1/2*Rho*Sref*Cx*vit_xz^2</f>
        <v>52.0990283849862</v>
      </c>
      <c r="X844" s="438"/>
      <c r="Y844" s="454" t="str">
        <f aca="false">IF(AND(pos_z&lt;=0,K843&gt;0),"Impact balistique","") &amp; IF(AND(H845&lt;0,vit_z&gt;=0),"Apogée","") &amp; IF(AND(Poussee=0,Q843&gt;0),"Fin de propulsion","") &amp; IF(AND(L845&gt;L_rampe,pos_xz&lt;=L_rampe),"Sortie de rampe","")</f>
        <v/>
      </c>
      <c r="Z844" s="455" t="str">
        <f aca="false">IF(ABS(t-T_para)&lt;pas/2,"Para","")</f>
        <v/>
      </c>
      <c r="AA844" s="456" t="str">
        <f aca="false">IF(ABS(t-T_satellite)&lt;pas/2,"Satellite","")</f>
        <v/>
      </c>
      <c r="AB844" s="444"/>
      <c r="AC844" s="452" t="e">
        <f aca="false">IF(ABS(t-ROUND(t,0))&lt;0.001,t,NA())</f>
        <v>#N/A</v>
      </c>
      <c r="AD844" s="457" t="e">
        <f aca="false">IF(ABS(t-ROUND(t,0))&lt;0.001,pos_x,NA())</f>
        <v>#N/A</v>
      </c>
      <c r="AE844" s="458" t="e">
        <f aca="false">IF(t&lt;T_para, pos_z, NA())</f>
        <v>#N/A</v>
      </c>
      <c r="AF844" s="444"/>
      <c r="AG844" s="450" t="n">
        <f aca="false">IF(AND(L843&lt;L_rampe,Poussee&lt;Poids*SIN(M843)),0,(-W843+Poussee)/m-Poids*SIN(M843)/m)</f>
        <v>3.69626269522017</v>
      </c>
      <c r="AH844" s="449" t="n">
        <f aca="false">IF(AND(L843&lt;L_rampe,Poussee&lt;Poids*SIN(M843)), g*SIN(M843), (-W843+Poussee)/m)</f>
        <v>-6.02157632717581</v>
      </c>
    </row>
    <row r="845" customFormat="false" ht="12" hidden="false" customHeight="false" outlineLevel="0" collapsed="false">
      <c r="A845" s="448" t="n">
        <f aca="false">IF(B844+0.01&lt;=T_ini+ROUNDUP(Temps_fin_propu,0), 0.01, IF(K844&gt;0, 0.1, 0.0001))</f>
        <v>0.0001</v>
      </c>
      <c r="B845" s="449" t="n">
        <f aca="false">B844+pas</f>
        <v>35.7124000000006</v>
      </c>
      <c r="C845" s="432"/>
      <c r="D845" s="450" t="n">
        <f aca="false">IF(AND(L844&lt;L_rampe,Poussee&lt;Poids*SIN(M844)),0,(-W844+Poussee)/m*COS(M844)-U844/m*SIN(M844))</f>
        <v>-0.823458433519465</v>
      </c>
      <c r="E845" s="451" t="n">
        <f aca="false">IF(AND(L844&lt;L_rampe,Poussee&lt;Poids*SIN(M844)),0,(-W844+Poussee)/m*SIN(M844)+U844/m*COS(M844)-Poids/m)</f>
        <v>-3.84495307146672</v>
      </c>
      <c r="F845" s="449" t="n">
        <f aca="false">SQRT(acc_x^2+acc_z^2)</f>
        <v>3.93214291621193</v>
      </c>
      <c r="G845" s="450" t="n">
        <f aca="false">G844+acc_x*pas</f>
        <v>18.8994492393735</v>
      </c>
      <c r="H845" s="451" t="n">
        <f aca="false">H844+acc_z*pas</f>
        <v>-136.90661830638</v>
      </c>
      <c r="I845" s="449" t="n">
        <f aca="false">SQRT(vit_x^2+vit_z^2)</f>
        <v>138.204961262758</v>
      </c>
      <c r="J845" s="450" t="n">
        <f aca="false">J844+0.5*(vit_x+G844)*pas*(K844&gt;=0)</f>
        <v>1017.12580762709</v>
      </c>
      <c r="K845" s="451" t="n">
        <f aca="false">K844+0.5*(vit_z+H844)*pas</f>
        <v>-14.1136661274021</v>
      </c>
      <c r="L845" s="449" t="n">
        <f aca="false">SQRT(pos_x^2+pos_z^2)</f>
        <v>1017.2237237268</v>
      </c>
      <c r="M845" s="450" t="n">
        <f aca="false">IF(AND(L844&gt;L_rampe,G845&gt;0),ATAN2(G845,H845),$M$4)</f>
        <v>-1.43361706123775</v>
      </c>
      <c r="N845" s="449" t="n">
        <f aca="false">DEGREES(Beta)</f>
        <v>-82.1402070468714</v>
      </c>
      <c r="O845" s="438"/>
      <c r="P845" s="452" t="n">
        <f aca="false">MATCH(t-pas/2-T_ini,CdP_t)</f>
        <v>23</v>
      </c>
      <c r="Q845" s="449" t="n">
        <f aca="false">(INDEX(CdP,2,i_P+1)-INDEX(CdP,2,i_P+0))/(INDEX(CdP,1,i_P+1)-INDEX(CdP,1,i_P+0))*(t-pas/2-T_ini-INDEX(CdP,1,i_P+0))+INDEX(CdP,2,i_P+0)</f>
        <v>0</v>
      </c>
      <c r="R845" s="450" t="n">
        <f aca="false">Poussee/(g*ISP)</f>
        <v>0</v>
      </c>
      <c r="S845" s="451" t="n">
        <f aca="false">S844-Débit*pas</f>
        <v>8.652</v>
      </c>
      <c r="T845" s="449" t="n">
        <f aca="false">m*g</f>
        <v>84.87612</v>
      </c>
      <c r="U845" s="453" t="n">
        <f aca="false">IF(pos_xz&lt;L_rampe,Poids*COS(Beta),0)</f>
        <v>0</v>
      </c>
      <c r="V845" s="450" t="n">
        <f aca="false">Rho_moyen*(20000-Alt_rampe-pos_z)/(20000+Alt_rampe+pos_z)</f>
        <v>1.22673014503508</v>
      </c>
      <c r="W845" s="449" t="n">
        <f aca="false">1/2*Rho*Sref*Cx*vit_xz^2</f>
        <v>52.099378386102</v>
      </c>
      <c r="X845" s="438"/>
      <c r="Y845" s="454" t="str">
        <f aca="false">IF(AND(pos_z&lt;=0,K844&gt;0),"Impact balistique","") &amp; IF(AND(H846&lt;0,vit_z&gt;=0),"Apogée","") &amp; IF(AND(Poussee=0,Q844&gt;0),"Fin de propulsion","") &amp; IF(AND(L846&gt;L_rampe,pos_xz&lt;=L_rampe),"Sortie de rampe","")</f>
        <v/>
      </c>
      <c r="Z845" s="455" t="str">
        <f aca="false">IF(ABS(t-T_para)&lt;pas/2,"Para","")</f>
        <v/>
      </c>
      <c r="AA845" s="456" t="str">
        <f aca="false">IF(ABS(t-T_satellite)&lt;pas/2,"Satellite","")</f>
        <v/>
      </c>
      <c r="AB845" s="444"/>
      <c r="AC845" s="452" t="e">
        <f aca="false">IF(ABS(t-ROUND(t,0))&lt;0.001,t,NA())</f>
        <v>#N/A</v>
      </c>
      <c r="AD845" s="457" t="e">
        <f aca="false">IF(ABS(t-ROUND(t,0))&lt;0.001,pos_x,NA())</f>
        <v>#N/A</v>
      </c>
      <c r="AE845" s="458" t="e">
        <f aca="false">IF(t&lt;T_para, pos_z, NA())</f>
        <v>#N/A</v>
      </c>
      <c r="AF845" s="444"/>
      <c r="AG845" s="450" t="n">
        <f aca="false">IF(AND(L844&lt;L_rampe,Poussee&lt;Poids*SIN(M844)),0,(-W844+Poussee)/m-Poids*SIN(M844)/m)</f>
        <v>3.69622354408311</v>
      </c>
      <c r="AH845" s="449" t="n">
        <f aca="false">IF(AND(L844&lt;L_rampe,Poussee&lt;Poids*SIN(M844)), g*SIN(M844), (-W844+Poussee)/m)</f>
        <v>-6.02161678051158</v>
      </c>
    </row>
    <row r="846" customFormat="false" ht="12" hidden="false" customHeight="false" outlineLevel="0" collapsed="false">
      <c r="A846" s="448" t="n">
        <f aca="false">IF(B845+0.01&lt;=T_ini+ROUNDUP(Temps_fin_propu,0), 0.01, IF(K845&gt;0, 0.1, 0.0001))</f>
        <v>0.0001</v>
      </c>
      <c r="B846" s="449" t="n">
        <f aca="false">B845+pas</f>
        <v>35.7125000000006</v>
      </c>
      <c r="C846" s="432"/>
      <c r="D846" s="450" t="n">
        <f aca="false">IF(AND(L845&lt;L_rampe,Poussee&lt;Poids*SIN(M845)),0,(-W845+Poussee)/m*COS(M845)-U845/m*SIN(M845))</f>
        <v>-0.823458175348222</v>
      </c>
      <c r="E846" s="451" t="n">
        <f aca="false">IF(AND(L845&lt;L_rampe,Poussee&lt;Poids*SIN(M845)),0,(-W845+Poussee)/m*SIN(M845)+U845/m*COS(M845)-Poids/m)</f>
        <v>-3.84491219898616</v>
      </c>
      <c r="F846" s="449" t="n">
        <f aca="false">SQRT(acc_x^2+acc_z^2)</f>
        <v>3.93210289596552</v>
      </c>
      <c r="G846" s="450" t="n">
        <f aca="false">G845+acc_x*pas</f>
        <v>18.899366893556</v>
      </c>
      <c r="H846" s="451" t="n">
        <f aca="false">H845+acc_z*pas</f>
        <v>-136.9070027976</v>
      </c>
      <c r="I846" s="449" t="n">
        <f aca="false">SQRT(vit_x^2+vit_z^2)</f>
        <v>138.205330881262</v>
      </c>
      <c r="J846" s="450" t="n">
        <f aca="false">J845+0.5*(vit_x+G845)*pas*(K845&gt;=0)</f>
        <v>1017.12580762709</v>
      </c>
      <c r="K846" s="451" t="n">
        <f aca="false">K845+0.5*(vit_z+H845)*pas</f>
        <v>-14.1273568084573</v>
      </c>
      <c r="L846" s="449" t="n">
        <f aca="false">SQRT(pos_x^2+pos_z^2)</f>
        <v>1017.2239137729</v>
      </c>
      <c r="M846" s="450" t="n">
        <f aca="false">IF(AND(L845&gt;L_rampe,G846&gt;0),ATAN2(G846,H846),$M$4)</f>
        <v>-1.43361803190355</v>
      </c>
      <c r="N846" s="449" t="n">
        <f aca="false">DEGREES(Beta)</f>
        <v>-82.140262661925</v>
      </c>
      <c r="O846" s="438"/>
      <c r="P846" s="452" t="n">
        <f aca="false">MATCH(t-pas/2-T_ini,CdP_t)</f>
        <v>23</v>
      </c>
      <c r="Q846" s="449" t="n">
        <f aca="false">(INDEX(CdP,2,i_P+1)-INDEX(CdP,2,i_P+0))/(INDEX(CdP,1,i_P+1)-INDEX(CdP,1,i_P+0))*(t-pas/2-T_ini-INDEX(CdP,1,i_P+0))+INDEX(CdP,2,i_P+0)</f>
        <v>0</v>
      </c>
      <c r="R846" s="450" t="n">
        <f aca="false">Poussee/(g*ISP)</f>
        <v>0</v>
      </c>
      <c r="S846" s="451" t="n">
        <f aca="false">S845-Débit*pas</f>
        <v>8.652</v>
      </c>
      <c r="T846" s="449" t="n">
        <f aca="false">m*g</f>
        <v>84.87612</v>
      </c>
      <c r="U846" s="453" t="n">
        <f aca="false">IF(pos_xz&lt;L_rampe,Poids*COS(Beta),0)</f>
        <v>0</v>
      </c>
      <c r="V846" s="450" t="n">
        <f aca="false">Rho_moyen*(20000-Alt_rampe-pos_z)/(20000+Alt_rampe+pos_z)</f>
        <v>1.22673182451418</v>
      </c>
      <c r="W846" s="449" t="n">
        <f aca="false">1/2*Rho*Sref*Cx*vit_xz^2</f>
        <v>52.0997283860724</v>
      </c>
      <c r="X846" s="438"/>
      <c r="Y846" s="454" t="str">
        <f aca="false">IF(AND(pos_z&lt;=0,K845&gt;0),"Impact balistique","") &amp; IF(AND(H847&lt;0,vit_z&gt;=0),"Apogée","") &amp; IF(AND(Poussee=0,Q845&gt;0),"Fin de propulsion","") &amp; IF(AND(L847&gt;L_rampe,pos_xz&lt;=L_rampe),"Sortie de rampe","")</f>
        <v/>
      </c>
      <c r="Z846" s="455" t="str">
        <f aca="false">IF(ABS(t-T_para)&lt;pas/2,"Para","")</f>
        <v/>
      </c>
      <c r="AA846" s="456" t="str">
        <f aca="false">IF(ABS(t-T_satellite)&lt;pas/2,"Satellite","")</f>
        <v/>
      </c>
      <c r="AB846" s="444"/>
      <c r="AC846" s="452" t="e">
        <f aca="false">IF(ABS(t-ROUND(t,0))&lt;0.001,t,NA())</f>
        <v>#N/A</v>
      </c>
      <c r="AD846" s="457" t="e">
        <f aca="false">IF(ABS(t-ROUND(t,0))&lt;0.001,pos_x,NA())</f>
        <v>#N/A</v>
      </c>
      <c r="AE846" s="458" t="e">
        <f aca="false">IF(t&lt;T_para, pos_z, NA())</f>
        <v>#N/A</v>
      </c>
      <c r="AF846" s="444"/>
      <c r="AG846" s="450" t="n">
        <f aca="false">IF(AND(L845&lt;L_rampe,Poussee&lt;Poids*SIN(M845)),0,(-W845+Poussee)/m-Poids*SIN(M845)/m)</f>
        <v>3.69618439305663</v>
      </c>
      <c r="AH846" s="449" t="n">
        <f aca="false">IF(AND(L845&lt;L_rampe,Poussee&lt;Poids*SIN(M845)), g*SIN(M845), (-W845+Poussee)/m)</f>
        <v>-6.02165723371498</v>
      </c>
    </row>
    <row r="847" customFormat="false" ht="12" hidden="false" customHeight="false" outlineLevel="0" collapsed="false">
      <c r="A847" s="448" t="n">
        <f aca="false">IF(B846+0.01&lt;=T_ini+ROUNDUP(Temps_fin_propu,0), 0.01, IF(K846&gt;0, 0.1, 0.0001))</f>
        <v>0.0001</v>
      </c>
      <c r="B847" s="449" t="n">
        <f aca="false">B846+pas</f>
        <v>35.7126000000006</v>
      </c>
      <c r="C847" s="432"/>
      <c r="D847" s="450" t="n">
        <f aca="false">IF(AND(L846&lt;L_rampe,Poussee&lt;Poids*SIN(M846)),0,(-W846+Poussee)/m*COS(M846)-U846/m*SIN(M846))</f>
        <v>-0.823457917136504</v>
      </c>
      <c r="E847" s="451" t="n">
        <f aca="false">IF(AND(L846&lt;L_rampe,Poussee&lt;Poids*SIN(M846)),0,(-W846+Poussee)/m*SIN(M846)+U846/m*COS(M846)-Poids/m)</f>
        <v>-3.84487132663939</v>
      </c>
      <c r="F847" s="449" t="n">
        <f aca="false">SQRT(acc_x^2+acc_z^2)</f>
        <v>3.932062875859</v>
      </c>
      <c r="G847" s="450" t="n">
        <f aca="false">G846+acc_x*pas</f>
        <v>18.8992845477642</v>
      </c>
      <c r="H847" s="451" t="n">
        <f aca="false">H846+acc_z*pas</f>
        <v>-136.907387284732</v>
      </c>
      <c r="I847" s="449" t="n">
        <f aca="false">SQRT(vit_x^2+vit_z^2)</f>
        <v>138.205700495852</v>
      </c>
      <c r="J847" s="450" t="n">
        <f aca="false">J846+0.5*(vit_x+G846)*pas*(K846&gt;=0)</f>
        <v>1017.12580762709</v>
      </c>
      <c r="K847" s="451" t="n">
        <f aca="false">K846+0.5*(vit_z+H846)*pas</f>
        <v>-14.1410475279614</v>
      </c>
      <c r="L847" s="449" t="n">
        <f aca="false">SQRT(pos_x^2+pos_z^2)</f>
        <v>1017.22410400376</v>
      </c>
      <c r="M847" s="450" t="n">
        <f aca="false">IF(AND(L846&gt;L_rampe,G847&gt;0),ATAN2(G847,H847),$M$4)</f>
        <v>-1.43361900255993</v>
      </c>
      <c r="N847" s="449" t="n">
        <f aca="false">DEGREES(Beta)</f>
        <v>-82.1403182764387</v>
      </c>
      <c r="O847" s="438"/>
      <c r="P847" s="452" t="n">
        <f aca="false">MATCH(t-pas/2-T_ini,CdP_t)</f>
        <v>23</v>
      </c>
      <c r="Q847" s="449" t="n">
        <f aca="false">(INDEX(CdP,2,i_P+1)-INDEX(CdP,2,i_P+0))/(INDEX(CdP,1,i_P+1)-INDEX(CdP,1,i_P+0))*(t-pas/2-T_ini-INDEX(CdP,1,i_P+0))+INDEX(CdP,2,i_P+0)</f>
        <v>0</v>
      </c>
      <c r="R847" s="450" t="n">
        <f aca="false">Poussee/(g*ISP)</f>
        <v>0</v>
      </c>
      <c r="S847" s="451" t="n">
        <f aca="false">S846-Débit*pas</f>
        <v>8.652</v>
      </c>
      <c r="T847" s="449" t="n">
        <f aca="false">m*g</f>
        <v>84.87612</v>
      </c>
      <c r="U847" s="453" t="n">
        <f aca="false">IF(pos_xz&lt;L_rampe,Poids*COS(Beta),0)</f>
        <v>0</v>
      </c>
      <c r="V847" s="450" t="n">
        <f aca="false">Rho_moyen*(20000-Alt_rampe-pos_z)/(20000+Alt_rampe+pos_z)</f>
        <v>1.2267335040003</v>
      </c>
      <c r="W847" s="449" t="n">
        <f aca="false">1/2*Rho*Sref*Cx*vit_xz^2</f>
        <v>52.1000783848974</v>
      </c>
      <c r="X847" s="438"/>
      <c r="Y847" s="454" t="str">
        <f aca="false">IF(AND(pos_z&lt;=0,K846&gt;0),"Impact balistique","") &amp; IF(AND(H848&lt;0,vit_z&gt;=0),"Apogée","") &amp; IF(AND(Poussee=0,Q846&gt;0),"Fin de propulsion","") &amp; IF(AND(L848&gt;L_rampe,pos_xz&lt;=L_rampe),"Sortie de rampe","")</f>
        <v/>
      </c>
      <c r="Z847" s="455" t="str">
        <f aca="false">IF(ABS(t-T_para)&lt;pas/2,"Para","")</f>
        <v/>
      </c>
      <c r="AA847" s="456" t="str">
        <f aca="false">IF(ABS(t-T_satellite)&lt;pas/2,"Satellite","")</f>
        <v/>
      </c>
      <c r="AB847" s="444"/>
      <c r="AC847" s="452" t="e">
        <f aca="false">IF(ABS(t-ROUND(t,0))&lt;0.001,t,NA())</f>
        <v>#N/A</v>
      </c>
      <c r="AD847" s="457" t="e">
        <f aca="false">IF(ABS(t-ROUND(t,0))&lt;0.001,pos_x,NA())</f>
        <v>#N/A</v>
      </c>
      <c r="AE847" s="458" t="e">
        <f aca="false">IF(t&lt;T_para, pos_z, NA())</f>
        <v>#N/A</v>
      </c>
      <c r="AF847" s="444"/>
      <c r="AG847" s="450" t="n">
        <f aca="false">IF(AND(L846&lt;L_rampe,Poussee&lt;Poids*SIN(M846)),0,(-W846+Poussee)/m-Poids*SIN(M846)/m)</f>
        <v>3.69614524214073</v>
      </c>
      <c r="AH847" s="449" t="n">
        <f aca="false">IF(AND(L846&lt;L_rampe,Poussee&lt;Poids*SIN(M846)), g*SIN(M846), (-W846+Poussee)/m)</f>
        <v>-6.02169768678599</v>
      </c>
    </row>
    <row r="848" customFormat="false" ht="12" hidden="false" customHeight="false" outlineLevel="0" collapsed="false">
      <c r="A848" s="448" t="n">
        <f aca="false">IF(B847+0.01&lt;=T_ini+ROUNDUP(Temps_fin_propu,0), 0.01, IF(K847&gt;0, 0.1, 0.0001))</f>
        <v>0.0001</v>
      </c>
      <c r="B848" s="449" t="n">
        <f aca="false">B847+pas</f>
        <v>35.7127000000006</v>
      </c>
      <c r="C848" s="432"/>
      <c r="D848" s="450" t="n">
        <f aca="false">IF(AND(L847&lt;L_rampe,Poussee&lt;Poids*SIN(M847)),0,(-W847+Poussee)/m*COS(M847)-U847/m*SIN(M847))</f>
        <v>-0.823457658884308</v>
      </c>
      <c r="E848" s="451" t="n">
        <f aca="false">IF(AND(L847&lt;L_rampe,Poussee&lt;Poids*SIN(M847)),0,(-W847+Poussee)/m*SIN(M847)+U847/m*COS(M847)-Poids/m)</f>
        <v>-3.84483045442639</v>
      </c>
      <c r="F848" s="449" t="n">
        <f aca="false">SQRT(acc_x^2+acc_z^2)</f>
        <v>3.93202285589236</v>
      </c>
      <c r="G848" s="450" t="n">
        <f aca="false">G847+acc_x*pas</f>
        <v>18.8992022019983</v>
      </c>
      <c r="H848" s="451" t="n">
        <f aca="false">H847+acc_z*pas</f>
        <v>-136.907771767778</v>
      </c>
      <c r="I848" s="449" t="n">
        <f aca="false">SQRT(vit_x^2+vit_z^2)</f>
        <v>138.206070106526</v>
      </c>
      <c r="J848" s="450" t="n">
        <f aca="false">J847+0.5*(vit_x+G847)*pas*(K847&gt;=0)</f>
        <v>1017.12580762709</v>
      </c>
      <c r="K848" s="451" t="n">
        <f aca="false">K847+0.5*(vit_z+H847)*pas</f>
        <v>-14.154738285914</v>
      </c>
      <c r="L848" s="449" t="n">
        <f aca="false">SQRT(pos_x^2+pos_z^2)</f>
        <v>1017.22429441938</v>
      </c>
      <c r="M848" s="450" t="n">
        <f aca="false">IF(AND(L847&gt;L_rampe,G848&gt;0),ATAN2(G848,H848),$M$4)</f>
        <v>-1.43361997320688</v>
      </c>
      <c r="N848" s="449" t="n">
        <f aca="false">DEGREES(Beta)</f>
        <v>-82.1403738904126</v>
      </c>
      <c r="O848" s="438"/>
      <c r="P848" s="452" t="n">
        <f aca="false">MATCH(t-pas/2-T_ini,CdP_t)</f>
        <v>23</v>
      </c>
      <c r="Q848" s="449" t="n">
        <f aca="false">(INDEX(CdP,2,i_P+1)-INDEX(CdP,2,i_P+0))/(INDEX(CdP,1,i_P+1)-INDEX(CdP,1,i_P+0))*(t-pas/2-T_ini-INDEX(CdP,1,i_P+0))+INDEX(CdP,2,i_P+0)</f>
        <v>0</v>
      </c>
      <c r="R848" s="450" t="n">
        <f aca="false">Poussee/(g*ISP)</f>
        <v>0</v>
      </c>
      <c r="S848" s="451" t="n">
        <f aca="false">S847-Débit*pas</f>
        <v>8.652</v>
      </c>
      <c r="T848" s="449" t="n">
        <f aca="false">m*g</f>
        <v>84.87612</v>
      </c>
      <c r="U848" s="453" t="n">
        <f aca="false">IF(pos_xz&lt;L_rampe,Poids*COS(Beta),0)</f>
        <v>0</v>
      </c>
      <c r="V848" s="450" t="n">
        <f aca="false">Rho_moyen*(20000-Alt_rampe-pos_z)/(20000+Alt_rampe+pos_z)</f>
        <v>1.22673518349344</v>
      </c>
      <c r="W848" s="449" t="n">
        <f aca="false">1/2*Rho*Sref*Cx*vit_xz^2</f>
        <v>52.1004283825769</v>
      </c>
      <c r="X848" s="438"/>
      <c r="Y848" s="454" t="str">
        <f aca="false">IF(AND(pos_z&lt;=0,K847&gt;0),"Impact balistique","") &amp; IF(AND(H849&lt;0,vit_z&gt;=0),"Apogée","") &amp; IF(AND(Poussee=0,Q847&gt;0),"Fin de propulsion","") &amp; IF(AND(L849&gt;L_rampe,pos_xz&lt;=L_rampe),"Sortie de rampe","")</f>
        <v/>
      </c>
      <c r="Z848" s="455" t="str">
        <f aca="false">IF(ABS(t-T_para)&lt;pas/2,"Para","")</f>
        <v/>
      </c>
      <c r="AA848" s="456" t="str">
        <f aca="false">IF(ABS(t-T_satellite)&lt;pas/2,"Satellite","")</f>
        <v/>
      </c>
      <c r="AB848" s="444"/>
      <c r="AC848" s="452" t="e">
        <f aca="false">IF(ABS(t-ROUND(t,0))&lt;0.001,t,NA())</f>
        <v>#N/A</v>
      </c>
      <c r="AD848" s="457" t="e">
        <f aca="false">IF(ABS(t-ROUND(t,0))&lt;0.001,pos_x,NA())</f>
        <v>#N/A</v>
      </c>
      <c r="AE848" s="458" t="e">
        <f aca="false">IF(t&lt;T_para, pos_z, NA())</f>
        <v>#N/A</v>
      </c>
      <c r="AF848" s="444"/>
      <c r="AG848" s="450" t="n">
        <f aca="false">IF(AND(L847&lt;L_rampe,Poussee&lt;Poids*SIN(M847)),0,(-W847+Poussee)/m-Poids*SIN(M847)/m)</f>
        <v>3.69610609133543</v>
      </c>
      <c r="AH848" s="449" t="n">
        <f aca="false">IF(AND(L847&lt;L_rampe,Poussee&lt;Poids*SIN(M847)), g*SIN(M847), (-W847+Poussee)/m)</f>
        <v>-6.02173813972461</v>
      </c>
    </row>
    <row r="849" customFormat="false" ht="12" hidden="false" customHeight="false" outlineLevel="0" collapsed="false">
      <c r="A849" s="448" t="n">
        <f aca="false">IF(B848+0.01&lt;=T_ini+ROUNDUP(Temps_fin_propu,0), 0.01, IF(K848&gt;0, 0.1, 0.0001))</f>
        <v>0.0001</v>
      </c>
      <c r="B849" s="449" t="n">
        <f aca="false">B848+pas</f>
        <v>35.7128000000006</v>
      </c>
      <c r="C849" s="432"/>
      <c r="D849" s="450" t="n">
        <f aca="false">IF(AND(L848&lt;L_rampe,Poussee&lt;Poids*SIN(M848)),0,(-W848+Poussee)/m*COS(M848)-U848/m*SIN(M848))</f>
        <v>-0.823457400591638</v>
      </c>
      <c r="E849" s="451" t="n">
        <f aca="false">IF(AND(L848&lt;L_rampe,Poussee&lt;Poids*SIN(M848)),0,(-W848+Poussee)/m*SIN(M848)+U848/m*COS(M848)-Poids/m)</f>
        <v>-3.84478958234719</v>
      </c>
      <c r="F849" s="449" t="n">
        <f aca="false">SQRT(acc_x^2+acc_z^2)</f>
        <v>3.93198283606561</v>
      </c>
      <c r="G849" s="450" t="n">
        <f aca="false">G848+acc_x*pas</f>
        <v>18.8991198562583</v>
      </c>
      <c r="H849" s="451" t="n">
        <f aca="false">H848+acc_z*pas</f>
        <v>-136.908156246736</v>
      </c>
      <c r="I849" s="449" t="n">
        <f aca="false">SQRT(vit_x^2+vit_z^2)</f>
        <v>138.206439713285</v>
      </c>
      <c r="J849" s="450" t="n">
        <f aca="false">J848+0.5*(vit_x+G848)*pas*(K848&gt;=0)</f>
        <v>1017.12580762709</v>
      </c>
      <c r="K849" s="451" t="n">
        <f aca="false">K848+0.5*(vit_z+H848)*pas</f>
        <v>-14.1684290823147</v>
      </c>
      <c r="L849" s="449" t="n">
        <f aca="false">SQRT(pos_x^2+pos_z^2)</f>
        <v>1017.22448501976</v>
      </c>
      <c r="M849" s="450" t="n">
        <f aca="false">IF(AND(L848&gt;L_rampe,G849&gt;0),ATAN2(G849,H849),$M$4)</f>
        <v>-1.43362094384442</v>
      </c>
      <c r="N849" s="449" t="n">
        <f aca="false">DEGREES(Beta)</f>
        <v>-82.1404295038468</v>
      </c>
      <c r="O849" s="438"/>
      <c r="P849" s="452" t="n">
        <f aca="false">MATCH(t-pas/2-T_ini,CdP_t)</f>
        <v>23</v>
      </c>
      <c r="Q849" s="449" t="n">
        <f aca="false">(INDEX(CdP,2,i_P+1)-INDEX(CdP,2,i_P+0))/(INDEX(CdP,1,i_P+1)-INDEX(CdP,1,i_P+0))*(t-pas/2-T_ini-INDEX(CdP,1,i_P+0))+INDEX(CdP,2,i_P+0)</f>
        <v>0</v>
      </c>
      <c r="R849" s="450" t="n">
        <f aca="false">Poussee/(g*ISP)</f>
        <v>0</v>
      </c>
      <c r="S849" s="451" t="n">
        <f aca="false">S848-Débit*pas</f>
        <v>8.652</v>
      </c>
      <c r="T849" s="449" t="n">
        <f aca="false">m*g</f>
        <v>84.87612</v>
      </c>
      <c r="U849" s="453" t="n">
        <f aca="false">IF(pos_xz&lt;L_rampe,Poids*COS(Beta),0)</f>
        <v>0</v>
      </c>
      <c r="V849" s="450" t="n">
        <f aca="false">Rho_moyen*(20000-Alt_rampe-pos_z)/(20000+Alt_rampe+pos_z)</f>
        <v>1.22673686299359</v>
      </c>
      <c r="W849" s="449" t="n">
        <f aca="false">1/2*Rho*Sref*Cx*vit_xz^2</f>
        <v>52.100778379111</v>
      </c>
      <c r="X849" s="438"/>
      <c r="Y849" s="454" t="str">
        <f aca="false">IF(AND(pos_z&lt;=0,K848&gt;0),"Impact balistique","") &amp; IF(AND(H850&lt;0,vit_z&gt;=0),"Apogée","") &amp; IF(AND(Poussee=0,Q848&gt;0),"Fin de propulsion","") &amp; IF(AND(L850&gt;L_rampe,pos_xz&lt;=L_rampe),"Sortie de rampe","")</f>
        <v/>
      </c>
      <c r="Z849" s="455" t="str">
        <f aca="false">IF(ABS(t-T_para)&lt;pas/2,"Para","")</f>
        <v/>
      </c>
      <c r="AA849" s="456" t="str">
        <f aca="false">IF(ABS(t-T_satellite)&lt;pas/2,"Satellite","")</f>
        <v/>
      </c>
      <c r="AB849" s="444"/>
      <c r="AC849" s="452" t="e">
        <f aca="false">IF(ABS(t-ROUND(t,0))&lt;0.001,t,NA())</f>
        <v>#N/A</v>
      </c>
      <c r="AD849" s="457" t="e">
        <f aca="false">IF(ABS(t-ROUND(t,0))&lt;0.001,pos_x,NA())</f>
        <v>#N/A</v>
      </c>
      <c r="AE849" s="458" t="e">
        <f aca="false">IF(t&lt;T_para, pos_z, NA())</f>
        <v>#N/A</v>
      </c>
      <c r="AF849" s="444"/>
      <c r="AG849" s="450" t="n">
        <f aca="false">IF(AND(L848&lt;L_rampe,Poussee&lt;Poids*SIN(M848)),0,(-W848+Poussee)/m-Poids*SIN(M848)/m)</f>
        <v>3.69606694064073</v>
      </c>
      <c r="AH849" s="449" t="n">
        <f aca="false">IF(AND(L848&lt;L_rampe,Poussee&lt;Poids*SIN(M848)), g*SIN(M848), (-W848+Poussee)/m)</f>
        <v>-6.02177859253085</v>
      </c>
    </row>
    <row r="850" customFormat="false" ht="12" hidden="false" customHeight="false" outlineLevel="0" collapsed="false">
      <c r="A850" s="448" t="n">
        <f aca="false">IF(B849+0.01&lt;=T_ini+ROUNDUP(Temps_fin_propu,0), 0.01, IF(K849&gt;0, 0.1, 0.0001))</f>
        <v>0.0001</v>
      </c>
      <c r="B850" s="449" t="n">
        <f aca="false">B849+pas</f>
        <v>35.7129000000006</v>
      </c>
      <c r="C850" s="432"/>
      <c r="D850" s="450" t="n">
        <f aca="false">IF(AND(L849&lt;L_rampe,Poussee&lt;Poids*SIN(M849)),0,(-W849+Poussee)/m*COS(M849)-U849/m*SIN(M849))</f>
        <v>-0.823457142258491</v>
      </c>
      <c r="E850" s="451" t="n">
        <f aca="false">IF(AND(L849&lt;L_rampe,Poussee&lt;Poids*SIN(M849)),0,(-W849+Poussee)/m*SIN(M849)+U849/m*COS(M849)-Poids/m)</f>
        <v>-3.84474871040177</v>
      </c>
      <c r="F850" s="449" t="n">
        <f aca="false">SQRT(acc_x^2+acc_z^2)</f>
        <v>3.93194281637876</v>
      </c>
      <c r="G850" s="450" t="n">
        <f aca="false">G849+acc_x*pas</f>
        <v>18.8990375105441</v>
      </c>
      <c r="H850" s="451" t="n">
        <f aca="false">H849+acc_z*pas</f>
        <v>-136.908540721607</v>
      </c>
      <c r="I850" s="449" t="n">
        <f aca="false">SQRT(vit_x^2+vit_z^2)</f>
        <v>138.206809316129</v>
      </c>
      <c r="J850" s="450" t="n">
        <f aca="false">J849+0.5*(vit_x+G849)*pas*(K849&gt;=0)</f>
        <v>1017.12580762709</v>
      </c>
      <c r="K850" s="451" t="n">
        <f aca="false">K849+0.5*(vit_z+H849)*pas</f>
        <v>-14.1821199171631</v>
      </c>
      <c r="L850" s="449" t="n">
        <f aca="false">SQRT(pos_x^2+pos_z^2)</f>
        <v>1017.22467580491</v>
      </c>
      <c r="M850" s="450" t="n">
        <f aca="false">IF(AND(L849&gt;L_rampe,G850&gt;0),ATAN2(G850,H850),$M$4)</f>
        <v>-1.43362191447253</v>
      </c>
      <c r="N850" s="449" t="n">
        <f aca="false">DEGREES(Beta)</f>
        <v>-82.1404851167412</v>
      </c>
      <c r="O850" s="438"/>
      <c r="P850" s="452" t="n">
        <f aca="false">MATCH(t-pas/2-T_ini,CdP_t)</f>
        <v>23</v>
      </c>
      <c r="Q850" s="449" t="n">
        <f aca="false">(INDEX(CdP,2,i_P+1)-INDEX(CdP,2,i_P+0))/(INDEX(CdP,1,i_P+1)-INDEX(CdP,1,i_P+0))*(t-pas/2-T_ini-INDEX(CdP,1,i_P+0))+INDEX(CdP,2,i_P+0)</f>
        <v>0</v>
      </c>
      <c r="R850" s="450" t="n">
        <f aca="false">Poussee/(g*ISP)</f>
        <v>0</v>
      </c>
      <c r="S850" s="451" t="n">
        <f aca="false">S849-Débit*pas</f>
        <v>8.652</v>
      </c>
      <c r="T850" s="449" t="n">
        <f aca="false">m*g</f>
        <v>84.87612</v>
      </c>
      <c r="U850" s="453" t="n">
        <f aca="false">IF(pos_xz&lt;L_rampe,Poids*COS(Beta),0)</f>
        <v>0</v>
      </c>
      <c r="V850" s="450" t="n">
        <f aca="false">Rho_moyen*(20000-Alt_rampe-pos_z)/(20000+Alt_rampe+pos_z)</f>
        <v>1.22673854250076</v>
      </c>
      <c r="W850" s="449" t="n">
        <f aca="false">1/2*Rho*Sref*Cx*vit_xz^2</f>
        <v>52.1011283744996</v>
      </c>
      <c r="X850" s="438"/>
      <c r="Y850" s="454" t="str">
        <f aca="false">IF(AND(pos_z&lt;=0,K849&gt;0),"Impact balistique","") &amp; IF(AND(H851&lt;0,vit_z&gt;=0),"Apogée","") &amp; IF(AND(Poussee=0,Q849&gt;0),"Fin de propulsion","") &amp; IF(AND(L851&gt;L_rampe,pos_xz&lt;=L_rampe),"Sortie de rampe","")</f>
        <v/>
      </c>
      <c r="Z850" s="455" t="str">
        <f aca="false">IF(ABS(t-T_para)&lt;pas/2,"Para","")</f>
        <v/>
      </c>
      <c r="AA850" s="456" t="str">
        <f aca="false">IF(ABS(t-T_satellite)&lt;pas/2,"Satellite","")</f>
        <v/>
      </c>
      <c r="AB850" s="444"/>
      <c r="AC850" s="452" t="e">
        <f aca="false">IF(ABS(t-ROUND(t,0))&lt;0.001,t,NA())</f>
        <v>#N/A</v>
      </c>
      <c r="AD850" s="457" t="e">
        <f aca="false">IF(ABS(t-ROUND(t,0))&lt;0.001,pos_x,NA())</f>
        <v>#N/A</v>
      </c>
      <c r="AE850" s="458" t="e">
        <f aca="false">IF(t&lt;T_para, pos_z, NA())</f>
        <v>#N/A</v>
      </c>
      <c r="AF850" s="444"/>
      <c r="AG850" s="450" t="n">
        <f aca="false">IF(AND(L849&lt;L_rampe,Poussee&lt;Poids*SIN(M849)),0,(-W849+Poussee)/m-Poids*SIN(M849)/m)</f>
        <v>3.69602779005662</v>
      </c>
      <c r="AH850" s="449" t="n">
        <f aca="false">IF(AND(L849&lt;L_rampe,Poussee&lt;Poids*SIN(M849)), g*SIN(M849), (-W849+Poussee)/m)</f>
        <v>-6.02181904520469</v>
      </c>
    </row>
    <row r="851" customFormat="false" ht="12" hidden="false" customHeight="false" outlineLevel="0" collapsed="false">
      <c r="A851" s="448" t="n">
        <f aca="false">IF(B850+0.01&lt;=T_ini+ROUNDUP(Temps_fin_propu,0), 0.01, IF(K850&gt;0, 0.1, 0.0001))</f>
        <v>0.0001</v>
      </c>
      <c r="B851" s="449" t="n">
        <f aca="false">B850+pas</f>
        <v>35.7130000000006</v>
      </c>
      <c r="C851" s="432"/>
      <c r="D851" s="450" t="n">
        <f aca="false">IF(AND(L850&lt;L_rampe,Poussee&lt;Poids*SIN(M850)),0,(-W850+Poussee)/m*COS(M850)-U850/m*SIN(M850))</f>
        <v>-0.82345688388487</v>
      </c>
      <c r="E851" s="451" t="n">
        <f aca="false">IF(AND(L850&lt;L_rampe,Poussee&lt;Poids*SIN(M850)),0,(-W850+Poussee)/m*SIN(M850)+U850/m*COS(M850)-Poids/m)</f>
        <v>-3.84470783859013</v>
      </c>
      <c r="F851" s="449" t="n">
        <f aca="false">SQRT(acc_x^2+acc_z^2)</f>
        <v>3.93190279683181</v>
      </c>
      <c r="G851" s="450" t="n">
        <f aca="false">G850+acc_x*pas</f>
        <v>18.8989551648557</v>
      </c>
      <c r="H851" s="451" t="n">
        <f aca="false">H850+acc_z*pas</f>
        <v>-136.908925192391</v>
      </c>
      <c r="I851" s="449" t="n">
        <f aca="false">SQRT(vit_x^2+vit_z^2)</f>
        <v>138.207178915058</v>
      </c>
      <c r="J851" s="450" t="n">
        <f aca="false">J850+0.5*(vit_x+G850)*pas*(K850&gt;=0)</f>
        <v>1017.12580762709</v>
      </c>
      <c r="K851" s="451" t="n">
        <f aca="false">K850+0.5*(vit_z+H850)*pas</f>
        <v>-14.1958107904588</v>
      </c>
      <c r="L851" s="449" t="n">
        <f aca="false">SQRT(pos_x^2+pos_z^2)</f>
        <v>1017.22486677482</v>
      </c>
      <c r="M851" s="450" t="n">
        <f aca="false">IF(AND(L850&gt;L_rampe,G851&gt;0),ATAN2(G851,H851),$M$4)</f>
        <v>-1.43362288509123</v>
      </c>
      <c r="N851" s="449" t="n">
        <f aca="false">DEGREES(Beta)</f>
        <v>-82.1405407290959</v>
      </c>
      <c r="O851" s="438"/>
      <c r="P851" s="452" t="n">
        <f aca="false">MATCH(t-pas/2-T_ini,CdP_t)</f>
        <v>23</v>
      </c>
      <c r="Q851" s="449" t="n">
        <f aca="false">(INDEX(CdP,2,i_P+1)-INDEX(CdP,2,i_P+0))/(INDEX(CdP,1,i_P+1)-INDEX(CdP,1,i_P+0))*(t-pas/2-T_ini-INDEX(CdP,1,i_P+0))+INDEX(CdP,2,i_P+0)</f>
        <v>0</v>
      </c>
      <c r="R851" s="450" t="n">
        <f aca="false">Poussee/(g*ISP)</f>
        <v>0</v>
      </c>
      <c r="S851" s="451" t="n">
        <f aca="false">S850-Débit*pas</f>
        <v>8.652</v>
      </c>
      <c r="T851" s="449" t="n">
        <f aca="false">m*g</f>
        <v>84.87612</v>
      </c>
      <c r="U851" s="453" t="n">
        <f aca="false">IF(pos_xz&lt;L_rampe,Poids*COS(Beta),0)</f>
        <v>0</v>
      </c>
      <c r="V851" s="450" t="n">
        <f aca="false">Rho_moyen*(20000-Alt_rampe-pos_z)/(20000+Alt_rampe+pos_z)</f>
        <v>1.22674022201495</v>
      </c>
      <c r="W851" s="449" t="n">
        <f aca="false">1/2*Rho*Sref*Cx*vit_xz^2</f>
        <v>52.1014783687427</v>
      </c>
      <c r="X851" s="438"/>
      <c r="Y851" s="454" t="str">
        <f aca="false">IF(AND(pos_z&lt;=0,K850&gt;0),"Impact balistique","") &amp; IF(AND(H852&lt;0,vit_z&gt;=0),"Apogée","") &amp; IF(AND(Poussee=0,Q850&gt;0),"Fin de propulsion","") &amp; IF(AND(L852&gt;L_rampe,pos_xz&lt;=L_rampe),"Sortie de rampe","")</f>
        <v/>
      </c>
      <c r="Z851" s="455" t="str">
        <f aca="false">IF(ABS(t-T_para)&lt;pas/2,"Para","")</f>
        <v/>
      </c>
      <c r="AA851" s="456" t="str">
        <f aca="false">IF(ABS(t-T_satellite)&lt;pas/2,"Satellite","")</f>
        <v/>
      </c>
      <c r="AB851" s="444"/>
      <c r="AC851" s="452" t="e">
        <f aca="false">IF(ABS(t-ROUND(t,0))&lt;0.001,t,NA())</f>
        <v>#N/A</v>
      </c>
      <c r="AD851" s="457" t="e">
        <f aca="false">IF(ABS(t-ROUND(t,0))&lt;0.001,pos_x,NA())</f>
        <v>#N/A</v>
      </c>
      <c r="AE851" s="458" t="e">
        <f aca="false">IF(t&lt;T_para, pos_z, NA())</f>
        <v>#N/A</v>
      </c>
      <c r="AF851" s="444"/>
      <c r="AG851" s="450" t="n">
        <f aca="false">IF(AND(L850&lt;L_rampe,Poussee&lt;Poids*SIN(M850)),0,(-W850+Poussee)/m-Poids*SIN(M850)/m)</f>
        <v>3.69598863958312</v>
      </c>
      <c r="AH851" s="449" t="n">
        <f aca="false">IF(AND(L850&lt;L_rampe,Poussee&lt;Poids*SIN(M850)), g*SIN(M850), (-W850+Poussee)/m)</f>
        <v>-6.02185949774614</v>
      </c>
    </row>
    <row r="852" customFormat="false" ht="12" hidden="false" customHeight="false" outlineLevel="0" collapsed="false">
      <c r="A852" s="448" t="n">
        <f aca="false">IF(B851+0.01&lt;=T_ini+ROUNDUP(Temps_fin_propu,0), 0.01, IF(K851&gt;0, 0.1, 0.0001))</f>
        <v>0.0001</v>
      </c>
      <c r="B852" s="449" t="n">
        <f aca="false">B851+pas</f>
        <v>35.7131000000006</v>
      </c>
      <c r="C852" s="432"/>
      <c r="D852" s="450" t="n">
        <f aca="false">IF(AND(L851&lt;L_rampe,Poussee&lt;Poids*SIN(M851)),0,(-W851+Poussee)/m*COS(M851)-U851/m*SIN(M851))</f>
        <v>-0.823456625470775</v>
      </c>
      <c r="E852" s="451" t="n">
        <f aca="false">IF(AND(L851&lt;L_rampe,Poussee&lt;Poids*SIN(M851)),0,(-W851+Poussee)/m*SIN(M851)+U851/m*COS(M851)-Poids/m)</f>
        <v>-3.8446669669123</v>
      </c>
      <c r="F852" s="449" t="n">
        <f aca="false">SQRT(acc_x^2+acc_z^2)</f>
        <v>3.93186277742476</v>
      </c>
      <c r="G852" s="450" t="n">
        <f aca="false">G851+acc_x*pas</f>
        <v>18.8988728191931</v>
      </c>
      <c r="H852" s="451" t="n">
        <f aca="false">H851+acc_z*pas</f>
        <v>-136.909309659088</v>
      </c>
      <c r="I852" s="449" t="n">
        <f aca="false">SQRT(vit_x^2+vit_z^2)</f>
        <v>138.207548510072</v>
      </c>
      <c r="J852" s="450" t="n">
        <f aca="false">J851+0.5*(vit_x+G851)*pas*(K851&gt;=0)</f>
        <v>1017.12580762709</v>
      </c>
      <c r="K852" s="451" t="n">
        <f aca="false">K851+0.5*(vit_z+H851)*pas</f>
        <v>-14.2095017022014</v>
      </c>
      <c r="L852" s="449" t="n">
        <f aca="false">SQRT(pos_x^2+pos_z^2)</f>
        <v>1017.2250579295</v>
      </c>
      <c r="M852" s="450" t="n">
        <f aca="false">IF(AND(L851&gt;L_rampe,G852&gt;0),ATAN2(G852,H852),$M$4)</f>
        <v>-1.4336238557005</v>
      </c>
      <c r="N852" s="449" t="n">
        <f aca="false">DEGREES(Beta)</f>
        <v>-82.1405963409108</v>
      </c>
      <c r="O852" s="438"/>
      <c r="P852" s="452" t="n">
        <f aca="false">MATCH(t-pas/2-T_ini,CdP_t)</f>
        <v>23</v>
      </c>
      <c r="Q852" s="449" t="n">
        <f aca="false">(INDEX(CdP,2,i_P+1)-INDEX(CdP,2,i_P+0))/(INDEX(CdP,1,i_P+1)-INDEX(CdP,1,i_P+0))*(t-pas/2-T_ini-INDEX(CdP,1,i_P+0))+INDEX(CdP,2,i_P+0)</f>
        <v>0</v>
      </c>
      <c r="R852" s="450" t="n">
        <f aca="false">Poussee/(g*ISP)</f>
        <v>0</v>
      </c>
      <c r="S852" s="451" t="n">
        <f aca="false">S851-Débit*pas</f>
        <v>8.652</v>
      </c>
      <c r="T852" s="449" t="n">
        <f aca="false">m*g</f>
        <v>84.87612</v>
      </c>
      <c r="U852" s="453" t="n">
        <f aca="false">IF(pos_xz&lt;L_rampe,Poids*COS(Beta),0)</f>
        <v>0</v>
      </c>
      <c r="V852" s="450" t="n">
        <f aca="false">Rho_moyen*(20000-Alt_rampe-pos_z)/(20000+Alt_rampe+pos_z)</f>
        <v>1.22674190153616</v>
      </c>
      <c r="W852" s="449" t="n">
        <f aca="false">1/2*Rho*Sref*Cx*vit_xz^2</f>
        <v>52.1018283618403</v>
      </c>
      <c r="X852" s="438"/>
      <c r="Y852" s="454" t="str">
        <f aca="false">IF(AND(pos_z&lt;=0,K851&gt;0),"Impact balistique","") &amp; IF(AND(H853&lt;0,vit_z&gt;=0),"Apogée","") &amp; IF(AND(Poussee=0,Q851&gt;0),"Fin de propulsion","") &amp; IF(AND(L853&gt;L_rampe,pos_xz&lt;=L_rampe),"Sortie de rampe","")</f>
        <v/>
      </c>
      <c r="Z852" s="455" t="str">
        <f aca="false">IF(ABS(t-T_para)&lt;pas/2,"Para","")</f>
        <v/>
      </c>
      <c r="AA852" s="456" t="str">
        <f aca="false">IF(ABS(t-T_satellite)&lt;pas/2,"Satellite","")</f>
        <v/>
      </c>
      <c r="AB852" s="444"/>
      <c r="AC852" s="452" t="e">
        <f aca="false">IF(ABS(t-ROUND(t,0))&lt;0.001,t,NA())</f>
        <v>#N/A</v>
      </c>
      <c r="AD852" s="457" t="e">
        <f aca="false">IF(ABS(t-ROUND(t,0))&lt;0.001,pos_x,NA())</f>
        <v>#N/A</v>
      </c>
      <c r="AE852" s="458" t="e">
        <f aca="false">IF(t&lt;T_para, pos_z, NA())</f>
        <v>#N/A</v>
      </c>
      <c r="AF852" s="444"/>
      <c r="AG852" s="450" t="n">
        <f aca="false">IF(AND(L851&lt;L_rampe,Poussee&lt;Poids*SIN(M851)),0,(-W851+Poussee)/m-Poids*SIN(M851)/m)</f>
        <v>3.69594948922022</v>
      </c>
      <c r="AH852" s="449" t="n">
        <f aca="false">IF(AND(L851&lt;L_rampe,Poussee&lt;Poids*SIN(M851)), g*SIN(M851), (-W851+Poussee)/m)</f>
        <v>-6.02189995015519</v>
      </c>
    </row>
    <row r="853" customFormat="false" ht="12" hidden="false" customHeight="false" outlineLevel="0" collapsed="false">
      <c r="A853" s="448" t="n">
        <f aca="false">IF(B852+0.01&lt;=T_ini+ROUNDUP(Temps_fin_propu,0), 0.01, IF(K852&gt;0, 0.1, 0.0001))</f>
        <v>0.0001</v>
      </c>
      <c r="B853" s="449" t="n">
        <f aca="false">B852+pas</f>
        <v>35.7132000000006</v>
      </c>
      <c r="C853" s="432"/>
      <c r="D853" s="450" t="n">
        <f aca="false">IF(AND(L852&lt;L_rampe,Poussee&lt;Poids*SIN(M852)),0,(-W852+Poussee)/m*COS(M852)-U852/m*SIN(M852))</f>
        <v>-0.823456367016205</v>
      </c>
      <c r="E853" s="451" t="n">
        <f aca="false">IF(AND(L852&lt;L_rampe,Poussee&lt;Poids*SIN(M852)),0,(-W852+Poussee)/m*SIN(M852)+U852/m*COS(M852)-Poids/m)</f>
        <v>-3.84462609536825</v>
      </c>
      <c r="F853" s="449" t="n">
        <f aca="false">SQRT(acc_x^2+acc_z^2)</f>
        <v>3.9318227581576</v>
      </c>
      <c r="G853" s="450" t="n">
        <f aca="false">G852+acc_x*pas</f>
        <v>18.8987904735564</v>
      </c>
      <c r="H853" s="451" t="n">
        <f aca="false">H852+acc_z*pas</f>
        <v>-136.909694121697</v>
      </c>
      <c r="I853" s="449" t="n">
        <f aca="false">SQRT(vit_x^2+vit_z^2)</f>
        <v>138.207918101171</v>
      </c>
      <c r="J853" s="450" t="n">
        <f aca="false">J852+0.5*(vit_x+G852)*pas*(K852&gt;=0)</f>
        <v>1017.12580762709</v>
      </c>
      <c r="K853" s="451" t="n">
        <f aca="false">K852+0.5*(vit_z+H852)*pas</f>
        <v>-14.2231926523905</v>
      </c>
      <c r="L853" s="449" t="n">
        <f aca="false">SQRT(pos_x^2+pos_z^2)</f>
        <v>1017.22524926895</v>
      </c>
      <c r="M853" s="450" t="n">
        <f aca="false">IF(AND(L852&gt;L_rampe,G853&gt;0),ATAN2(G853,H853),$M$4)</f>
        <v>-1.43362482630035</v>
      </c>
      <c r="N853" s="449" t="n">
        <f aca="false">DEGREES(Beta)</f>
        <v>-82.140651952186</v>
      </c>
      <c r="O853" s="438"/>
      <c r="P853" s="452" t="n">
        <f aca="false">MATCH(t-pas/2-T_ini,CdP_t)</f>
        <v>23</v>
      </c>
      <c r="Q853" s="449" t="n">
        <f aca="false">(INDEX(CdP,2,i_P+1)-INDEX(CdP,2,i_P+0))/(INDEX(CdP,1,i_P+1)-INDEX(CdP,1,i_P+0))*(t-pas/2-T_ini-INDEX(CdP,1,i_P+0))+INDEX(CdP,2,i_P+0)</f>
        <v>0</v>
      </c>
      <c r="R853" s="450" t="n">
        <f aca="false">Poussee/(g*ISP)</f>
        <v>0</v>
      </c>
      <c r="S853" s="451" t="n">
        <f aca="false">S852-Débit*pas</f>
        <v>8.652</v>
      </c>
      <c r="T853" s="449" t="n">
        <f aca="false">m*g</f>
        <v>84.87612</v>
      </c>
      <c r="U853" s="453" t="n">
        <f aca="false">IF(pos_xz&lt;L_rampe,Poids*COS(Beta),0)</f>
        <v>0</v>
      </c>
      <c r="V853" s="450" t="n">
        <f aca="false">Rho_moyen*(20000-Alt_rampe-pos_z)/(20000+Alt_rampe+pos_z)</f>
        <v>1.22674358106439</v>
      </c>
      <c r="W853" s="449" t="n">
        <f aca="false">1/2*Rho*Sref*Cx*vit_xz^2</f>
        <v>52.1021783537923</v>
      </c>
      <c r="X853" s="438"/>
      <c r="Y853" s="454" t="str">
        <f aca="false">IF(AND(pos_z&lt;=0,K852&gt;0),"Impact balistique","") &amp; IF(AND(H854&lt;0,vit_z&gt;=0),"Apogée","") &amp; IF(AND(Poussee=0,Q852&gt;0),"Fin de propulsion","") &amp; IF(AND(L854&gt;L_rampe,pos_xz&lt;=L_rampe),"Sortie de rampe","")</f>
        <v/>
      </c>
      <c r="Z853" s="455" t="str">
        <f aca="false">IF(ABS(t-T_para)&lt;pas/2,"Para","")</f>
        <v/>
      </c>
      <c r="AA853" s="456" t="str">
        <f aca="false">IF(ABS(t-T_satellite)&lt;pas/2,"Satellite","")</f>
        <v/>
      </c>
      <c r="AB853" s="444"/>
      <c r="AC853" s="452" t="e">
        <f aca="false">IF(ABS(t-ROUND(t,0))&lt;0.001,t,NA())</f>
        <v>#N/A</v>
      </c>
      <c r="AD853" s="457" t="e">
        <f aca="false">IF(ABS(t-ROUND(t,0))&lt;0.001,pos_x,NA())</f>
        <v>#N/A</v>
      </c>
      <c r="AE853" s="458" t="e">
        <f aca="false">IF(t&lt;T_para, pos_z, NA())</f>
        <v>#N/A</v>
      </c>
      <c r="AF853" s="444"/>
      <c r="AG853" s="450" t="n">
        <f aca="false">IF(AND(L852&lt;L_rampe,Poussee&lt;Poids*SIN(M852)),0,(-W852+Poussee)/m-Poids*SIN(M852)/m)</f>
        <v>3.69591033896792</v>
      </c>
      <c r="AH853" s="449" t="n">
        <f aca="false">IF(AND(L852&lt;L_rampe,Poussee&lt;Poids*SIN(M852)), g*SIN(M852), (-W852+Poussee)/m)</f>
        <v>-6.02194040243184</v>
      </c>
    </row>
    <row r="854" customFormat="false" ht="12" hidden="false" customHeight="false" outlineLevel="0" collapsed="false">
      <c r="A854" s="448" t="n">
        <f aca="false">IF(B853+0.01&lt;=T_ini+ROUNDUP(Temps_fin_propu,0), 0.01, IF(K853&gt;0, 0.1, 0.0001))</f>
        <v>0.0001</v>
      </c>
      <c r="B854" s="449" t="n">
        <f aca="false">B853+pas</f>
        <v>35.7133000000006</v>
      </c>
      <c r="C854" s="432"/>
      <c r="D854" s="450" t="n">
        <f aca="false">IF(AND(L853&lt;L_rampe,Poussee&lt;Poids*SIN(M853)),0,(-W853+Poussee)/m*COS(M853)-U853/m*SIN(M853))</f>
        <v>-0.82345610852116</v>
      </c>
      <c r="E854" s="451" t="n">
        <f aca="false">IF(AND(L853&lt;L_rampe,Poussee&lt;Poids*SIN(M853)),0,(-W853+Poussee)/m*SIN(M853)+U853/m*COS(M853)-Poids/m)</f>
        <v>-3.844585223958</v>
      </c>
      <c r="F854" s="449" t="n">
        <f aca="false">SQRT(acc_x^2+acc_z^2)</f>
        <v>3.93178273903035</v>
      </c>
      <c r="G854" s="450" t="n">
        <f aca="false">G853+acc_x*pas</f>
        <v>18.8987081279456</v>
      </c>
      <c r="H854" s="451" t="n">
        <f aca="false">H853+acc_z*pas</f>
        <v>-136.91007858022</v>
      </c>
      <c r="I854" s="449" t="n">
        <f aca="false">SQRT(vit_x^2+vit_z^2)</f>
        <v>138.208287688355</v>
      </c>
      <c r="J854" s="450" t="n">
        <f aca="false">J853+0.5*(vit_x+G853)*pas*(K853&gt;=0)</f>
        <v>1017.12580762709</v>
      </c>
      <c r="K854" s="451" t="n">
        <f aca="false">K853+0.5*(vit_z+H853)*pas</f>
        <v>-14.2368836410255</v>
      </c>
      <c r="L854" s="449" t="n">
        <f aca="false">SQRT(pos_x^2+pos_z^2)</f>
        <v>1017.22544079317</v>
      </c>
      <c r="M854" s="450" t="n">
        <f aca="false">IF(AND(L853&gt;L_rampe,G854&gt;0),ATAN2(G854,H854),$M$4)</f>
        <v>-1.43362579689079</v>
      </c>
      <c r="N854" s="449" t="n">
        <f aca="false">DEGREES(Beta)</f>
        <v>-82.1407075629214</v>
      </c>
      <c r="O854" s="438"/>
      <c r="P854" s="452" t="n">
        <f aca="false">MATCH(t-pas/2-T_ini,CdP_t)</f>
        <v>23</v>
      </c>
      <c r="Q854" s="449" t="n">
        <f aca="false">(INDEX(CdP,2,i_P+1)-INDEX(CdP,2,i_P+0))/(INDEX(CdP,1,i_P+1)-INDEX(CdP,1,i_P+0))*(t-pas/2-T_ini-INDEX(CdP,1,i_P+0))+INDEX(CdP,2,i_P+0)</f>
        <v>0</v>
      </c>
      <c r="R854" s="450" t="n">
        <f aca="false">Poussee/(g*ISP)</f>
        <v>0</v>
      </c>
      <c r="S854" s="451" t="n">
        <f aca="false">S853-Débit*pas</f>
        <v>8.652</v>
      </c>
      <c r="T854" s="449" t="n">
        <f aca="false">m*g</f>
        <v>84.87612</v>
      </c>
      <c r="U854" s="453" t="n">
        <f aca="false">IF(pos_xz&lt;L_rampe,Poids*COS(Beta),0)</f>
        <v>0</v>
      </c>
      <c r="V854" s="450" t="n">
        <f aca="false">Rho_moyen*(20000-Alt_rampe-pos_z)/(20000+Alt_rampe+pos_z)</f>
        <v>1.22674526059963</v>
      </c>
      <c r="W854" s="449" t="n">
        <f aca="false">1/2*Rho*Sref*Cx*vit_xz^2</f>
        <v>52.1025283445989</v>
      </c>
      <c r="X854" s="438"/>
      <c r="Y854" s="454" t="str">
        <f aca="false">IF(AND(pos_z&lt;=0,K853&gt;0),"Impact balistique","") &amp; IF(AND(H855&lt;0,vit_z&gt;=0),"Apogée","") &amp; IF(AND(Poussee=0,Q853&gt;0),"Fin de propulsion","") &amp; IF(AND(L855&gt;L_rampe,pos_xz&lt;=L_rampe),"Sortie de rampe","")</f>
        <v/>
      </c>
      <c r="Z854" s="455" t="str">
        <f aca="false">IF(ABS(t-T_para)&lt;pas/2,"Para","")</f>
        <v/>
      </c>
      <c r="AA854" s="456" t="str">
        <f aca="false">IF(ABS(t-T_satellite)&lt;pas/2,"Satellite","")</f>
        <v/>
      </c>
      <c r="AB854" s="444"/>
      <c r="AC854" s="452" t="e">
        <f aca="false">IF(ABS(t-ROUND(t,0))&lt;0.001,t,NA())</f>
        <v>#N/A</v>
      </c>
      <c r="AD854" s="457" t="e">
        <f aca="false">IF(ABS(t-ROUND(t,0))&lt;0.001,pos_x,NA())</f>
        <v>#N/A</v>
      </c>
      <c r="AE854" s="458" t="e">
        <f aca="false">IF(t&lt;T_para, pos_z, NA())</f>
        <v>#N/A</v>
      </c>
      <c r="AF854" s="444"/>
      <c r="AG854" s="450" t="n">
        <f aca="false">IF(AND(L853&lt;L_rampe,Poussee&lt;Poids*SIN(M853)),0,(-W853+Poussee)/m-Poids*SIN(M853)/m)</f>
        <v>3.69587118882624</v>
      </c>
      <c r="AH854" s="449" t="n">
        <f aca="false">IF(AND(L853&lt;L_rampe,Poussee&lt;Poids*SIN(M853)), g*SIN(M853), (-W853+Poussee)/m)</f>
        <v>-6.02198085457609</v>
      </c>
    </row>
    <row r="855" customFormat="false" ht="12" hidden="false" customHeight="false" outlineLevel="0" collapsed="false">
      <c r="A855" s="448" t="n">
        <f aca="false">IF(B854+0.01&lt;=T_ini+ROUNDUP(Temps_fin_propu,0), 0.01, IF(K854&gt;0, 0.1, 0.0001))</f>
        <v>0.0001</v>
      </c>
      <c r="B855" s="449" t="n">
        <f aca="false">B854+pas</f>
        <v>35.7134000000006</v>
      </c>
      <c r="C855" s="432"/>
      <c r="D855" s="450" t="n">
        <f aca="false">IF(AND(L854&lt;L_rampe,Poussee&lt;Poids*SIN(M854)),0,(-W854+Poussee)/m*COS(M854)-U854/m*SIN(M854))</f>
        <v>-0.823455849985643</v>
      </c>
      <c r="E855" s="451" t="n">
        <f aca="false">IF(AND(L854&lt;L_rampe,Poussee&lt;Poids*SIN(M854)),0,(-W854+Poussee)/m*SIN(M854)+U854/m*COS(M854)-Poids/m)</f>
        <v>-3.84454435268155</v>
      </c>
      <c r="F855" s="449" t="n">
        <f aca="false">SQRT(acc_x^2+acc_z^2)</f>
        <v>3.93174272004301</v>
      </c>
      <c r="G855" s="450" t="n">
        <f aca="false">G854+acc_x*pas</f>
        <v>18.8986257823606</v>
      </c>
      <c r="H855" s="451" t="n">
        <f aca="false">H854+acc_z*pas</f>
        <v>-136.910463034655</v>
      </c>
      <c r="I855" s="449" t="n">
        <f aca="false">SQRT(vit_x^2+vit_z^2)</f>
        <v>138.208657271624</v>
      </c>
      <c r="J855" s="450" t="n">
        <f aca="false">J854+0.5*(vit_x+G854)*pas*(K854&gt;=0)</f>
        <v>1017.12580762709</v>
      </c>
      <c r="K855" s="451" t="n">
        <f aca="false">K854+0.5*(vit_z+H854)*pas</f>
        <v>-14.2505746681063</v>
      </c>
      <c r="L855" s="449" t="n">
        <f aca="false">SQRT(pos_x^2+pos_z^2)</f>
        <v>1017.22563250217</v>
      </c>
      <c r="M855" s="450" t="n">
        <f aca="false">IF(AND(L854&gt;L_rampe,G855&gt;0),ATAN2(G855,H855),$M$4)</f>
        <v>-1.4336267674718</v>
      </c>
      <c r="N855" s="449" t="n">
        <f aca="false">DEGREES(Beta)</f>
        <v>-82.1407631731171</v>
      </c>
      <c r="O855" s="438"/>
      <c r="P855" s="452" t="n">
        <f aca="false">MATCH(t-pas/2-T_ini,CdP_t)</f>
        <v>23</v>
      </c>
      <c r="Q855" s="449" t="n">
        <f aca="false">(INDEX(CdP,2,i_P+1)-INDEX(CdP,2,i_P+0))/(INDEX(CdP,1,i_P+1)-INDEX(CdP,1,i_P+0))*(t-pas/2-T_ini-INDEX(CdP,1,i_P+0))+INDEX(CdP,2,i_P+0)</f>
        <v>0</v>
      </c>
      <c r="R855" s="450" t="n">
        <f aca="false">Poussee/(g*ISP)</f>
        <v>0</v>
      </c>
      <c r="S855" s="451" t="n">
        <f aca="false">S854-Débit*pas</f>
        <v>8.652</v>
      </c>
      <c r="T855" s="449" t="n">
        <f aca="false">m*g</f>
        <v>84.87612</v>
      </c>
      <c r="U855" s="453" t="n">
        <f aca="false">IF(pos_xz&lt;L_rampe,Poids*COS(Beta),0)</f>
        <v>0</v>
      </c>
      <c r="V855" s="450" t="n">
        <f aca="false">Rho_moyen*(20000-Alt_rampe-pos_z)/(20000+Alt_rampe+pos_z)</f>
        <v>1.22674694014189</v>
      </c>
      <c r="W855" s="449" t="n">
        <f aca="false">1/2*Rho*Sref*Cx*vit_xz^2</f>
        <v>52.1028783342598</v>
      </c>
      <c r="X855" s="438"/>
      <c r="Y855" s="454" t="str">
        <f aca="false">IF(AND(pos_z&lt;=0,K854&gt;0),"Impact balistique","") &amp; IF(AND(H856&lt;0,vit_z&gt;=0),"Apogée","") &amp; IF(AND(Poussee=0,Q854&gt;0),"Fin de propulsion","") &amp; IF(AND(L856&gt;L_rampe,pos_xz&lt;=L_rampe),"Sortie de rampe","")</f>
        <v/>
      </c>
      <c r="Z855" s="455" t="str">
        <f aca="false">IF(ABS(t-T_para)&lt;pas/2,"Para","")</f>
        <v/>
      </c>
      <c r="AA855" s="456" t="str">
        <f aca="false">IF(ABS(t-T_satellite)&lt;pas/2,"Satellite","")</f>
        <v/>
      </c>
      <c r="AB855" s="444"/>
      <c r="AC855" s="452" t="e">
        <f aca="false">IF(ABS(t-ROUND(t,0))&lt;0.001,t,NA())</f>
        <v>#N/A</v>
      </c>
      <c r="AD855" s="457" t="e">
        <f aca="false">IF(ABS(t-ROUND(t,0))&lt;0.001,pos_x,NA())</f>
        <v>#N/A</v>
      </c>
      <c r="AE855" s="458" t="e">
        <f aca="false">IF(t&lt;T_para, pos_z, NA())</f>
        <v>#N/A</v>
      </c>
      <c r="AF855" s="444"/>
      <c r="AG855" s="450" t="n">
        <f aca="false">IF(AND(L854&lt;L_rampe,Poussee&lt;Poids*SIN(M854)),0,(-W854+Poussee)/m-Poids*SIN(M854)/m)</f>
        <v>3.69583203879517</v>
      </c>
      <c r="AH855" s="449" t="n">
        <f aca="false">IF(AND(L854&lt;L_rampe,Poussee&lt;Poids*SIN(M854)), g*SIN(M854), (-W854+Poussee)/m)</f>
        <v>-6.02202130658794</v>
      </c>
    </row>
    <row r="856" customFormat="false" ht="12" hidden="false" customHeight="false" outlineLevel="0" collapsed="false">
      <c r="A856" s="448" t="n">
        <f aca="false">IF(B855+0.01&lt;=T_ini+ROUNDUP(Temps_fin_propu,0), 0.01, IF(K855&gt;0, 0.1, 0.0001))</f>
        <v>0.0001</v>
      </c>
      <c r="B856" s="449" t="n">
        <f aca="false">B855+pas</f>
        <v>35.7135000000006</v>
      </c>
      <c r="C856" s="432"/>
      <c r="D856" s="450" t="n">
        <f aca="false">IF(AND(L855&lt;L_rampe,Poussee&lt;Poids*SIN(M855)),0,(-W855+Poussee)/m*COS(M855)-U855/m*SIN(M855))</f>
        <v>-0.823455591409652</v>
      </c>
      <c r="E856" s="451" t="n">
        <f aca="false">IF(AND(L855&lt;L_rampe,Poussee&lt;Poids*SIN(M855)),0,(-W855+Poussee)/m*SIN(M855)+U855/m*COS(M855)-Poids/m)</f>
        <v>-3.84450348153891</v>
      </c>
      <c r="F856" s="449" t="n">
        <f aca="false">SQRT(acc_x^2+acc_z^2)</f>
        <v>3.93170270119558</v>
      </c>
      <c r="G856" s="450" t="n">
        <f aca="false">G855+acc_x*pas</f>
        <v>18.8985434368014</v>
      </c>
      <c r="H856" s="451" t="n">
        <f aca="false">H855+acc_z*pas</f>
        <v>-136.910847485003</v>
      </c>
      <c r="I856" s="449" t="n">
        <f aca="false">SQRT(vit_x^2+vit_z^2)</f>
        <v>138.209026850978</v>
      </c>
      <c r="J856" s="450" t="n">
        <f aca="false">J855+0.5*(vit_x+G855)*pas*(K855&gt;=0)</f>
        <v>1017.12580762709</v>
      </c>
      <c r="K856" s="451" t="n">
        <f aca="false">K855+0.5*(vit_z+H855)*pas</f>
        <v>-14.2642657336323</v>
      </c>
      <c r="L856" s="449" t="n">
        <f aca="false">SQRT(pos_x^2+pos_z^2)</f>
        <v>1017.22582439593</v>
      </c>
      <c r="M856" s="450" t="n">
        <f aca="false">IF(AND(L855&gt;L_rampe,G856&gt;0),ATAN2(G856,H856),$M$4)</f>
        <v>-1.43362773804339</v>
      </c>
      <c r="N856" s="449" t="n">
        <f aca="false">DEGREES(Beta)</f>
        <v>-82.1408187827731</v>
      </c>
      <c r="O856" s="438"/>
      <c r="P856" s="452" t="n">
        <f aca="false">MATCH(t-pas/2-T_ini,CdP_t)</f>
        <v>23</v>
      </c>
      <c r="Q856" s="449" t="n">
        <f aca="false">(INDEX(CdP,2,i_P+1)-INDEX(CdP,2,i_P+0))/(INDEX(CdP,1,i_P+1)-INDEX(CdP,1,i_P+0))*(t-pas/2-T_ini-INDEX(CdP,1,i_P+0))+INDEX(CdP,2,i_P+0)</f>
        <v>0</v>
      </c>
      <c r="R856" s="450" t="n">
        <f aca="false">Poussee/(g*ISP)</f>
        <v>0</v>
      </c>
      <c r="S856" s="451" t="n">
        <f aca="false">S855-Débit*pas</f>
        <v>8.652</v>
      </c>
      <c r="T856" s="449" t="n">
        <f aca="false">m*g</f>
        <v>84.87612</v>
      </c>
      <c r="U856" s="453" t="n">
        <f aca="false">IF(pos_xz&lt;L_rampe,Poids*COS(Beta),0)</f>
        <v>0</v>
      </c>
      <c r="V856" s="450" t="n">
        <f aca="false">Rho_moyen*(20000-Alt_rampe-pos_z)/(20000+Alt_rampe+pos_z)</f>
        <v>1.22674861969117</v>
      </c>
      <c r="W856" s="449" t="n">
        <f aca="false">1/2*Rho*Sref*Cx*vit_xz^2</f>
        <v>52.1032283227751</v>
      </c>
      <c r="X856" s="438"/>
      <c r="Y856" s="454" t="str">
        <f aca="false">IF(AND(pos_z&lt;=0,K855&gt;0),"Impact balistique","") &amp; IF(AND(H857&lt;0,vit_z&gt;=0),"Apogée","") &amp; IF(AND(Poussee=0,Q855&gt;0),"Fin de propulsion","") &amp; IF(AND(L857&gt;L_rampe,pos_xz&lt;=L_rampe),"Sortie de rampe","")</f>
        <v/>
      </c>
      <c r="Z856" s="455" t="str">
        <f aca="false">IF(ABS(t-T_para)&lt;pas/2,"Para","")</f>
        <v/>
      </c>
      <c r="AA856" s="456" t="str">
        <f aca="false">IF(ABS(t-T_satellite)&lt;pas/2,"Satellite","")</f>
        <v/>
      </c>
      <c r="AB856" s="444"/>
      <c r="AC856" s="452" t="e">
        <f aca="false">IF(ABS(t-ROUND(t,0))&lt;0.001,t,NA())</f>
        <v>#N/A</v>
      </c>
      <c r="AD856" s="457" t="e">
        <f aca="false">IF(ABS(t-ROUND(t,0))&lt;0.001,pos_x,NA())</f>
        <v>#N/A</v>
      </c>
      <c r="AE856" s="458" t="e">
        <f aca="false">IF(t&lt;T_para, pos_z, NA())</f>
        <v>#N/A</v>
      </c>
      <c r="AF856" s="444"/>
      <c r="AG856" s="450" t="n">
        <f aca="false">IF(AND(L855&lt;L_rampe,Poussee&lt;Poids*SIN(M855)),0,(-W855+Poussee)/m-Poids*SIN(M855)/m)</f>
        <v>3.69579288887471</v>
      </c>
      <c r="AH856" s="449" t="n">
        <f aca="false">IF(AND(L855&lt;L_rampe,Poussee&lt;Poids*SIN(M855)), g*SIN(M855), (-W855+Poussee)/m)</f>
        <v>-6.02206175846738</v>
      </c>
    </row>
    <row r="857" customFormat="false" ht="12" hidden="false" customHeight="false" outlineLevel="0" collapsed="false">
      <c r="A857" s="448" t="n">
        <f aca="false">IF(B856+0.01&lt;=T_ini+ROUNDUP(Temps_fin_propu,0), 0.01, IF(K856&gt;0, 0.1, 0.0001))</f>
        <v>0.0001</v>
      </c>
      <c r="B857" s="449" t="n">
        <f aca="false">B856+pas</f>
        <v>35.7136000000006</v>
      </c>
      <c r="C857" s="432"/>
      <c r="D857" s="450" t="n">
        <f aca="false">IF(AND(L856&lt;L_rampe,Poussee&lt;Poids*SIN(M856)),0,(-W856+Poussee)/m*COS(M856)-U856/m*SIN(M856))</f>
        <v>-0.823455332793188</v>
      </c>
      <c r="E857" s="451" t="n">
        <f aca="false">IF(AND(L856&lt;L_rampe,Poussee&lt;Poids*SIN(M856)),0,(-W856+Poussee)/m*SIN(M856)+U856/m*COS(M856)-Poids/m)</f>
        <v>-3.84446261053006</v>
      </c>
      <c r="F857" s="449" t="n">
        <f aca="false">SQRT(acc_x^2+acc_z^2)</f>
        <v>3.93166268248805</v>
      </c>
      <c r="G857" s="450" t="n">
        <f aca="false">G856+acc_x*pas</f>
        <v>18.8984610912682</v>
      </c>
      <c r="H857" s="451" t="n">
        <f aca="false">H856+acc_z*pas</f>
        <v>-136.911231931264</v>
      </c>
      <c r="I857" s="449" t="n">
        <f aca="false">SQRT(vit_x^2+vit_z^2)</f>
        <v>138.209396426417</v>
      </c>
      <c r="J857" s="450" t="n">
        <f aca="false">J856+0.5*(vit_x+G856)*pas*(K856&gt;=0)</f>
        <v>1017.12580762709</v>
      </c>
      <c r="K857" s="451" t="n">
        <f aca="false">K856+0.5*(vit_z+H856)*pas</f>
        <v>-14.2779568376031</v>
      </c>
      <c r="L857" s="449" t="n">
        <f aca="false">SQRT(pos_x^2+pos_z^2)</f>
        <v>1017.22601647447</v>
      </c>
      <c r="M857" s="450" t="n">
        <f aca="false">IF(AND(L856&gt;L_rampe,G857&gt;0),ATAN2(G857,H857),$M$4)</f>
        <v>-1.43362870860556</v>
      </c>
      <c r="N857" s="449" t="n">
        <f aca="false">DEGREES(Beta)</f>
        <v>-82.1408743918894</v>
      </c>
      <c r="O857" s="438"/>
      <c r="P857" s="452" t="n">
        <f aca="false">MATCH(t-pas/2-T_ini,CdP_t)</f>
        <v>23</v>
      </c>
      <c r="Q857" s="449" t="n">
        <f aca="false">(INDEX(CdP,2,i_P+1)-INDEX(CdP,2,i_P+0))/(INDEX(CdP,1,i_P+1)-INDEX(CdP,1,i_P+0))*(t-pas/2-T_ini-INDEX(CdP,1,i_P+0))+INDEX(CdP,2,i_P+0)</f>
        <v>0</v>
      </c>
      <c r="R857" s="450" t="n">
        <f aca="false">Poussee/(g*ISP)</f>
        <v>0</v>
      </c>
      <c r="S857" s="451" t="n">
        <f aca="false">S856-Débit*pas</f>
        <v>8.652</v>
      </c>
      <c r="T857" s="449" t="n">
        <f aca="false">m*g</f>
        <v>84.87612</v>
      </c>
      <c r="U857" s="453" t="n">
        <f aca="false">IF(pos_xz&lt;L_rampe,Poids*COS(Beta),0)</f>
        <v>0</v>
      </c>
      <c r="V857" s="450" t="n">
        <f aca="false">Rho_moyen*(20000-Alt_rampe-pos_z)/(20000+Alt_rampe+pos_z)</f>
        <v>1.22675029924746</v>
      </c>
      <c r="W857" s="449" t="n">
        <f aca="false">1/2*Rho*Sref*Cx*vit_xz^2</f>
        <v>52.1035783101448</v>
      </c>
      <c r="X857" s="438"/>
      <c r="Y857" s="454" t="str">
        <f aca="false">IF(AND(pos_z&lt;=0,K856&gt;0),"Impact balistique","") &amp; IF(AND(H858&lt;0,vit_z&gt;=0),"Apogée","") &amp; IF(AND(Poussee=0,Q856&gt;0),"Fin de propulsion","") &amp; IF(AND(L858&gt;L_rampe,pos_xz&lt;=L_rampe),"Sortie de rampe","")</f>
        <v/>
      </c>
      <c r="Z857" s="455" t="str">
        <f aca="false">IF(ABS(t-T_para)&lt;pas/2,"Para","")</f>
        <v/>
      </c>
      <c r="AA857" s="456" t="str">
        <f aca="false">IF(ABS(t-T_satellite)&lt;pas/2,"Satellite","")</f>
        <v/>
      </c>
      <c r="AB857" s="444"/>
      <c r="AC857" s="452" t="e">
        <f aca="false">IF(ABS(t-ROUND(t,0))&lt;0.001,t,NA())</f>
        <v>#N/A</v>
      </c>
      <c r="AD857" s="457" t="e">
        <f aca="false">IF(ABS(t-ROUND(t,0))&lt;0.001,pos_x,NA())</f>
        <v>#N/A</v>
      </c>
      <c r="AE857" s="458" t="e">
        <f aca="false">IF(t&lt;T_para, pos_z, NA())</f>
        <v>#N/A</v>
      </c>
      <c r="AF857" s="444"/>
      <c r="AG857" s="450" t="n">
        <f aca="false">IF(AND(L856&lt;L_rampe,Poussee&lt;Poids*SIN(M856)),0,(-W856+Poussee)/m-Poids*SIN(M856)/m)</f>
        <v>3.69575373906487</v>
      </c>
      <c r="AH857" s="449" t="n">
        <f aca="false">IF(AND(L856&lt;L_rampe,Poussee&lt;Poids*SIN(M856)), g*SIN(M856), (-W856+Poussee)/m)</f>
        <v>-6.02210221021442</v>
      </c>
    </row>
    <row r="858" customFormat="false" ht="12" hidden="false" customHeight="false" outlineLevel="0" collapsed="false">
      <c r="A858" s="448" t="n">
        <f aca="false">IF(B857+0.01&lt;=T_ini+ROUNDUP(Temps_fin_propu,0), 0.01, IF(K857&gt;0, 0.1, 0.0001))</f>
        <v>0.0001</v>
      </c>
      <c r="B858" s="449" t="n">
        <f aca="false">B857+pas</f>
        <v>35.7137000000007</v>
      </c>
      <c r="C858" s="432"/>
      <c r="D858" s="450" t="n">
        <f aca="false">IF(AND(L857&lt;L_rampe,Poussee&lt;Poids*SIN(M857)),0,(-W857+Poussee)/m*COS(M857)-U857/m*SIN(M857))</f>
        <v>-0.823455074136252</v>
      </c>
      <c r="E858" s="451" t="n">
        <f aca="false">IF(AND(L857&lt;L_rampe,Poussee&lt;Poids*SIN(M857)),0,(-W857+Poussee)/m*SIN(M857)+U857/m*COS(M857)-Poids/m)</f>
        <v>-3.84442173965502</v>
      </c>
      <c r="F858" s="449" t="n">
        <f aca="false">SQRT(acc_x^2+acc_z^2)</f>
        <v>3.93162266392045</v>
      </c>
      <c r="G858" s="450" t="n">
        <f aca="false">G857+acc_x*pas</f>
        <v>18.8983787457607</v>
      </c>
      <c r="H858" s="451" t="n">
        <f aca="false">H857+acc_z*pas</f>
        <v>-136.911616373438</v>
      </c>
      <c r="I858" s="449" t="n">
        <f aca="false">SQRT(vit_x^2+vit_z^2)</f>
        <v>138.209765997941</v>
      </c>
      <c r="J858" s="450" t="n">
        <f aca="false">J857+0.5*(vit_x+G857)*pas*(K857&gt;=0)</f>
        <v>1017.12580762709</v>
      </c>
      <c r="K858" s="451" t="n">
        <f aca="false">K857+0.5*(vit_z+H857)*pas</f>
        <v>-14.2916479800183</v>
      </c>
      <c r="L858" s="449" t="n">
        <f aca="false">SQRT(pos_x^2+pos_z^2)</f>
        <v>1017.22620873778</v>
      </c>
      <c r="M858" s="450" t="n">
        <f aca="false">IF(AND(L857&gt;L_rampe,G858&gt;0),ATAN2(G858,H858),$M$4)</f>
        <v>-1.43362967915832</v>
      </c>
      <c r="N858" s="449" t="n">
        <f aca="false">DEGREES(Beta)</f>
        <v>-82.140930000466</v>
      </c>
      <c r="O858" s="438"/>
      <c r="P858" s="452" t="n">
        <f aca="false">MATCH(t-pas/2-T_ini,CdP_t)</f>
        <v>23</v>
      </c>
      <c r="Q858" s="449" t="n">
        <f aca="false">(INDEX(CdP,2,i_P+1)-INDEX(CdP,2,i_P+0))/(INDEX(CdP,1,i_P+1)-INDEX(CdP,1,i_P+0))*(t-pas/2-T_ini-INDEX(CdP,1,i_P+0))+INDEX(CdP,2,i_P+0)</f>
        <v>0</v>
      </c>
      <c r="R858" s="450" t="n">
        <f aca="false">Poussee/(g*ISP)</f>
        <v>0</v>
      </c>
      <c r="S858" s="451" t="n">
        <f aca="false">S857-Débit*pas</f>
        <v>8.652</v>
      </c>
      <c r="T858" s="449" t="n">
        <f aca="false">m*g</f>
        <v>84.87612</v>
      </c>
      <c r="U858" s="453" t="n">
        <f aca="false">IF(pos_xz&lt;L_rampe,Poids*COS(Beta),0)</f>
        <v>0</v>
      </c>
      <c r="V858" s="450" t="n">
        <f aca="false">Rho_moyen*(20000-Alt_rampe-pos_z)/(20000+Alt_rampe+pos_z)</f>
        <v>1.22675197881077</v>
      </c>
      <c r="W858" s="449" t="n">
        <f aca="false">1/2*Rho*Sref*Cx*vit_xz^2</f>
        <v>52.1039282963689</v>
      </c>
      <c r="X858" s="438"/>
      <c r="Y858" s="454" t="str">
        <f aca="false">IF(AND(pos_z&lt;=0,K857&gt;0),"Impact balistique","") &amp; IF(AND(H859&lt;0,vit_z&gt;=0),"Apogée","") &amp; IF(AND(Poussee=0,Q857&gt;0),"Fin de propulsion","") &amp; IF(AND(L859&gt;L_rampe,pos_xz&lt;=L_rampe),"Sortie de rampe","")</f>
        <v/>
      </c>
      <c r="Z858" s="455" t="str">
        <f aca="false">IF(ABS(t-T_para)&lt;pas/2,"Para","")</f>
        <v/>
      </c>
      <c r="AA858" s="456" t="str">
        <f aca="false">IF(ABS(t-T_satellite)&lt;pas/2,"Satellite","")</f>
        <v/>
      </c>
      <c r="AB858" s="444"/>
      <c r="AC858" s="452" t="e">
        <f aca="false">IF(ABS(t-ROUND(t,0))&lt;0.001,t,NA())</f>
        <v>#N/A</v>
      </c>
      <c r="AD858" s="457" t="e">
        <f aca="false">IF(ABS(t-ROUND(t,0))&lt;0.001,pos_x,NA())</f>
        <v>#N/A</v>
      </c>
      <c r="AE858" s="458" t="e">
        <f aca="false">IF(t&lt;T_para, pos_z, NA())</f>
        <v>#N/A</v>
      </c>
      <c r="AF858" s="444"/>
      <c r="AG858" s="450" t="n">
        <f aca="false">IF(AND(L857&lt;L_rampe,Poussee&lt;Poids*SIN(M857)),0,(-W857+Poussee)/m-Poids*SIN(M857)/m)</f>
        <v>3.69571458936565</v>
      </c>
      <c r="AH858" s="449" t="n">
        <f aca="false">IF(AND(L857&lt;L_rampe,Poussee&lt;Poids*SIN(M857)), g*SIN(M857), (-W857+Poussee)/m)</f>
        <v>-6.02214266182904</v>
      </c>
    </row>
    <row r="859" customFormat="false" ht="12" hidden="false" customHeight="false" outlineLevel="0" collapsed="false">
      <c r="A859" s="448" t="n">
        <f aca="false">IF(B858+0.01&lt;=T_ini+ROUNDUP(Temps_fin_propu,0), 0.01, IF(K858&gt;0, 0.1, 0.0001))</f>
        <v>0.0001</v>
      </c>
      <c r="B859" s="449" t="n">
        <f aca="false">B858+pas</f>
        <v>35.7138000000007</v>
      </c>
      <c r="C859" s="432"/>
      <c r="D859" s="450" t="n">
        <f aca="false">IF(AND(L858&lt;L_rampe,Poussee&lt;Poids*SIN(M858)),0,(-W858+Poussee)/m*COS(M858)-U858/m*SIN(M858))</f>
        <v>-0.823454815438844</v>
      </c>
      <c r="E859" s="451" t="n">
        <f aca="false">IF(AND(L858&lt;L_rampe,Poussee&lt;Poids*SIN(M858)),0,(-W858+Poussee)/m*SIN(M858)+U858/m*COS(M858)-Poids/m)</f>
        <v>-3.84438086891379</v>
      </c>
      <c r="F859" s="449" t="n">
        <f aca="false">SQRT(acc_x^2+acc_z^2)</f>
        <v>3.93158264549275</v>
      </c>
      <c r="G859" s="450" t="n">
        <f aca="false">G858+acc_x*pas</f>
        <v>18.8982964002792</v>
      </c>
      <c r="H859" s="451" t="n">
        <f aca="false">H858+acc_z*pas</f>
        <v>-136.912000811525</v>
      </c>
      <c r="I859" s="449" t="n">
        <f aca="false">SQRT(vit_x^2+vit_z^2)</f>
        <v>138.21013556555</v>
      </c>
      <c r="J859" s="450" t="n">
        <f aca="false">J858+0.5*(vit_x+G858)*pas*(K858&gt;=0)</f>
        <v>1017.12580762709</v>
      </c>
      <c r="K859" s="451" t="n">
        <f aca="false">K858+0.5*(vit_z+H858)*pas</f>
        <v>-14.3053391608776</v>
      </c>
      <c r="L859" s="449" t="n">
        <f aca="false">SQRT(pos_x^2+pos_z^2)</f>
        <v>1017.22640118588</v>
      </c>
      <c r="M859" s="450" t="n">
        <f aca="false">IF(AND(L858&gt;L_rampe,G859&gt;0),ATAN2(G859,H859),$M$4)</f>
        <v>-1.43363064970165</v>
      </c>
      <c r="N859" s="449" t="n">
        <f aca="false">DEGREES(Beta)</f>
        <v>-82.1409856085029</v>
      </c>
      <c r="O859" s="438"/>
      <c r="P859" s="452" t="n">
        <f aca="false">MATCH(t-pas/2-T_ini,CdP_t)</f>
        <v>23</v>
      </c>
      <c r="Q859" s="449" t="n">
        <f aca="false">(INDEX(CdP,2,i_P+1)-INDEX(CdP,2,i_P+0))/(INDEX(CdP,1,i_P+1)-INDEX(CdP,1,i_P+0))*(t-pas/2-T_ini-INDEX(CdP,1,i_P+0))+INDEX(CdP,2,i_P+0)</f>
        <v>0</v>
      </c>
      <c r="R859" s="450" t="n">
        <f aca="false">Poussee/(g*ISP)</f>
        <v>0</v>
      </c>
      <c r="S859" s="451" t="n">
        <f aca="false">S858-Débit*pas</f>
        <v>8.652</v>
      </c>
      <c r="T859" s="449" t="n">
        <f aca="false">m*g</f>
        <v>84.87612</v>
      </c>
      <c r="U859" s="453" t="n">
        <f aca="false">IF(pos_xz&lt;L_rampe,Poids*COS(Beta),0)</f>
        <v>0</v>
      </c>
      <c r="V859" s="450" t="n">
        <f aca="false">Rho_moyen*(20000-Alt_rampe-pos_z)/(20000+Alt_rampe+pos_z)</f>
        <v>1.2267536583811</v>
      </c>
      <c r="W859" s="449" t="n">
        <f aca="false">1/2*Rho*Sref*Cx*vit_xz^2</f>
        <v>52.1042782814473</v>
      </c>
      <c r="X859" s="438"/>
      <c r="Y859" s="454" t="str">
        <f aca="false">IF(AND(pos_z&lt;=0,K858&gt;0),"Impact balistique","") &amp; IF(AND(H860&lt;0,vit_z&gt;=0),"Apogée","") &amp; IF(AND(Poussee=0,Q858&gt;0),"Fin de propulsion","") &amp; IF(AND(L860&gt;L_rampe,pos_xz&lt;=L_rampe),"Sortie de rampe","")</f>
        <v/>
      </c>
      <c r="Z859" s="455" t="str">
        <f aca="false">IF(ABS(t-T_para)&lt;pas/2,"Para","")</f>
        <v/>
      </c>
      <c r="AA859" s="456" t="str">
        <f aca="false">IF(ABS(t-T_satellite)&lt;pas/2,"Satellite","")</f>
        <v/>
      </c>
      <c r="AB859" s="444"/>
      <c r="AC859" s="452" t="e">
        <f aca="false">IF(ABS(t-ROUND(t,0))&lt;0.001,t,NA())</f>
        <v>#N/A</v>
      </c>
      <c r="AD859" s="457" t="e">
        <f aca="false">IF(ABS(t-ROUND(t,0))&lt;0.001,pos_x,NA())</f>
        <v>#N/A</v>
      </c>
      <c r="AE859" s="458" t="e">
        <f aca="false">IF(t&lt;T_para, pos_z, NA())</f>
        <v>#N/A</v>
      </c>
      <c r="AF859" s="444"/>
      <c r="AG859" s="450" t="n">
        <f aca="false">IF(AND(L858&lt;L_rampe,Poussee&lt;Poids*SIN(M858)),0,(-W858+Poussee)/m-Poids*SIN(M858)/m)</f>
        <v>3.69567543977706</v>
      </c>
      <c r="AH859" s="449" t="n">
        <f aca="false">IF(AND(L858&lt;L_rampe,Poussee&lt;Poids*SIN(M858)), g*SIN(M858), (-W858+Poussee)/m)</f>
        <v>-6.02218311331125</v>
      </c>
    </row>
    <row r="860" customFormat="false" ht="12" hidden="false" customHeight="false" outlineLevel="0" collapsed="false">
      <c r="A860" s="448" t="n">
        <f aca="false">IF(B859+0.01&lt;=T_ini+ROUNDUP(Temps_fin_propu,0), 0.01, IF(K859&gt;0, 0.1, 0.0001))</f>
        <v>0.0001</v>
      </c>
      <c r="B860" s="449" t="n">
        <f aca="false">B859+pas</f>
        <v>35.7139000000007</v>
      </c>
      <c r="C860" s="432"/>
      <c r="D860" s="450" t="n">
        <f aca="false">IF(AND(L859&lt;L_rampe,Poussee&lt;Poids*SIN(M859)),0,(-W859+Poussee)/m*COS(M859)-U859/m*SIN(M859))</f>
        <v>-0.823454556700962</v>
      </c>
      <c r="E860" s="451" t="n">
        <f aca="false">IF(AND(L859&lt;L_rampe,Poussee&lt;Poids*SIN(M859)),0,(-W859+Poussee)/m*SIN(M859)+U859/m*COS(M859)-Poids/m)</f>
        <v>-3.84433999830638</v>
      </c>
      <c r="F860" s="449" t="n">
        <f aca="false">SQRT(acc_x^2+acc_z^2)</f>
        <v>3.93154262720498</v>
      </c>
      <c r="G860" s="450" t="n">
        <f aca="false">G859+acc_x*pas</f>
        <v>18.8982140548235</v>
      </c>
      <c r="H860" s="451" t="n">
        <f aca="false">H859+acc_z*pas</f>
        <v>-136.912385245525</v>
      </c>
      <c r="I860" s="449" t="n">
        <f aca="false">SQRT(vit_x^2+vit_z^2)</f>
        <v>138.210505129245</v>
      </c>
      <c r="J860" s="450" t="n">
        <f aca="false">J859+0.5*(vit_x+G859)*pas*(K859&gt;=0)</f>
        <v>1017.12580762709</v>
      </c>
      <c r="K860" s="451" t="n">
        <f aca="false">K859+0.5*(vit_z+H859)*pas</f>
        <v>-14.3190303801804</v>
      </c>
      <c r="L860" s="449" t="n">
        <f aca="false">SQRT(pos_x^2+pos_z^2)</f>
        <v>1017.22659381875</v>
      </c>
      <c r="M860" s="450" t="n">
        <f aca="false">IF(AND(L859&gt;L_rampe,G860&gt;0),ATAN2(G860,H860),$M$4)</f>
        <v>-1.43363162023557</v>
      </c>
      <c r="N860" s="449" t="n">
        <f aca="false">DEGREES(Beta)</f>
        <v>-82.1410412160001</v>
      </c>
      <c r="O860" s="438"/>
      <c r="P860" s="452" t="n">
        <f aca="false">MATCH(t-pas/2-T_ini,CdP_t)</f>
        <v>23</v>
      </c>
      <c r="Q860" s="449" t="n">
        <f aca="false">(INDEX(CdP,2,i_P+1)-INDEX(CdP,2,i_P+0))/(INDEX(CdP,1,i_P+1)-INDEX(CdP,1,i_P+0))*(t-pas/2-T_ini-INDEX(CdP,1,i_P+0))+INDEX(CdP,2,i_P+0)</f>
        <v>0</v>
      </c>
      <c r="R860" s="450" t="n">
        <f aca="false">Poussee/(g*ISP)</f>
        <v>0</v>
      </c>
      <c r="S860" s="451" t="n">
        <f aca="false">S859-Débit*pas</f>
        <v>8.652</v>
      </c>
      <c r="T860" s="449" t="n">
        <f aca="false">m*g</f>
        <v>84.87612</v>
      </c>
      <c r="U860" s="453" t="n">
        <f aca="false">IF(pos_xz&lt;L_rampe,Poids*COS(Beta),0)</f>
        <v>0</v>
      </c>
      <c r="V860" s="450" t="n">
        <f aca="false">Rho_moyen*(20000-Alt_rampe-pos_z)/(20000+Alt_rampe+pos_z)</f>
        <v>1.22675533795845</v>
      </c>
      <c r="W860" s="449" t="n">
        <f aca="false">1/2*Rho*Sref*Cx*vit_xz^2</f>
        <v>52.1046282653801</v>
      </c>
      <c r="X860" s="438"/>
      <c r="Y860" s="454" t="str">
        <f aca="false">IF(AND(pos_z&lt;=0,K859&gt;0),"Impact balistique","") &amp; IF(AND(H861&lt;0,vit_z&gt;=0),"Apogée","") &amp; IF(AND(Poussee=0,Q859&gt;0),"Fin de propulsion","") &amp; IF(AND(L861&gt;L_rampe,pos_xz&lt;=L_rampe),"Sortie de rampe","")</f>
        <v/>
      </c>
      <c r="Z860" s="455" t="str">
        <f aca="false">IF(ABS(t-T_para)&lt;pas/2,"Para","")</f>
        <v/>
      </c>
      <c r="AA860" s="456" t="str">
        <f aca="false">IF(ABS(t-T_satellite)&lt;pas/2,"Satellite","")</f>
        <v/>
      </c>
      <c r="AB860" s="444"/>
      <c r="AC860" s="452" t="e">
        <f aca="false">IF(ABS(t-ROUND(t,0))&lt;0.001,t,NA())</f>
        <v>#N/A</v>
      </c>
      <c r="AD860" s="457" t="e">
        <f aca="false">IF(ABS(t-ROUND(t,0))&lt;0.001,pos_x,NA())</f>
        <v>#N/A</v>
      </c>
      <c r="AE860" s="458" t="e">
        <f aca="false">IF(t&lt;T_para, pos_z, NA())</f>
        <v>#N/A</v>
      </c>
      <c r="AF860" s="444"/>
      <c r="AG860" s="450" t="n">
        <f aca="false">IF(AND(L859&lt;L_rampe,Poussee&lt;Poids*SIN(M859)),0,(-W859+Poussee)/m-Poids*SIN(M859)/m)</f>
        <v>3.69563629029909</v>
      </c>
      <c r="AH860" s="449" t="n">
        <f aca="false">IF(AND(L859&lt;L_rampe,Poussee&lt;Poids*SIN(M859)), g*SIN(M859), (-W859+Poussee)/m)</f>
        <v>-6.02222356466104</v>
      </c>
    </row>
    <row r="861" customFormat="false" ht="12" hidden="false" customHeight="false" outlineLevel="0" collapsed="false">
      <c r="A861" s="448" t="n">
        <f aca="false">IF(B860+0.01&lt;=T_ini+ROUNDUP(Temps_fin_propu,0), 0.01, IF(K860&gt;0, 0.1, 0.0001))</f>
        <v>0.0001</v>
      </c>
      <c r="B861" s="449" t="n">
        <f aca="false">B860+pas</f>
        <v>35.7140000000007</v>
      </c>
      <c r="C861" s="432"/>
      <c r="D861" s="450" t="n">
        <f aca="false">IF(AND(L860&lt;L_rampe,Poussee&lt;Poids*SIN(M860)),0,(-W860+Poussee)/m*COS(M860)-U860/m*SIN(M860))</f>
        <v>-0.823454297922612</v>
      </c>
      <c r="E861" s="451" t="n">
        <f aca="false">IF(AND(L860&lt;L_rampe,Poussee&lt;Poids*SIN(M860)),0,(-W860+Poussee)/m*SIN(M860)+U860/m*COS(M860)-Poids/m)</f>
        <v>-3.84429912783277</v>
      </c>
      <c r="F861" s="449" t="n">
        <f aca="false">SQRT(acc_x^2+acc_z^2)</f>
        <v>3.93150260905713</v>
      </c>
      <c r="G861" s="450" t="n">
        <f aca="false">G860+acc_x*pas</f>
        <v>18.8981317093937</v>
      </c>
      <c r="H861" s="451" t="n">
        <f aca="false">H860+acc_z*pas</f>
        <v>-136.912769675438</v>
      </c>
      <c r="I861" s="449" t="n">
        <f aca="false">SQRT(vit_x^2+vit_z^2)</f>
        <v>138.210874689024</v>
      </c>
      <c r="J861" s="450" t="n">
        <f aca="false">J860+0.5*(vit_x+G860)*pas*(K860&gt;=0)</f>
        <v>1017.12580762709</v>
      </c>
      <c r="K861" s="451" t="n">
        <f aca="false">K860+0.5*(vit_z+H860)*pas</f>
        <v>-14.3327216379265</v>
      </c>
      <c r="L861" s="449" t="n">
        <f aca="false">SQRT(pos_x^2+pos_z^2)</f>
        <v>1017.2267866364</v>
      </c>
      <c r="M861" s="450" t="n">
        <f aca="false">IF(AND(L860&gt;L_rampe,G861&gt;0),ATAN2(G861,H861),$M$4)</f>
        <v>-1.43363259076006</v>
      </c>
      <c r="N861" s="449" t="n">
        <f aca="false">DEGREES(Beta)</f>
        <v>-82.1410968229576</v>
      </c>
      <c r="O861" s="438"/>
      <c r="P861" s="452" t="n">
        <f aca="false">MATCH(t-pas/2-T_ini,CdP_t)</f>
        <v>23</v>
      </c>
      <c r="Q861" s="449" t="n">
        <f aca="false">(INDEX(CdP,2,i_P+1)-INDEX(CdP,2,i_P+0))/(INDEX(CdP,1,i_P+1)-INDEX(CdP,1,i_P+0))*(t-pas/2-T_ini-INDEX(CdP,1,i_P+0))+INDEX(CdP,2,i_P+0)</f>
        <v>0</v>
      </c>
      <c r="R861" s="450" t="n">
        <f aca="false">Poussee/(g*ISP)</f>
        <v>0</v>
      </c>
      <c r="S861" s="451" t="n">
        <f aca="false">S860-Débit*pas</f>
        <v>8.652</v>
      </c>
      <c r="T861" s="449" t="n">
        <f aca="false">m*g</f>
        <v>84.87612</v>
      </c>
      <c r="U861" s="453" t="n">
        <f aca="false">IF(pos_xz&lt;L_rampe,Poids*COS(Beta),0)</f>
        <v>0</v>
      </c>
      <c r="V861" s="450" t="n">
        <f aca="false">Rho_moyen*(20000-Alt_rampe-pos_z)/(20000+Alt_rampe+pos_z)</f>
        <v>1.22675701754281</v>
      </c>
      <c r="W861" s="449" t="n">
        <f aca="false">1/2*Rho*Sref*Cx*vit_xz^2</f>
        <v>52.1049782481671</v>
      </c>
      <c r="X861" s="438"/>
      <c r="Y861" s="454" t="str">
        <f aca="false">IF(AND(pos_z&lt;=0,K860&gt;0),"Impact balistique","") &amp; IF(AND(H862&lt;0,vit_z&gt;=0),"Apogée","") &amp; IF(AND(Poussee=0,Q860&gt;0),"Fin de propulsion","") &amp; IF(AND(L862&gt;L_rampe,pos_xz&lt;=L_rampe),"Sortie de rampe","")</f>
        <v/>
      </c>
      <c r="Z861" s="455" t="str">
        <f aca="false">IF(ABS(t-T_para)&lt;pas/2,"Para","")</f>
        <v/>
      </c>
      <c r="AA861" s="456" t="str">
        <f aca="false">IF(ABS(t-T_satellite)&lt;pas/2,"Satellite","")</f>
        <v/>
      </c>
      <c r="AB861" s="444"/>
      <c r="AC861" s="452" t="e">
        <f aca="false">IF(ABS(t-ROUND(t,0))&lt;0.001,t,NA())</f>
        <v>#N/A</v>
      </c>
      <c r="AD861" s="457" t="e">
        <f aca="false">IF(ABS(t-ROUND(t,0))&lt;0.001,pos_x,NA())</f>
        <v>#N/A</v>
      </c>
      <c r="AE861" s="458" t="e">
        <f aca="false">IF(t&lt;T_para, pos_z, NA())</f>
        <v>#N/A</v>
      </c>
      <c r="AF861" s="444"/>
      <c r="AG861" s="450" t="n">
        <f aca="false">IF(AND(L860&lt;L_rampe,Poussee&lt;Poids*SIN(M860)),0,(-W860+Poussee)/m-Poids*SIN(M860)/m)</f>
        <v>3.69559714093176</v>
      </c>
      <c r="AH861" s="449" t="n">
        <f aca="false">IF(AND(L860&lt;L_rampe,Poussee&lt;Poids*SIN(M860)), g*SIN(M860), (-W860+Poussee)/m)</f>
        <v>-6.02226401587842</v>
      </c>
    </row>
    <row r="862" customFormat="false" ht="12" hidden="false" customHeight="false" outlineLevel="0" collapsed="false">
      <c r="A862" s="448" t="n">
        <f aca="false">IF(B861+0.01&lt;=T_ini+ROUNDUP(Temps_fin_propu,0), 0.01, IF(K861&gt;0, 0.1, 0.0001))</f>
        <v>0.0001</v>
      </c>
      <c r="B862" s="449" t="n">
        <f aca="false">B861+pas</f>
        <v>35.7141000000007</v>
      </c>
      <c r="C862" s="432"/>
      <c r="D862" s="450" t="n">
        <f aca="false">IF(AND(L861&lt;L_rampe,Poussee&lt;Poids*SIN(M861)),0,(-W861+Poussee)/m*COS(M861)-U861/m*SIN(M861))</f>
        <v>-0.823454039103788</v>
      </c>
      <c r="E862" s="451" t="n">
        <f aca="false">IF(AND(L861&lt;L_rampe,Poussee&lt;Poids*SIN(M861)),0,(-W861+Poussee)/m*SIN(M861)+U861/m*COS(M861)-Poids/m)</f>
        <v>-3.84425825749299</v>
      </c>
      <c r="F862" s="449" t="n">
        <f aca="false">SQRT(acc_x^2+acc_z^2)</f>
        <v>3.93146259104921</v>
      </c>
      <c r="G862" s="450" t="n">
        <f aca="false">G861+acc_x*pas</f>
        <v>18.8980493639898</v>
      </c>
      <c r="H862" s="451" t="n">
        <f aca="false">H861+acc_z*pas</f>
        <v>-136.913154101263</v>
      </c>
      <c r="I862" s="449" t="n">
        <f aca="false">SQRT(vit_x^2+vit_z^2)</f>
        <v>138.211244244888</v>
      </c>
      <c r="J862" s="450" t="n">
        <f aca="false">J861+0.5*(vit_x+G861)*pas*(K861&gt;=0)</f>
        <v>1017.12580762709</v>
      </c>
      <c r="K862" s="451" t="n">
        <f aca="false">K861+0.5*(vit_z+H861)*pas</f>
        <v>-14.3464129341153</v>
      </c>
      <c r="L862" s="449" t="n">
        <f aca="false">SQRT(pos_x^2+pos_z^2)</f>
        <v>1017.22697963883</v>
      </c>
      <c r="M862" s="450" t="n">
        <f aca="false">IF(AND(L861&gt;L_rampe,G862&gt;0),ATAN2(G862,H862),$M$4)</f>
        <v>-1.43363356127514</v>
      </c>
      <c r="N862" s="449" t="n">
        <f aca="false">DEGREES(Beta)</f>
        <v>-82.1411524293755</v>
      </c>
      <c r="O862" s="438"/>
      <c r="P862" s="452" t="n">
        <f aca="false">MATCH(t-pas/2-T_ini,CdP_t)</f>
        <v>23</v>
      </c>
      <c r="Q862" s="449" t="n">
        <f aca="false">(INDEX(CdP,2,i_P+1)-INDEX(CdP,2,i_P+0))/(INDEX(CdP,1,i_P+1)-INDEX(CdP,1,i_P+0))*(t-pas/2-T_ini-INDEX(CdP,1,i_P+0))+INDEX(CdP,2,i_P+0)</f>
        <v>0</v>
      </c>
      <c r="R862" s="450" t="n">
        <f aca="false">Poussee/(g*ISP)</f>
        <v>0</v>
      </c>
      <c r="S862" s="451" t="n">
        <f aca="false">S861-Débit*pas</f>
        <v>8.652</v>
      </c>
      <c r="T862" s="449" t="n">
        <f aca="false">m*g</f>
        <v>84.87612</v>
      </c>
      <c r="U862" s="453" t="n">
        <f aca="false">IF(pos_xz&lt;L_rampe,Poids*COS(Beta),0)</f>
        <v>0</v>
      </c>
      <c r="V862" s="450" t="n">
        <f aca="false">Rho_moyen*(20000-Alt_rampe-pos_z)/(20000+Alt_rampe+pos_z)</f>
        <v>1.22675869713419</v>
      </c>
      <c r="W862" s="449" t="n">
        <f aca="false">1/2*Rho*Sref*Cx*vit_xz^2</f>
        <v>52.1053282298084</v>
      </c>
      <c r="X862" s="438"/>
      <c r="Y862" s="454" t="str">
        <f aca="false">IF(AND(pos_z&lt;=0,K861&gt;0),"Impact balistique","") &amp; IF(AND(H863&lt;0,vit_z&gt;=0),"Apogée","") &amp; IF(AND(Poussee=0,Q861&gt;0),"Fin de propulsion","") &amp; IF(AND(L863&gt;L_rampe,pos_xz&lt;=L_rampe),"Sortie de rampe","")</f>
        <v/>
      </c>
      <c r="Z862" s="455" t="str">
        <f aca="false">IF(ABS(t-T_para)&lt;pas/2,"Para","")</f>
        <v/>
      </c>
      <c r="AA862" s="456" t="str">
        <f aca="false">IF(ABS(t-T_satellite)&lt;pas/2,"Satellite","")</f>
        <v/>
      </c>
      <c r="AB862" s="444"/>
      <c r="AC862" s="452" t="e">
        <f aca="false">IF(ABS(t-ROUND(t,0))&lt;0.001,t,NA())</f>
        <v>#N/A</v>
      </c>
      <c r="AD862" s="457" t="e">
        <f aca="false">IF(ABS(t-ROUND(t,0))&lt;0.001,pos_x,NA())</f>
        <v>#N/A</v>
      </c>
      <c r="AE862" s="458" t="e">
        <f aca="false">IF(t&lt;T_para, pos_z, NA())</f>
        <v>#N/A</v>
      </c>
      <c r="AF862" s="444"/>
      <c r="AG862" s="450" t="n">
        <f aca="false">IF(AND(L861&lt;L_rampe,Poussee&lt;Poids*SIN(M861)),0,(-W861+Poussee)/m-Poids*SIN(M861)/m)</f>
        <v>3.69555799167505</v>
      </c>
      <c r="AH862" s="449" t="n">
        <f aca="false">IF(AND(L861&lt;L_rampe,Poussee&lt;Poids*SIN(M861)), g*SIN(M861), (-W861+Poussee)/m)</f>
        <v>-6.02230446696337</v>
      </c>
    </row>
    <row r="863" customFormat="false" ht="12" hidden="false" customHeight="false" outlineLevel="0" collapsed="false">
      <c r="A863" s="448" t="n">
        <f aca="false">IF(B862+0.01&lt;=T_ini+ROUNDUP(Temps_fin_propu,0), 0.01, IF(K862&gt;0, 0.1, 0.0001))</f>
        <v>0.0001</v>
      </c>
      <c r="B863" s="449" t="n">
        <f aca="false">B862+pas</f>
        <v>35.7142000000007</v>
      </c>
      <c r="C863" s="432"/>
      <c r="D863" s="450" t="n">
        <f aca="false">IF(AND(L862&lt;L_rampe,Poussee&lt;Poids*SIN(M862)),0,(-W862+Poussee)/m*COS(M862)-U862/m*SIN(M862))</f>
        <v>-0.823453780244494</v>
      </c>
      <c r="E863" s="451" t="n">
        <f aca="false">IF(AND(L862&lt;L_rampe,Poussee&lt;Poids*SIN(M862)),0,(-W862+Poussee)/m*SIN(M862)+U862/m*COS(M862)-Poids/m)</f>
        <v>-3.84421738728702</v>
      </c>
      <c r="F863" s="449" t="n">
        <f aca="false">SQRT(acc_x^2+acc_z^2)</f>
        <v>3.93142257318121</v>
      </c>
      <c r="G863" s="450" t="n">
        <f aca="false">G862+acc_x*pas</f>
        <v>18.8979670186118</v>
      </c>
      <c r="H863" s="451" t="n">
        <f aca="false">H862+acc_z*pas</f>
        <v>-136.913538523002</v>
      </c>
      <c r="I863" s="449" t="n">
        <f aca="false">SQRT(vit_x^2+vit_z^2)</f>
        <v>138.211613796837</v>
      </c>
      <c r="J863" s="450" t="n">
        <f aca="false">J862+0.5*(vit_x+G862)*pas*(K862&gt;=0)</f>
        <v>1017.12580762709</v>
      </c>
      <c r="K863" s="451" t="n">
        <f aca="false">K862+0.5*(vit_z+H862)*pas</f>
        <v>-14.3601042687465</v>
      </c>
      <c r="L863" s="449" t="n">
        <f aca="false">SQRT(pos_x^2+pos_z^2)</f>
        <v>1017.22717282605</v>
      </c>
      <c r="M863" s="450" t="n">
        <f aca="false">IF(AND(L862&gt;L_rampe,G863&gt;0),ATAN2(G863,H863),$M$4)</f>
        <v>-1.4336345317808</v>
      </c>
      <c r="N863" s="449" t="n">
        <f aca="false">DEGREES(Beta)</f>
        <v>-82.1412080352537</v>
      </c>
      <c r="O863" s="438"/>
      <c r="P863" s="452" t="n">
        <f aca="false">MATCH(t-pas/2-T_ini,CdP_t)</f>
        <v>23</v>
      </c>
      <c r="Q863" s="449" t="n">
        <f aca="false">(INDEX(CdP,2,i_P+1)-INDEX(CdP,2,i_P+0))/(INDEX(CdP,1,i_P+1)-INDEX(CdP,1,i_P+0))*(t-pas/2-T_ini-INDEX(CdP,1,i_P+0))+INDEX(CdP,2,i_P+0)</f>
        <v>0</v>
      </c>
      <c r="R863" s="450" t="n">
        <f aca="false">Poussee/(g*ISP)</f>
        <v>0</v>
      </c>
      <c r="S863" s="451" t="n">
        <f aca="false">S862-Débit*pas</f>
        <v>8.652</v>
      </c>
      <c r="T863" s="449" t="n">
        <f aca="false">m*g</f>
        <v>84.87612</v>
      </c>
      <c r="U863" s="453" t="n">
        <f aca="false">IF(pos_xz&lt;L_rampe,Poids*COS(Beta),0)</f>
        <v>0</v>
      </c>
      <c r="V863" s="450" t="n">
        <f aca="false">Rho_moyen*(20000-Alt_rampe-pos_z)/(20000+Alt_rampe+pos_z)</f>
        <v>1.22676037673259</v>
      </c>
      <c r="W863" s="449" t="n">
        <f aca="false">1/2*Rho*Sref*Cx*vit_xz^2</f>
        <v>52.105678210304</v>
      </c>
      <c r="X863" s="438"/>
      <c r="Y863" s="454" t="str">
        <f aca="false">IF(AND(pos_z&lt;=0,K862&gt;0),"Impact balistique","") &amp; IF(AND(H864&lt;0,vit_z&gt;=0),"Apogée","") &amp; IF(AND(Poussee=0,Q862&gt;0),"Fin de propulsion","") &amp; IF(AND(L864&gt;L_rampe,pos_xz&lt;=L_rampe),"Sortie de rampe","")</f>
        <v/>
      </c>
      <c r="Z863" s="455" t="str">
        <f aca="false">IF(ABS(t-T_para)&lt;pas/2,"Para","")</f>
        <v/>
      </c>
      <c r="AA863" s="456" t="str">
        <f aca="false">IF(ABS(t-T_satellite)&lt;pas/2,"Satellite","")</f>
        <v/>
      </c>
      <c r="AB863" s="444"/>
      <c r="AC863" s="452" t="e">
        <f aca="false">IF(ABS(t-ROUND(t,0))&lt;0.001,t,NA())</f>
        <v>#N/A</v>
      </c>
      <c r="AD863" s="457" t="e">
        <f aca="false">IF(ABS(t-ROUND(t,0))&lt;0.001,pos_x,NA())</f>
        <v>#N/A</v>
      </c>
      <c r="AE863" s="458" t="e">
        <f aca="false">IF(t&lt;T_para, pos_z, NA())</f>
        <v>#N/A</v>
      </c>
      <c r="AF863" s="444"/>
      <c r="AG863" s="450" t="n">
        <f aca="false">IF(AND(L862&lt;L_rampe,Poussee&lt;Poids*SIN(M862)),0,(-W862+Poussee)/m-Poids*SIN(M862)/m)</f>
        <v>3.69551884252898</v>
      </c>
      <c r="AH863" s="449" t="n">
        <f aca="false">IF(AND(L862&lt;L_rampe,Poussee&lt;Poids*SIN(M862)), g*SIN(M862), (-W862+Poussee)/m)</f>
        <v>-6.0223449179159</v>
      </c>
    </row>
    <row r="864" customFormat="false" ht="12" hidden="false" customHeight="false" outlineLevel="0" collapsed="false">
      <c r="A864" s="448" t="n">
        <f aca="false">IF(B863+0.01&lt;=T_ini+ROUNDUP(Temps_fin_propu,0), 0.01, IF(K863&gt;0, 0.1, 0.0001))</f>
        <v>0.0001</v>
      </c>
      <c r="B864" s="449" t="n">
        <f aca="false">B863+pas</f>
        <v>35.7143000000007</v>
      </c>
      <c r="C864" s="432"/>
      <c r="D864" s="450" t="n">
        <f aca="false">IF(AND(L863&lt;L_rampe,Poussee&lt;Poids*SIN(M863)),0,(-W863+Poussee)/m*COS(M863)-U863/m*SIN(M863))</f>
        <v>-0.823453521344728</v>
      </c>
      <c r="E864" s="451" t="n">
        <f aca="false">IF(AND(L863&lt;L_rampe,Poussee&lt;Poids*SIN(M863)),0,(-W863+Poussee)/m*SIN(M863)+U863/m*COS(M863)-Poids/m)</f>
        <v>-3.84417651721487</v>
      </c>
      <c r="F864" s="449" t="n">
        <f aca="false">SQRT(acc_x^2+acc_z^2)</f>
        <v>3.93138255545314</v>
      </c>
      <c r="G864" s="450" t="n">
        <f aca="false">G863+acc_x*pas</f>
        <v>18.8978846732597</v>
      </c>
      <c r="H864" s="451" t="n">
        <f aca="false">H863+acc_z*pas</f>
        <v>-136.913922940654</v>
      </c>
      <c r="I864" s="449" t="n">
        <f aca="false">SQRT(vit_x^2+vit_z^2)</f>
        <v>138.211983344872</v>
      </c>
      <c r="J864" s="450" t="n">
        <f aca="false">J863+0.5*(vit_x+G863)*pas*(K863&gt;=0)</f>
        <v>1017.12580762709</v>
      </c>
      <c r="K864" s="451" t="n">
        <f aca="false">K863+0.5*(vit_z+H863)*pas</f>
        <v>-14.3737956418197</v>
      </c>
      <c r="L864" s="449" t="n">
        <f aca="false">SQRT(pos_x^2+pos_z^2)</f>
        <v>1017.22736619805</v>
      </c>
      <c r="M864" s="450" t="n">
        <f aca="false">IF(AND(L863&gt;L_rampe,G864&gt;0),ATAN2(G864,H864),$M$4)</f>
        <v>-1.43363550227704</v>
      </c>
      <c r="N864" s="449" t="n">
        <f aca="false">DEGREES(Beta)</f>
        <v>-82.1412636405923</v>
      </c>
      <c r="O864" s="438"/>
      <c r="P864" s="452" t="n">
        <f aca="false">MATCH(t-pas/2-T_ini,CdP_t)</f>
        <v>23</v>
      </c>
      <c r="Q864" s="449" t="n">
        <f aca="false">(INDEX(CdP,2,i_P+1)-INDEX(CdP,2,i_P+0))/(INDEX(CdP,1,i_P+1)-INDEX(CdP,1,i_P+0))*(t-pas/2-T_ini-INDEX(CdP,1,i_P+0))+INDEX(CdP,2,i_P+0)</f>
        <v>0</v>
      </c>
      <c r="R864" s="450" t="n">
        <f aca="false">Poussee/(g*ISP)</f>
        <v>0</v>
      </c>
      <c r="S864" s="451" t="n">
        <f aca="false">S863-Débit*pas</f>
        <v>8.652</v>
      </c>
      <c r="T864" s="449" t="n">
        <f aca="false">m*g</f>
        <v>84.87612</v>
      </c>
      <c r="U864" s="453" t="n">
        <f aca="false">IF(pos_xz&lt;L_rampe,Poids*COS(Beta),0)</f>
        <v>0</v>
      </c>
      <c r="V864" s="450" t="n">
        <f aca="false">Rho_moyen*(20000-Alt_rampe-pos_z)/(20000+Alt_rampe+pos_z)</f>
        <v>1.22676205633801</v>
      </c>
      <c r="W864" s="449" t="n">
        <f aca="false">1/2*Rho*Sref*Cx*vit_xz^2</f>
        <v>52.1060281896538</v>
      </c>
      <c r="X864" s="438"/>
      <c r="Y864" s="454" t="str">
        <f aca="false">IF(AND(pos_z&lt;=0,K863&gt;0),"Impact balistique","") &amp; IF(AND(H865&lt;0,vit_z&gt;=0),"Apogée","") &amp; IF(AND(Poussee=0,Q863&gt;0),"Fin de propulsion","") &amp; IF(AND(L865&gt;L_rampe,pos_xz&lt;=L_rampe),"Sortie de rampe","")</f>
        <v/>
      </c>
      <c r="Z864" s="455" t="str">
        <f aca="false">IF(ABS(t-T_para)&lt;pas/2,"Para","")</f>
        <v/>
      </c>
      <c r="AA864" s="456" t="str">
        <f aca="false">IF(ABS(t-T_satellite)&lt;pas/2,"Satellite","")</f>
        <v/>
      </c>
      <c r="AB864" s="444"/>
      <c r="AC864" s="452" t="e">
        <f aca="false">IF(ABS(t-ROUND(t,0))&lt;0.001,t,NA())</f>
        <v>#N/A</v>
      </c>
      <c r="AD864" s="457" t="e">
        <f aca="false">IF(ABS(t-ROUND(t,0))&lt;0.001,pos_x,NA())</f>
        <v>#N/A</v>
      </c>
      <c r="AE864" s="458" t="e">
        <f aca="false">IF(t&lt;T_para, pos_z, NA())</f>
        <v>#N/A</v>
      </c>
      <c r="AF864" s="444"/>
      <c r="AG864" s="450" t="n">
        <f aca="false">IF(AND(L863&lt;L_rampe,Poussee&lt;Poids*SIN(M863)),0,(-W863+Poussee)/m-Poids*SIN(M863)/m)</f>
        <v>3.69547969349355</v>
      </c>
      <c r="AH864" s="449" t="n">
        <f aca="false">IF(AND(L863&lt;L_rampe,Poussee&lt;Poids*SIN(M863)), g*SIN(M863), (-W863+Poussee)/m)</f>
        <v>-6.02238536873601</v>
      </c>
    </row>
    <row r="865" customFormat="false" ht="12" hidden="false" customHeight="false" outlineLevel="0" collapsed="false">
      <c r="A865" s="448" t="n">
        <f aca="false">IF(B864+0.01&lt;=T_ini+ROUNDUP(Temps_fin_propu,0), 0.01, IF(K864&gt;0, 0.1, 0.0001))</f>
        <v>0.0001</v>
      </c>
      <c r="B865" s="449" t="n">
        <f aca="false">B864+pas</f>
        <v>35.7144000000007</v>
      </c>
      <c r="C865" s="432"/>
      <c r="D865" s="450" t="n">
        <f aca="false">IF(AND(L864&lt;L_rampe,Poussee&lt;Poids*SIN(M864)),0,(-W864+Poussee)/m*COS(M864)-U864/m*SIN(M864))</f>
        <v>-0.823453262404494</v>
      </c>
      <c r="E865" s="451" t="n">
        <f aca="false">IF(AND(L864&lt;L_rampe,Poussee&lt;Poids*SIN(M864)),0,(-W864+Poussee)/m*SIN(M864)+U864/m*COS(M864)-Poids/m)</f>
        <v>-3.84413564727654</v>
      </c>
      <c r="F865" s="449" t="n">
        <f aca="false">SQRT(acc_x^2+acc_z^2)</f>
        <v>3.931342537865</v>
      </c>
      <c r="G865" s="450" t="n">
        <f aca="false">G864+acc_x*pas</f>
        <v>18.8978023279334</v>
      </c>
      <c r="H865" s="451" t="n">
        <f aca="false">H864+acc_z*pas</f>
        <v>-136.914307354219</v>
      </c>
      <c r="I865" s="449" t="n">
        <f aca="false">SQRT(vit_x^2+vit_z^2)</f>
        <v>138.212352888991</v>
      </c>
      <c r="J865" s="450" t="n">
        <f aca="false">J864+0.5*(vit_x+G864)*pas*(K864&gt;=0)</f>
        <v>1017.12580762709</v>
      </c>
      <c r="K865" s="451" t="n">
        <f aca="false">K864+0.5*(vit_z+H864)*pas</f>
        <v>-14.3874870533344</v>
      </c>
      <c r="L865" s="449" t="n">
        <f aca="false">SQRT(pos_x^2+pos_z^2)</f>
        <v>1017.22755975483</v>
      </c>
      <c r="M865" s="450" t="n">
        <f aca="false">IF(AND(L864&gt;L_rampe,G865&gt;0),ATAN2(G865,H865),$M$4)</f>
        <v>-1.43363647276386</v>
      </c>
      <c r="N865" s="449" t="n">
        <f aca="false">DEGREES(Beta)</f>
        <v>-82.1413192453912</v>
      </c>
      <c r="O865" s="438"/>
      <c r="P865" s="452" t="n">
        <f aca="false">MATCH(t-pas/2-T_ini,CdP_t)</f>
        <v>23</v>
      </c>
      <c r="Q865" s="449" t="n">
        <f aca="false">(INDEX(CdP,2,i_P+1)-INDEX(CdP,2,i_P+0))/(INDEX(CdP,1,i_P+1)-INDEX(CdP,1,i_P+0))*(t-pas/2-T_ini-INDEX(CdP,1,i_P+0))+INDEX(CdP,2,i_P+0)</f>
        <v>0</v>
      </c>
      <c r="R865" s="450" t="n">
        <f aca="false">Poussee/(g*ISP)</f>
        <v>0</v>
      </c>
      <c r="S865" s="451" t="n">
        <f aca="false">S864-Débit*pas</f>
        <v>8.652</v>
      </c>
      <c r="T865" s="449" t="n">
        <f aca="false">m*g</f>
        <v>84.87612</v>
      </c>
      <c r="U865" s="453" t="n">
        <f aca="false">IF(pos_xz&lt;L_rampe,Poids*COS(Beta),0)</f>
        <v>0</v>
      </c>
      <c r="V865" s="450" t="n">
        <f aca="false">Rho_moyen*(20000-Alt_rampe-pos_z)/(20000+Alt_rampe+pos_z)</f>
        <v>1.22676373595044</v>
      </c>
      <c r="W865" s="449" t="n">
        <f aca="false">1/2*Rho*Sref*Cx*vit_xz^2</f>
        <v>52.1063781678578</v>
      </c>
      <c r="X865" s="438"/>
      <c r="Y865" s="454" t="str">
        <f aca="false">IF(AND(pos_z&lt;=0,K864&gt;0),"Impact balistique","") &amp; IF(AND(H866&lt;0,vit_z&gt;=0),"Apogée","") &amp; IF(AND(Poussee=0,Q864&gt;0),"Fin de propulsion","") &amp; IF(AND(L866&gt;L_rampe,pos_xz&lt;=L_rampe),"Sortie de rampe","")</f>
        <v/>
      </c>
      <c r="Z865" s="455" t="str">
        <f aca="false">IF(ABS(t-T_para)&lt;pas/2,"Para","")</f>
        <v/>
      </c>
      <c r="AA865" s="456" t="str">
        <f aca="false">IF(ABS(t-T_satellite)&lt;pas/2,"Satellite","")</f>
        <v/>
      </c>
      <c r="AB865" s="444"/>
      <c r="AC865" s="452" t="e">
        <f aca="false">IF(ABS(t-ROUND(t,0))&lt;0.001,t,NA())</f>
        <v>#N/A</v>
      </c>
      <c r="AD865" s="457" t="e">
        <f aca="false">IF(ABS(t-ROUND(t,0))&lt;0.001,pos_x,NA())</f>
        <v>#N/A</v>
      </c>
      <c r="AE865" s="458" t="e">
        <f aca="false">IF(t&lt;T_para, pos_z, NA())</f>
        <v>#N/A</v>
      </c>
      <c r="AF865" s="444"/>
      <c r="AG865" s="450" t="n">
        <f aca="false">IF(AND(L864&lt;L_rampe,Poussee&lt;Poids*SIN(M864)),0,(-W864+Poussee)/m-Poids*SIN(M864)/m)</f>
        <v>3.69544054456876</v>
      </c>
      <c r="AH865" s="449" t="n">
        <f aca="false">IF(AND(L864&lt;L_rampe,Poussee&lt;Poids*SIN(M864)), g*SIN(M864), (-W864+Poussee)/m)</f>
        <v>-6.02242581942369</v>
      </c>
    </row>
    <row r="866" customFormat="false" ht="12" hidden="false" customHeight="false" outlineLevel="0" collapsed="false">
      <c r="A866" s="448" t="n">
        <f aca="false">IF(B865+0.01&lt;=T_ini+ROUNDUP(Temps_fin_propu,0), 0.01, IF(K865&gt;0, 0.1, 0.0001))</f>
        <v>0.0001</v>
      </c>
      <c r="B866" s="449" t="n">
        <f aca="false">B865+pas</f>
        <v>35.7145000000007</v>
      </c>
      <c r="C866" s="432"/>
      <c r="D866" s="450" t="n">
        <f aca="false">IF(AND(L865&lt;L_rampe,Poussee&lt;Poids*SIN(M865)),0,(-W865+Poussee)/m*COS(M865)-U865/m*SIN(M865))</f>
        <v>-0.823453003423789</v>
      </c>
      <c r="E866" s="451" t="n">
        <f aca="false">IF(AND(L865&lt;L_rampe,Poussee&lt;Poids*SIN(M865)),0,(-W865+Poussee)/m*SIN(M865)+U865/m*COS(M865)-Poids/m)</f>
        <v>-3.84409477747204</v>
      </c>
      <c r="F866" s="449" t="n">
        <f aca="false">SQRT(acc_x^2+acc_z^2)</f>
        <v>3.9313025204168</v>
      </c>
      <c r="G866" s="450" t="n">
        <f aca="false">G865+acc_x*pas</f>
        <v>18.8977199826331</v>
      </c>
      <c r="H866" s="451" t="n">
        <f aca="false">H865+acc_z*pas</f>
        <v>-136.914691763696</v>
      </c>
      <c r="I866" s="449" t="n">
        <f aca="false">SQRT(vit_x^2+vit_z^2)</f>
        <v>138.212722429196</v>
      </c>
      <c r="J866" s="450" t="n">
        <f aca="false">J865+0.5*(vit_x+G865)*pas*(K865&gt;=0)</f>
        <v>1017.12580762709</v>
      </c>
      <c r="K866" s="451" t="n">
        <f aca="false">K865+0.5*(vit_z+H865)*pas</f>
        <v>-14.4011785032903</v>
      </c>
      <c r="L866" s="449" t="n">
        <f aca="false">SQRT(pos_x^2+pos_z^2)</f>
        <v>1017.22775349641</v>
      </c>
      <c r="M866" s="450" t="n">
        <f aca="false">IF(AND(L865&gt;L_rampe,G866&gt;0),ATAN2(G866,H866),$M$4)</f>
        <v>-1.43363744324126</v>
      </c>
      <c r="N866" s="449" t="n">
        <f aca="false">DEGREES(Beta)</f>
        <v>-82.1413748496505</v>
      </c>
      <c r="O866" s="438"/>
      <c r="P866" s="452" t="n">
        <f aca="false">MATCH(t-pas/2-T_ini,CdP_t)</f>
        <v>23</v>
      </c>
      <c r="Q866" s="449" t="n">
        <f aca="false">(INDEX(CdP,2,i_P+1)-INDEX(CdP,2,i_P+0))/(INDEX(CdP,1,i_P+1)-INDEX(CdP,1,i_P+0))*(t-pas/2-T_ini-INDEX(CdP,1,i_P+0))+INDEX(CdP,2,i_P+0)</f>
        <v>0</v>
      </c>
      <c r="R866" s="450" t="n">
        <f aca="false">Poussee/(g*ISP)</f>
        <v>0</v>
      </c>
      <c r="S866" s="451" t="n">
        <f aca="false">S865-Débit*pas</f>
        <v>8.652</v>
      </c>
      <c r="T866" s="449" t="n">
        <f aca="false">m*g</f>
        <v>84.87612</v>
      </c>
      <c r="U866" s="453" t="n">
        <f aca="false">IF(pos_xz&lt;L_rampe,Poids*COS(Beta),0)</f>
        <v>0</v>
      </c>
      <c r="V866" s="450" t="n">
        <f aca="false">Rho_moyen*(20000-Alt_rampe-pos_z)/(20000+Alt_rampe+pos_z)</f>
        <v>1.22676541556989</v>
      </c>
      <c r="W866" s="449" t="n">
        <f aca="false">1/2*Rho*Sref*Cx*vit_xz^2</f>
        <v>52.106728144916</v>
      </c>
      <c r="X866" s="438"/>
      <c r="Y866" s="454" t="str">
        <f aca="false">IF(AND(pos_z&lt;=0,K865&gt;0),"Impact balistique","") &amp; IF(AND(H867&lt;0,vit_z&gt;=0),"Apogée","") &amp; IF(AND(Poussee=0,Q865&gt;0),"Fin de propulsion","") &amp; IF(AND(L867&gt;L_rampe,pos_xz&lt;=L_rampe),"Sortie de rampe","")</f>
        <v/>
      </c>
      <c r="Z866" s="455" t="str">
        <f aca="false">IF(ABS(t-T_para)&lt;pas/2,"Para","")</f>
        <v/>
      </c>
      <c r="AA866" s="456" t="str">
        <f aca="false">IF(ABS(t-T_satellite)&lt;pas/2,"Satellite","")</f>
        <v/>
      </c>
      <c r="AB866" s="444"/>
      <c r="AC866" s="452" t="e">
        <f aca="false">IF(ABS(t-ROUND(t,0))&lt;0.001,t,NA())</f>
        <v>#N/A</v>
      </c>
      <c r="AD866" s="457" t="e">
        <f aca="false">IF(ABS(t-ROUND(t,0))&lt;0.001,pos_x,NA())</f>
        <v>#N/A</v>
      </c>
      <c r="AE866" s="458" t="e">
        <f aca="false">IF(t&lt;T_para, pos_z, NA())</f>
        <v>#N/A</v>
      </c>
      <c r="AF866" s="444"/>
      <c r="AG866" s="450" t="n">
        <f aca="false">IF(AND(L865&lt;L_rampe,Poussee&lt;Poids*SIN(M865)),0,(-W865+Poussee)/m-Poids*SIN(M865)/m)</f>
        <v>3.69540139575462</v>
      </c>
      <c r="AH866" s="449" t="n">
        <f aca="false">IF(AND(L865&lt;L_rampe,Poussee&lt;Poids*SIN(M865)), g*SIN(M865), (-W865+Poussee)/m)</f>
        <v>-6.02246626997894</v>
      </c>
    </row>
    <row r="867" customFormat="false" ht="12" hidden="false" customHeight="false" outlineLevel="0" collapsed="false">
      <c r="A867" s="448" t="n">
        <f aca="false">IF(B866+0.01&lt;=T_ini+ROUNDUP(Temps_fin_propu,0), 0.01, IF(K866&gt;0, 0.1, 0.0001))</f>
        <v>0.0001</v>
      </c>
      <c r="B867" s="449" t="n">
        <f aca="false">B866+pas</f>
        <v>35.7146000000007</v>
      </c>
      <c r="C867" s="432"/>
      <c r="D867" s="450" t="n">
        <f aca="false">IF(AND(L866&lt;L_rampe,Poussee&lt;Poids*SIN(M866)),0,(-W866+Poussee)/m*COS(M866)-U866/m*SIN(M866))</f>
        <v>-0.823452744402615</v>
      </c>
      <c r="E867" s="451" t="n">
        <f aca="false">IF(AND(L866&lt;L_rampe,Poussee&lt;Poids*SIN(M866)),0,(-W866+Poussee)/m*SIN(M866)+U866/m*COS(M866)-Poids/m)</f>
        <v>-3.84405390780137</v>
      </c>
      <c r="F867" s="449" t="n">
        <f aca="false">SQRT(acc_x^2+acc_z^2)</f>
        <v>3.93126250310853</v>
      </c>
      <c r="G867" s="450" t="n">
        <f aca="false">G866+acc_x*pas</f>
        <v>18.8976376373586</v>
      </c>
      <c r="H867" s="451" t="n">
        <f aca="false">H866+acc_z*pas</f>
        <v>-136.915076169087</v>
      </c>
      <c r="I867" s="449" t="n">
        <f aca="false">SQRT(vit_x^2+vit_z^2)</f>
        <v>138.213091965486</v>
      </c>
      <c r="J867" s="450" t="n">
        <f aca="false">J866+0.5*(vit_x+G866)*pas*(K866&gt;=0)</f>
        <v>1017.12580762709</v>
      </c>
      <c r="K867" s="451" t="n">
        <f aca="false">K866+0.5*(vit_z+H866)*pas</f>
        <v>-14.414869991687</v>
      </c>
      <c r="L867" s="449" t="n">
        <f aca="false">SQRT(pos_x^2+pos_z^2)</f>
        <v>1017.22794742277</v>
      </c>
      <c r="M867" s="450" t="n">
        <f aca="false">IF(AND(L866&gt;L_rampe,G867&gt;0),ATAN2(G867,H867),$M$4)</f>
        <v>-1.43363841370925</v>
      </c>
      <c r="N867" s="449" t="n">
        <f aca="false">DEGREES(Beta)</f>
        <v>-82.1414304533702</v>
      </c>
      <c r="O867" s="438"/>
      <c r="P867" s="452" t="n">
        <f aca="false">MATCH(t-pas/2-T_ini,CdP_t)</f>
        <v>23</v>
      </c>
      <c r="Q867" s="449" t="n">
        <f aca="false">(INDEX(CdP,2,i_P+1)-INDEX(CdP,2,i_P+0))/(INDEX(CdP,1,i_P+1)-INDEX(CdP,1,i_P+0))*(t-pas/2-T_ini-INDEX(CdP,1,i_P+0))+INDEX(CdP,2,i_P+0)</f>
        <v>0</v>
      </c>
      <c r="R867" s="450" t="n">
        <f aca="false">Poussee/(g*ISP)</f>
        <v>0</v>
      </c>
      <c r="S867" s="451" t="n">
        <f aca="false">S866-Débit*pas</f>
        <v>8.652</v>
      </c>
      <c r="T867" s="449" t="n">
        <f aca="false">m*g</f>
        <v>84.87612</v>
      </c>
      <c r="U867" s="453" t="n">
        <f aca="false">IF(pos_xz&lt;L_rampe,Poids*COS(Beta),0)</f>
        <v>0</v>
      </c>
      <c r="V867" s="450" t="n">
        <f aca="false">Rho_moyen*(20000-Alt_rampe-pos_z)/(20000+Alt_rampe+pos_z)</f>
        <v>1.22676709519636</v>
      </c>
      <c r="W867" s="449" t="n">
        <f aca="false">1/2*Rho*Sref*Cx*vit_xz^2</f>
        <v>52.1070781208284</v>
      </c>
      <c r="X867" s="438"/>
      <c r="Y867" s="454" t="str">
        <f aca="false">IF(AND(pos_z&lt;=0,K866&gt;0),"Impact balistique","") &amp; IF(AND(H868&lt;0,vit_z&gt;=0),"Apogée","") &amp; IF(AND(Poussee=0,Q866&gt;0),"Fin de propulsion","") &amp; IF(AND(L868&gt;L_rampe,pos_xz&lt;=L_rampe),"Sortie de rampe","")</f>
        <v/>
      </c>
      <c r="Z867" s="455" t="str">
        <f aca="false">IF(ABS(t-T_para)&lt;pas/2,"Para","")</f>
        <v/>
      </c>
      <c r="AA867" s="456" t="str">
        <f aca="false">IF(ABS(t-T_satellite)&lt;pas/2,"Satellite","")</f>
        <v/>
      </c>
      <c r="AB867" s="444"/>
      <c r="AC867" s="452" t="e">
        <f aca="false">IF(ABS(t-ROUND(t,0))&lt;0.001,t,NA())</f>
        <v>#N/A</v>
      </c>
      <c r="AD867" s="457" t="e">
        <f aca="false">IF(ABS(t-ROUND(t,0))&lt;0.001,pos_x,NA())</f>
        <v>#N/A</v>
      </c>
      <c r="AE867" s="458" t="e">
        <f aca="false">IF(t&lt;T_para, pos_z, NA())</f>
        <v>#N/A</v>
      </c>
      <c r="AF867" s="444"/>
      <c r="AG867" s="450" t="n">
        <f aca="false">IF(AND(L866&lt;L_rampe,Poussee&lt;Poids*SIN(M866)),0,(-W866+Poussee)/m-Poids*SIN(M866)/m)</f>
        <v>3.69536224705111</v>
      </c>
      <c r="AH867" s="449" t="n">
        <f aca="false">IF(AND(L866&lt;L_rampe,Poussee&lt;Poids*SIN(M866)), g*SIN(M866), (-W866+Poussee)/m)</f>
        <v>-6.02250672040176</v>
      </c>
    </row>
    <row r="868" customFormat="false" ht="12" hidden="false" customHeight="false" outlineLevel="0" collapsed="false">
      <c r="A868" s="448" t="n">
        <f aca="false">IF(B867+0.01&lt;=T_ini+ROUNDUP(Temps_fin_propu,0), 0.01, IF(K867&gt;0, 0.1, 0.0001))</f>
        <v>0.0001</v>
      </c>
      <c r="B868" s="449" t="n">
        <f aca="false">B867+pas</f>
        <v>35.7147000000007</v>
      </c>
      <c r="C868" s="432"/>
      <c r="D868" s="450" t="n">
        <f aca="false">IF(AND(L867&lt;L_rampe,Poussee&lt;Poids*SIN(M867)),0,(-W867+Poussee)/m*COS(M867)-U867/m*SIN(M867))</f>
        <v>-0.823452485340972</v>
      </c>
      <c r="E868" s="451" t="n">
        <f aca="false">IF(AND(L867&lt;L_rampe,Poussee&lt;Poids*SIN(M867)),0,(-W867+Poussee)/m*SIN(M867)+U867/m*COS(M867)-Poids/m)</f>
        <v>-3.84401303826453</v>
      </c>
      <c r="F868" s="449" t="n">
        <f aca="false">SQRT(acc_x^2+acc_z^2)</f>
        <v>3.93122248594021</v>
      </c>
      <c r="G868" s="450" t="n">
        <f aca="false">G867+acc_x*pas</f>
        <v>18.8975552921101</v>
      </c>
      <c r="H868" s="451" t="n">
        <f aca="false">H867+acc_z*pas</f>
        <v>-136.915460570391</v>
      </c>
      <c r="I868" s="449" t="n">
        <f aca="false">SQRT(vit_x^2+vit_z^2)</f>
        <v>138.213461497861</v>
      </c>
      <c r="J868" s="450" t="n">
        <f aca="false">J867+0.5*(vit_x+G867)*pas*(K867&gt;=0)</f>
        <v>1017.12580762709</v>
      </c>
      <c r="K868" s="451" t="n">
        <f aca="false">K867+0.5*(vit_z+H867)*pas</f>
        <v>-14.428561518524</v>
      </c>
      <c r="L868" s="449" t="n">
        <f aca="false">SQRT(pos_x^2+pos_z^2)</f>
        <v>1017.22814153392</v>
      </c>
      <c r="M868" s="450" t="n">
        <f aca="false">IF(AND(L867&gt;L_rampe,G868&gt;0),ATAN2(G868,H868),$M$4)</f>
        <v>-1.43363938416781</v>
      </c>
      <c r="N868" s="449" t="n">
        <f aca="false">DEGREES(Beta)</f>
        <v>-82.1414860565502</v>
      </c>
      <c r="O868" s="438"/>
      <c r="P868" s="452" t="n">
        <f aca="false">MATCH(t-pas/2-T_ini,CdP_t)</f>
        <v>23</v>
      </c>
      <c r="Q868" s="449" t="n">
        <f aca="false">(INDEX(CdP,2,i_P+1)-INDEX(CdP,2,i_P+0))/(INDEX(CdP,1,i_P+1)-INDEX(CdP,1,i_P+0))*(t-pas/2-T_ini-INDEX(CdP,1,i_P+0))+INDEX(CdP,2,i_P+0)</f>
        <v>0</v>
      </c>
      <c r="R868" s="450" t="n">
        <f aca="false">Poussee/(g*ISP)</f>
        <v>0</v>
      </c>
      <c r="S868" s="451" t="n">
        <f aca="false">S867-Débit*pas</f>
        <v>8.652</v>
      </c>
      <c r="T868" s="449" t="n">
        <f aca="false">m*g</f>
        <v>84.87612</v>
      </c>
      <c r="U868" s="453" t="n">
        <f aca="false">IF(pos_xz&lt;L_rampe,Poids*COS(Beta),0)</f>
        <v>0</v>
      </c>
      <c r="V868" s="450" t="n">
        <f aca="false">Rho_moyen*(20000-Alt_rampe-pos_z)/(20000+Alt_rampe+pos_z)</f>
        <v>1.22676877482984</v>
      </c>
      <c r="W868" s="449" t="n">
        <f aca="false">1/2*Rho*Sref*Cx*vit_xz^2</f>
        <v>52.1074280955949</v>
      </c>
      <c r="X868" s="438"/>
      <c r="Y868" s="454" t="str">
        <f aca="false">IF(AND(pos_z&lt;=0,K867&gt;0),"Impact balistique","") &amp; IF(AND(H869&lt;0,vit_z&gt;=0),"Apogée","") &amp; IF(AND(Poussee=0,Q867&gt;0),"Fin de propulsion","") &amp; IF(AND(L869&gt;L_rampe,pos_xz&lt;=L_rampe),"Sortie de rampe","")</f>
        <v/>
      </c>
      <c r="Z868" s="455" t="str">
        <f aca="false">IF(ABS(t-T_para)&lt;pas/2,"Para","")</f>
        <v/>
      </c>
      <c r="AA868" s="456" t="str">
        <f aca="false">IF(ABS(t-T_satellite)&lt;pas/2,"Satellite","")</f>
        <v/>
      </c>
      <c r="AB868" s="444"/>
      <c r="AC868" s="452" t="e">
        <f aca="false">IF(ABS(t-ROUND(t,0))&lt;0.001,t,NA())</f>
        <v>#N/A</v>
      </c>
      <c r="AD868" s="457" t="e">
        <f aca="false">IF(ABS(t-ROUND(t,0))&lt;0.001,pos_x,NA())</f>
        <v>#N/A</v>
      </c>
      <c r="AE868" s="458" t="e">
        <f aca="false">IF(t&lt;T_para, pos_z, NA())</f>
        <v>#N/A</v>
      </c>
      <c r="AF868" s="444"/>
      <c r="AG868" s="450" t="n">
        <f aca="false">IF(AND(L867&lt;L_rampe,Poussee&lt;Poids*SIN(M867)),0,(-W867+Poussee)/m-Poids*SIN(M867)/m)</f>
        <v>3.69532309845826</v>
      </c>
      <c r="AH868" s="449" t="n">
        <f aca="false">IF(AND(L867&lt;L_rampe,Poussee&lt;Poids*SIN(M867)), g*SIN(M867), (-W867+Poussee)/m)</f>
        <v>-6.02254717069214</v>
      </c>
    </row>
    <row r="869" customFormat="false" ht="12" hidden="false" customHeight="false" outlineLevel="0" collapsed="false">
      <c r="A869" s="448" t="n">
        <f aca="false">IF(B868+0.01&lt;=T_ini+ROUNDUP(Temps_fin_propu,0), 0.01, IF(K868&gt;0, 0.1, 0.0001))</f>
        <v>0.0001</v>
      </c>
      <c r="B869" s="449" t="n">
        <f aca="false">B868+pas</f>
        <v>35.7148000000007</v>
      </c>
      <c r="C869" s="432"/>
      <c r="D869" s="450" t="n">
        <f aca="false">IF(AND(L868&lt;L_rampe,Poussee&lt;Poids*SIN(M868)),0,(-W868+Poussee)/m*COS(M868)-U868/m*SIN(M868))</f>
        <v>-0.82345222623886</v>
      </c>
      <c r="E869" s="451" t="n">
        <f aca="false">IF(AND(L868&lt;L_rampe,Poussee&lt;Poids*SIN(M868)),0,(-W868+Poussee)/m*SIN(M868)+U868/m*COS(M868)-Poids/m)</f>
        <v>-3.84397216886152</v>
      </c>
      <c r="F869" s="449" t="n">
        <f aca="false">SQRT(acc_x^2+acc_z^2)</f>
        <v>3.93118246891182</v>
      </c>
      <c r="G869" s="450" t="n">
        <f aca="false">G868+acc_x*pas</f>
        <v>18.8974729468875</v>
      </c>
      <c r="H869" s="451" t="n">
        <f aca="false">H868+acc_z*pas</f>
        <v>-136.915844967608</v>
      </c>
      <c r="I869" s="449" t="n">
        <f aca="false">SQRT(vit_x^2+vit_z^2)</f>
        <v>138.213831026321</v>
      </c>
      <c r="J869" s="450" t="n">
        <f aca="false">J868+0.5*(vit_x+G868)*pas*(K868&gt;=0)</f>
        <v>1017.12580762709</v>
      </c>
      <c r="K869" s="451" t="n">
        <f aca="false">K868+0.5*(vit_z+H868)*pas</f>
        <v>-14.4422530838009</v>
      </c>
      <c r="L869" s="449" t="n">
        <f aca="false">SQRT(pos_x^2+pos_z^2)</f>
        <v>1017.22833582986</v>
      </c>
      <c r="M869" s="450" t="n">
        <f aca="false">IF(AND(L868&gt;L_rampe,G869&gt;0),ATAN2(G869,H869),$M$4)</f>
        <v>-1.43364035461696</v>
      </c>
      <c r="N869" s="449" t="n">
        <f aca="false">DEGREES(Beta)</f>
        <v>-82.1415416591907</v>
      </c>
      <c r="O869" s="438"/>
      <c r="P869" s="452" t="n">
        <f aca="false">MATCH(t-pas/2-T_ini,CdP_t)</f>
        <v>23</v>
      </c>
      <c r="Q869" s="449" t="n">
        <f aca="false">(INDEX(CdP,2,i_P+1)-INDEX(CdP,2,i_P+0))/(INDEX(CdP,1,i_P+1)-INDEX(CdP,1,i_P+0))*(t-pas/2-T_ini-INDEX(CdP,1,i_P+0))+INDEX(CdP,2,i_P+0)</f>
        <v>0</v>
      </c>
      <c r="R869" s="450" t="n">
        <f aca="false">Poussee/(g*ISP)</f>
        <v>0</v>
      </c>
      <c r="S869" s="451" t="n">
        <f aca="false">S868-Débit*pas</f>
        <v>8.652</v>
      </c>
      <c r="T869" s="449" t="n">
        <f aca="false">m*g</f>
        <v>84.87612</v>
      </c>
      <c r="U869" s="453" t="n">
        <f aca="false">IF(pos_xz&lt;L_rampe,Poids*COS(Beta),0)</f>
        <v>0</v>
      </c>
      <c r="V869" s="450" t="n">
        <f aca="false">Rho_moyen*(20000-Alt_rampe-pos_z)/(20000+Alt_rampe+pos_z)</f>
        <v>1.22677045447034</v>
      </c>
      <c r="W869" s="449" t="n">
        <f aca="false">1/2*Rho*Sref*Cx*vit_xz^2</f>
        <v>52.1077780692156</v>
      </c>
      <c r="X869" s="438"/>
      <c r="Y869" s="454" t="str">
        <f aca="false">IF(AND(pos_z&lt;=0,K868&gt;0),"Impact balistique","") &amp; IF(AND(H870&lt;0,vit_z&gt;=0),"Apogée","") &amp; IF(AND(Poussee=0,Q868&gt;0),"Fin de propulsion","") &amp; IF(AND(L870&gt;L_rampe,pos_xz&lt;=L_rampe),"Sortie de rampe","")</f>
        <v/>
      </c>
      <c r="Z869" s="455" t="str">
        <f aca="false">IF(ABS(t-T_para)&lt;pas/2,"Para","")</f>
        <v/>
      </c>
      <c r="AA869" s="456" t="str">
        <f aca="false">IF(ABS(t-T_satellite)&lt;pas/2,"Satellite","")</f>
        <v/>
      </c>
      <c r="AB869" s="444"/>
      <c r="AC869" s="452" t="e">
        <f aca="false">IF(ABS(t-ROUND(t,0))&lt;0.001,t,NA())</f>
        <v>#N/A</v>
      </c>
      <c r="AD869" s="457" t="e">
        <f aca="false">IF(ABS(t-ROUND(t,0))&lt;0.001,pos_x,NA())</f>
        <v>#N/A</v>
      </c>
      <c r="AE869" s="458" t="e">
        <f aca="false">IF(t&lt;T_para, pos_z, NA())</f>
        <v>#N/A</v>
      </c>
      <c r="AF869" s="444"/>
      <c r="AG869" s="450" t="n">
        <f aca="false">IF(AND(L868&lt;L_rampe,Poussee&lt;Poids*SIN(M868)),0,(-W868+Poussee)/m-Poids*SIN(M868)/m)</f>
        <v>3.69528394997606</v>
      </c>
      <c r="AH869" s="449" t="n">
        <f aca="false">IF(AND(L868&lt;L_rampe,Poussee&lt;Poids*SIN(M868)), g*SIN(M868), (-W868+Poussee)/m)</f>
        <v>-6.02258762085008</v>
      </c>
    </row>
    <row r="870" customFormat="false" ht="12" hidden="false" customHeight="false" outlineLevel="0" collapsed="false">
      <c r="A870" s="448" t="n">
        <f aca="false">IF(B869+0.01&lt;=T_ini+ROUNDUP(Temps_fin_propu,0), 0.01, IF(K869&gt;0, 0.1, 0.0001))</f>
        <v>0.0001</v>
      </c>
      <c r="B870" s="449" t="n">
        <f aca="false">B869+pas</f>
        <v>35.7149000000007</v>
      </c>
      <c r="C870" s="432"/>
      <c r="D870" s="450" t="n">
        <f aca="false">IF(AND(L869&lt;L_rampe,Poussee&lt;Poids*SIN(M869)),0,(-W869+Poussee)/m*COS(M869)-U869/m*SIN(M869))</f>
        <v>-0.823451967096279</v>
      </c>
      <c r="E870" s="451" t="n">
        <f aca="false">IF(AND(L869&lt;L_rampe,Poussee&lt;Poids*SIN(M869)),0,(-W869+Poussee)/m*SIN(M869)+U869/m*COS(M869)-Poids/m)</f>
        <v>-3.84393129959235</v>
      </c>
      <c r="F870" s="449" t="n">
        <f aca="false">SQRT(acc_x^2+acc_z^2)</f>
        <v>3.93114245202339</v>
      </c>
      <c r="G870" s="450" t="n">
        <f aca="false">G869+acc_x*pas</f>
        <v>18.8973906016908</v>
      </c>
      <c r="H870" s="451" t="n">
        <f aca="false">H869+acc_z*pas</f>
        <v>-136.916229360738</v>
      </c>
      <c r="I870" s="449" t="n">
        <f aca="false">SQRT(vit_x^2+vit_z^2)</f>
        <v>138.214200550866</v>
      </c>
      <c r="J870" s="450" t="n">
        <f aca="false">J869+0.5*(vit_x+G869)*pas*(K869&gt;=0)</f>
        <v>1017.12580762709</v>
      </c>
      <c r="K870" s="451" t="n">
        <f aca="false">K869+0.5*(vit_z+H869)*pas</f>
        <v>-14.4559446875173</v>
      </c>
      <c r="L870" s="449" t="n">
        <f aca="false">SQRT(pos_x^2+pos_z^2)</f>
        <v>1017.2285303106</v>
      </c>
      <c r="M870" s="450" t="n">
        <f aca="false">IF(AND(L869&gt;L_rampe,G870&gt;0),ATAN2(G870,H870),$M$4)</f>
        <v>-1.43364132505669</v>
      </c>
      <c r="N870" s="449" t="n">
        <f aca="false">DEGREES(Beta)</f>
        <v>-82.1415972612915</v>
      </c>
      <c r="O870" s="438"/>
      <c r="P870" s="452" t="n">
        <f aca="false">MATCH(t-pas/2-T_ini,CdP_t)</f>
        <v>23</v>
      </c>
      <c r="Q870" s="449" t="n">
        <f aca="false">(INDEX(CdP,2,i_P+1)-INDEX(CdP,2,i_P+0))/(INDEX(CdP,1,i_P+1)-INDEX(CdP,1,i_P+0))*(t-pas/2-T_ini-INDEX(CdP,1,i_P+0))+INDEX(CdP,2,i_P+0)</f>
        <v>0</v>
      </c>
      <c r="R870" s="450" t="n">
        <f aca="false">Poussee/(g*ISP)</f>
        <v>0</v>
      </c>
      <c r="S870" s="451" t="n">
        <f aca="false">S869-Débit*pas</f>
        <v>8.652</v>
      </c>
      <c r="T870" s="449" t="n">
        <f aca="false">m*g</f>
        <v>84.87612</v>
      </c>
      <c r="U870" s="453" t="n">
        <f aca="false">IF(pos_xz&lt;L_rampe,Poids*COS(Beta),0)</f>
        <v>0</v>
      </c>
      <c r="V870" s="450" t="n">
        <f aca="false">Rho_moyen*(20000-Alt_rampe-pos_z)/(20000+Alt_rampe+pos_z)</f>
        <v>1.22677213411786</v>
      </c>
      <c r="W870" s="449" t="n">
        <f aca="false">1/2*Rho*Sref*Cx*vit_xz^2</f>
        <v>52.1081280416904</v>
      </c>
      <c r="X870" s="438"/>
      <c r="Y870" s="454" t="str">
        <f aca="false">IF(AND(pos_z&lt;=0,K869&gt;0),"Impact balistique","") &amp; IF(AND(H871&lt;0,vit_z&gt;=0),"Apogée","") &amp; IF(AND(Poussee=0,Q869&gt;0),"Fin de propulsion","") &amp; IF(AND(L871&gt;L_rampe,pos_xz&lt;=L_rampe),"Sortie de rampe","")</f>
        <v/>
      </c>
      <c r="Z870" s="455" t="str">
        <f aca="false">IF(ABS(t-T_para)&lt;pas/2,"Para","")</f>
        <v/>
      </c>
      <c r="AA870" s="456" t="str">
        <f aca="false">IF(ABS(t-T_satellite)&lt;pas/2,"Satellite","")</f>
        <v/>
      </c>
      <c r="AB870" s="444"/>
      <c r="AC870" s="452" t="e">
        <f aca="false">IF(ABS(t-ROUND(t,0))&lt;0.001,t,NA())</f>
        <v>#N/A</v>
      </c>
      <c r="AD870" s="457" t="e">
        <f aca="false">IF(ABS(t-ROUND(t,0))&lt;0.001,pos_x,NA())</f>
        <v>#N/A</v>
      </c>
      <c r="AE870" s="458" t="e">
        <f aca="false">IF(t&lt;T_para, pos_z, NA())</f>
        <v>#N/A</v>
      </c>
      <c r="AF870" s="444"/>
      <c r="AG870" s="450" t="n">
        <f aca="false">IF(AND(L869&lt;L_rampe,Poussee&lt;Poids*SIN(M869)),0,(-W869+Poussee)/m-Poids*SIN(M869)/m)</f>
        <v>3.69524480160452</v>
      </c>
      <c r="AH870" s="449" t="n">
        <f aca="false">IF(AND(L869&lt;L_rampe,Poussee&lt;Poids*SIN(M869)), g*SIN(M869), (-W869+Poussee)/m)</f>
        <v>-6.02262807087559</v>
      </c>
    </row>
    <row r="871" customFormat="false" ht="12" hidden="false" customHeight="false" outlineLevel="0" collapsed="false">
      <c r="A871" s="448" t="n">
        <f aca="false">IF(B870+0.01&lt;=T_ini+ROUNDUP(Temps_fin_propu,0), 0.01, IF(K870&gt;0, 0.1, 0.0001))</f>
        <v>0.0001</v>
      </c>
      <c r="B871" s="449" t="n">
        <f aca="false">B870+pas</f>
        <v>35.7150000000007</v>
      </c>
      <c r="C871" s="432"/>
      <c r="D871" s="450" t="n">
        <f aca="false">IF(AND(L870&lt;L_rampe,Poussee&lt;Poids*SIN(M870)),0,(-W870+Poussee)/m*COS(M870)-U870/m*SIN(M870))</f>
        <v>-0.823451707913231</v>
      </c>
      <c r="E871" s="451" t="n">
        <f aca="false">IF(AND(L870&lt;L_rampe,Poussee&lt;Poids*SIN(M870)),0,(-W870+Poussee)/m*SIN(M870)+U870/m*COS(M870)-Poids/m)</f>
        <v>-3.84389043045701</v>
      </c>
      <c r="F871" s="449" t="n">
        <f aca="false">SQRT(acc_x^2+acc_z^2)</f>
        <v>3.93110243527489</v>
      </c>
      <c r="G871" s="450" t="n">
        <f aca="false">G870+acc_x*pas</f>
        <v>18.89730825652</v>
      </c>
      <c r="H871" s="451" t="n">
        <f aca="false">H870+acc_z*pas</f>
        <v>-136.916613749781</v>
      </c>
      <c r="I871" s="449" t="n">
        <f aca="false">SQRT(vit_x^2+vit_z^2)</f>
        <v>138.214570071496</v>
      </c>
      <c r="J871" s="450" t="n">
        <f aca="false">J870+0.5*(vit_x+G870)*pas*(K870&gt;=0)</f>
        <v>1017.12580762709</v>
      </c>
      <c r="K871" s="451" t="n">
        <f aca="false">K870+0.5*(vit_z+H870)*pas</f>
        <v>-14.4696363296728</v>
      </c>
      <c r="L871" s="449" t="n">
        <f aca="false">SQRT(pos_x^2+pos_z^2)</f>
        <v>1017.22872497613</v>
      </c>
      <c r="M871" s="450" t="n">
        <f aca="false">IF(AND(L870&gt;L_rampe,G871&gt;0),ATAN2(G871,H871),$M$4)</f>
        <v>-1.43364229548701</v>
      </c>
      <c r="N871" s="449" t="n">
        <f aca="false">DEGREES(Beta)</f>
        <v>-82.1416528628527</v>
      </c>
      <c r="O871" s="438"/>
      <c r="P871" s="452" t="n">
        <f aca="false">MATCH(t-pas/2-T_ini,CdP_t)</f>
        <v>23</v>
      </c>
      <c r="Q871" s="449" t="n">
        <f aca="false">(INDEX(CdP,2,i_P+1)-INDEX(CdP,2,i_P+0))/(INDEX(CdP,1,i_P+1)-INDEX(CdP,1,i_P+0))*(t-pas/2-T_ini-INDEX(CdP,1,i_P+0))+INDEX(CdP,2,i_P+0)</f>
        <v>0</v>
      </c>
      <c r="R871" s="450" t="n">
        <f aca="false">Poussee/(g*ISP)</f>
        <v>0</v>
      </c>
      <c r="S871" s="451" t="n">
        <f aca="false">S870-Débit*pas</f>
        <v>8.652</v>
      </c>
      <c r="T871" s="449" t="n">
        <f aca="false">m*g</f>
        <v>84.87612</v>
      </c>
      <c r="U871" s="453" t="n">
        <f aca="false">IF(pos_xz&lt;L_rampe,Poids*COS(Beta),0)</f>
        <v>0</v>
      </c>
      <c r="V871" s="450" t="n">
        <f aca="false">Rho_moyen*(20000-Alt_rampe-pos_z)/(20000+Alt_rampe+pos_z)</f>
        <v>1.2267738137724</v>
      </c>
      <c r="W871" s="449" t="n">
        <f aca="false">1/2*Rho*Sref*Cx*vit_xz^2</f>
        <v>52.1084780130192</v>
      </c>
      <c r="X871" s="438"/>
      <c r="Y871" s="454" t="str">
        <f aca="false">IF(AND(pos_z&lt;=0,K870&gt;0),"Impact balistique","") &amp; IF(AND(H872&lt;0,vit_z&gt;=0),"Apogée","") &amp; IF(AND(Poussee=0,Q870&gt;0),"Fin de propulsion","") &amp; IF(AND(L872&gt;L_rampe,pos_xz&lt;=L_rampe),"Sortie de rampe","")</f>
        <v/>
      </c>
      <c r="Z871" s="455" t="str">
        <f aca="false">IF(ABS(t-T_para)&lt;pas/2,"Para","")</f>
        <v/>
      </c>
      <c r="AA871" s="456" t="str">
        <f aca="false">IF(ABS(t-T_satellite)&lt;pas/2,"Satellite","")</f>
        <v/>
      </c>
      <c r="AB871" s="444"/>
      <c r="AC871" s="452" t="e">
        <f aca="false">IF(ABS(t-ROUND(t,0))&lt;0.001,t,NA())</f>
        <v>#N/A</v>
      </c>
      <c r="AD871" s="457" t="e">
        <f aca="false">IF(ABS(t-ROUND(t,0))&lt;0.001,pos_x,NA())</f>
        <v>#N/A</v>
      </c>
      <c r="AE871" s="458" t="e">
        <f aca="false">IF(t&lt;T_para, pos_z, NA())</f>
        <v>#N/A</v>
      </c>
      <c r="AF871" s="444"/>
      <c r="AG871" s="450" t="n">
        <f aca="false">IF(AND(L870&lt;L_rampe,Poussee&lt;Poids*SIN(M870)),0,(-W870+Poussee)/m-Poids*SIN(M870)/m)</f>
        <v>3.69520565334364</v>
      </c>
      <c r="AH871" s="449" t="n">
        <f aca="false">IF(AND(L870&lt;L_rampe,Poussee&lt;Poids*SIN(M870)), g*SIN(M870), (-W870+Poussee)/m)</f>
        <v>-6.02266852076865</v>
      </c>
    </row>
    <row r="872" customFormat="false" ht="12" hidden="false" customHeight="false" outlineLevel="0" collapsed="false">
      <c r="A872" s="448" t="n">
        <f aca="false">IF(B871+0.01&lt;=T_ini+ROUNDUP(Temps_fin_propu,0), 0.01, IF(K871&gt;0, 0.1, 0.0001))</f>
        <v>0.0001</v>
      </c>
      <c r="B872" s="449" t="n">
        <f aca="false">B871+pas</f>
        <v>35.7151000000007</v>
      </c>
      <c r="C872" s="432"/>
      <c r="D872" s="450" t="n">
        <f aca="false">IF(AND(L871&lt;L_rampe,Poussee&lt;Poids*SIN(M871)),0,(-W871+Poussee)/m*COS(M871)-U871/m*SIN(M871))</f>
        <v>-0.823451448689715</v>
      </c>
      <c r="E872" s="451" t="n">
        <f aca="false">IF(AND(L871&lt;L_rampe,Poussee&lt;Poids*SIN(M871)),0,(-W871+Poussee)/m*SIN(M871)+U871/m*COS(M871)-Poids/m)</f>
        <v>-3.84384956145552</v>
      </c>
      <c r="F872" s="449" t="n">
        <f aca="false">SQRT(acc_x^2+acc_z^2)</f>
        <v>3.93106241866635</v>
      </c>
      <c r="G872" s="450" t="n">
        <f aca="false">G871+acc_x*pas</f>
        <v>18.8972259113751</v>
      </c>
      <c r="H872" s="451" t="n">
        <f aca="false">H871+acc_z*pas</f>
        <v>-136.916998134737</v>
      </c>
      <c r="I872" s="449" t="n">
        <f aca="false">SQRT(vit_x^2+vit_z^2)</f>
        <v>138.214939588212</v>
      </c>
      <c r="J872" s="450" t="n">
        <f aca="false">J871+0.5*(vit_x+G871)*pas*(K871&gt;=0)</f>
        <v>1017.12580762709</v>
      </c>
      <c r="K872" s="451" t="n">
        <f aca="false">K871+0.5*(vit_z+H871)*pas</f>
        <v>-14.483328010267</v>
      </c>
      <c r="L872" s="449" t="n">
        <f aca="false">SQRT(pos_x^2+pos_z^2)</f>
        <v>1017.22891982646</v>
      </c>
      <c r="M872" s="450" t="n">
        <f aca="false">IF(AND(L871&gt;L_rampe,G872&gt;0),ATAN2(G872,H872),$M$4)</f>
        <v>-1.4336432659079</v>
      </c>
      <c r="N872" s="449" t="n">
        <f aca="false">DEGREES(Beta)</f>
        <v>-82.1417084638744</v>
      </c>
      <c r="O872" s="438"/>
      <c r="P872" s="452" t="n">
        <f aca="false">MATCH(t-pas/2-T_ini,CdP_t)</f>
        <v>23</v>
      </c>
      <c r="Q872" s="449" t="n">
        <f aca="false">(INDEX(CdP,2,i_P+1)-INDEX(CdP,2,i_P+0))/(INDEX(CdP,1,i_P+1)-INDEX(CdP,1,i_P+0))*(t-pas/2-T_ini-INDEX(CdP,1,i_P+0))+INDEX(CdP,2,i_P+0)</f>
        <v>0</v>
      </c>
      <c r="R872" s="450" t="n">
        <f aca="false">Poussee/(g*ISP)</f>
        <v>0</v>
      </c>
      <c r="S872" s="451" t="n">
        <f aca="false">S871-Débit*pas</f>
        <v>8.652</v>
      </c>
      <c r="T872" s="449" t="n">
        <f aca="false">m*g</f>
        <v>84.87612</v>
      </c>
      <c r="U872" s="453" t="n">
        <f aca="false">IF(pos_xz&lt;L_rampe,Poids*COS(Beta),0)</f>
        <v>0</v>
      </c>
      <c r="V872" s="450" t="n">
        <f aca="false">Rho_moyen*(20000-Alt_rampe-pos_z)/(20000+Alt_rampe+pos_z)</f>
        <v>1.22677549343395</v>
      </c>
      <c r="W872" s="449" t="n">
        <f aca="false">1/2*Rho*Sref*Cx*vit_xz^2</f>
        <v>52.1088279832022</v>
      </c>
      <c r="X872" s="438"/>
      <c r="Y872" s="454" t="str">
        <f aca="false">IF(AND(pos_z&lt;=0,K871&gt;0),"Impact balistique","") &amp; IF(AND(H873&lt;0,vit_z&gt;=0),"Apogée","") &amp; IF(AND(Poussee=0,Q871&gt;0),"Fin de propulsion","") &amp; IF(AND(L873&gt;L_rampe,pos_xz&lt;=L_rampe),"Sortie de rampe","")</f>
        <v/>
      </c>
      <c r="Z872" s="455" t="str">
        <f aca="false">IF(ABS(t-T_para)&lt;pas/2,"Para","")</f>
        <v/>
      </c>
      <c r="AA872" s="456" t="str">
        <f aca="false">IF(ABS(t-T_satellite)&lt;pas/2,"Satellite","")</f>
        <v/>
      </c>
      <c r="AB872" s="444"/>
      <c r="AC872" s="452" t="e">
        <f aca="false">IF(ABS(t-ROUND(t,0))&lt;0.001,t,NA())</f>
        <v>#N/A</v>
      </c>
      <c r="AD872" s="457" t="e">
        <f aca="false">IF(ABS(t-ROUND(t,0))&lt;0.001,pos_x,NA())</f>
        <v>#N/A</v>
      </c>
      <c r="AE872" s="458" t="e">
        <f aca="false">IF(t&lt;T_para, pos_z, NA())</f>
        <v>#N/A</v>
      </c>
      <c r="AF872" s="444"/>
      <c r="AG872" s="450" t="n">
        <f aca="false">IF(AND(L871&lt;L_rampe,Poussee&lt;Poids*SIN(M871)),0,(-W871+Poussee)/m-Poids*SIN(M871)/m)</f>
        <v>3.69516650519341</v>
      </c>
      <c r="AH872" s="449" t="n">
        <f aca="false">IF(AND(L871&lt;L_rampe,Poussee&lt;Poids*SIN(M871)), g*SIN(M871), (-W871+Poussee)/m)</f>
        <v>-6.02270897052927</v>
      </c>
    </row>
    <row r="873" customFormat="false" ht="12" hidden="false" customHeight="false" outlineLevel="0" collapsed="false">
      <c r="A873" s="448" t="n">
        <f aca="false">IF(B872+0.01&lt;=T_ini+ROUNDUP(Temps_fin_propu,0), 0.01, IF(K872&gt;0, 0.1, 0.0001))</f>
        <v>0.0001</v>
      </c>
      <c r="B873" s="449" t="n">
        <f aca="false">B872+pas</f>
        <v>35.7152000000007</v>
      </c>
      <c r="C873" s="432"/>
      <c r="D873" s="450" t="n">
        <f aca="false">IF(AND(L872&lt;L_rampe,Poussee&lt;Poids*SIN(M872)),0,(-W872+Poussee)/m*COS(M872)-U872/m*SIN(M872))</f>
        <v>-0.823451189425732</v>
      </c>
      <c r="E873" s="451" t="n">
        <f aca="false">IF(AND(L872&lt;L_rampe,Poussee&lt;Poids*SIN(M872)),0,(-W872+Poussee)/m*SIN(M872)+U872/m*COS(M872)-Poids/m)</f>
        <v>-3.84380869258786</v>
      </c>
      <c r="F873" s="449" t="n">
        <f aca="false">SQRT(acc_x^2+acc_z^2)</f>
        <v>3.93102240219776</v>
      </c>
      <c r="G873" s="450" t="n">
        <f aca="false">G872+acc_x*pas</f>
        <v>18.8971435662562</v>
      </c>
      <c r="H873" s="451" t="n">
        <f aca="false">H872+acc_z*pas</f>
        <v>-136.917382515606</v>
      </c>
      <c r="I873" s="449" t="n">
        <f aca="false">SQRT(vit_x^2+vit_z^2)</f>
        <v>138.215309101013</v>
      </c>
      <c r="J873" s="450" t="n">
        <f aca="false">J872+0.5*(vit_x+G872)*pas*(K872&gt;=0)</f>
        <v>1017.12580762709</v>
      </c>
      <c r="K873" s="451" t="n">
        <f aca="false">K872+0.5*(vit_z+H872)*pas</f>
        <v>-14.4970197292995</v>
      </c>
      <c r="L873" s="449" t="n">
        <f aca="false">SQRT(pos_x^2+pos_z^2)</f>
        <v>1017.22911486159</v>
      </c>
      <c r="M873" s="450" t="n">
        <f aca="false">IF(AND(L872&gt;L_rampe,G873&gt;0),ATAN2(G873,H873),$M$4)</f>
        <v>-1.43364423631938</v>
      </c>
      <c r="N873" s="449" t="n">
        <f aca="false">DEGREES(Beta)</f>
        <v>-82.1417640643565</v>
      </c>
      <c r="O873" s="438"/>
      <c r="P873" s="452" t="n">
        <f aca="false">MATCH(t-pas/2-T_ini,CdP_t)</f>
        <v>23</v>
      </c>
      <c r="Q873" s="449" t="n">
        <f aca="false">(INDEX(CdP,2,i_P+1)-INDEX(CdP,2,i_P+0))/(INDEX(CdP,1,i_P+1)-INDEX(CdP,1,i_P+0))*(t-pas/2-T_ini-INDEX(CdP,1,i_P+0))+INDEX(CdP,2,i_P+0)</f>
        <v>0</v>
      </c>
      <c r="R873" s="450" t="n">
        <f aca="false">Poussee/(g*ISP)</f>
        <v>0</v>
      </c>
      <c r="S873" s="451" t="n">
        <f aca="false">S872-Débit*pas</f>
        <v>8.652</v>
      </c>
      <c r="T873" s="449" t="n">
        <f aca="false">m*g</f>
        <v>84.87612</v>
      </c>
      <c r="U873" s="453" t="n">
        <f aca="false">IF(pos_xz&lt;L_rampe,Poids*COS(Beta),0)</f>
        <v>0</v>
      </c>
      <c r="V873" s="450" t="n">
        <f aca="false">Rho_moyen*(20000-Alt_rampe-pos_z)/(20000+Alt_rampe+pos_z)</f>
        <v>1.22677717310252</v>
      </c>
      <c r="W873" s="449" t="n">
        <f aca="false">1/2*Rho*Sref*Cx*vit_xz^2</f>
        <v>52.1091779522392</v>
      </c>
      <c r="X873" s="438"/>
      <c r="Y873" s="454" t="str">
        <f aca="false">IF(AND(pos_z&lt;=0,K872&gt;0),"Impact balistique","") &amp; IF(AND(H874&lt;0,vit_z&gt;=0),"Apogée","") &amp; IF(AND(Poussee=0,Q872&gt;0),"Fin de propulsion","") &amp; IF(AND(L874&gt;L_rampe,pos_xz&lt;=L_rampe),"Sortie de rampe","")</f>
        <v/>
      </c>
      <c r="Z873" s="455" t="str">
        <f aca="false">IF(ABS(t-T_para)&lt;pas/2,"Para","")</f>
        <v/>
      </c>
      <c r="AA873" s="456" t="str">
        <f aca="false">IF(ABS(t-T_satellite)&lt;pas/2,"Satellite","")</f>
        <v/>
      </c>
      <c r="AB873" s="444"/>
      <c r="AC873" s="452" t="e">
        <f aca="false">IF(ABS(t-ROUND(t,0))&lt;0.001,t,NA())</f>
        <v>#N/A</v>
      </c>
      <c r="AD873" s="457" t="e">
        <f aca="false">IF(ABS(t-ROUND(t,0))&lt;0.001,pos_x,NA())</f>
        <v>#N/A</v>
      </c>
      <c r="AE873" s="458" t="e">
        <f aca="false">IF(t&lt;T_para, pos_z, NA())</f>
        <v>#N/A</v>
      </c>
      <c r="AF873" s="444"/>
      <c r="AG873" s="450" t="n">
        <f aca="false">IF(AND(L872&lt;L_rampe,Poussee&lt;Poids*SIN(M872)),0,(-W872+Poussee)/m-Poids*SIN(M872)/m)</f>
        <v>3.69512735715385</v>
      </c>
      <c r="AH873" s="449" t="n">
        <f aca="false">IF(AND(L872&lt;L_rampe,Poussee&lt;Poids*SIN(M872)), g*SIN(M872), (-W872+Poussee)/m)</f>
        <v>-6.02274942015745</v>
      </c>
    </row>
    <row r="874" customFormat="false" ht="12" hidden="false" customHeight="false" outlineLevel="0" collapsed="false">
      <c r="A874" s="448" t="n">
        <f aca="false">IF(B873+0.01&lt;=T_ini+ROUNDUP(Temps_fin_propu,0), 0.01, IF(K873&gt;0, 0.1, 0.0001))</f>
        <v>0.0001</v>
      </c>
      <c r="B874" s="449" t="n">
        <f aca="false">B873+pas</f>
        <v>35.7153000000007</v>
      </c>
      <c r="C874" s="432"/>
      <c r="D874" s="450" t="n">
        <f aca="false">IF(AND(L873&lt;L_rampe,Poussee&lt;Poids*SIN(M873)),0,(-W873+Poussee)/m*COS(M873)-U873/m*SIN(M873))</f>
        <v>-0.82345093012128</v>
      </c>
      <c r="E874" s="451" t="n">
        <f aca="false">IF(AND(L873&lt;L_rampe,Poussee&lt;Poids*SIN(M873)),0,(-W873+Poussee)/m*SIN(M873)+U873/m*COS(M873)-Poids/m)</f>
        <v>-3.84376782385405</v>
      </c>
      <c r="F874" s="449" t="n">
        <f aca="false">SQRT(acc_x^2+acc_z^2)</f>
        <v>3.93098238586912</v>
      </c>
      <c r="G874" s="450" t="n">
        <f aca="false">G873+acc_x*pas</f>
        <v>18.8970612211632</v>
      </c>
      <c r="H874" s="451" t="n">
        <f aca="false">H873+acc_z*pas</f>
        <v>-136.917766892389</v>
      </c>
      <c r="I874" s="449" t="n">
        <f aca="false">SQRT(vit_x^2+vit_z^2)</f>
        <v>138.215678609899</v>
      </c>
      <c r="J874" s="450" t="n">
        <f aca="false">J873+0.5*(vit_x+G873)*pas*(K873&gt;=0)</f>
        <v>1017.12580762709</v>
      </c>
      <c r="K874" s="451" t="n">
        <f aca="false">K873+0.5*(vit_z+H873)*pas</f>
        <v>-14.5107114867699</v>
      </c>
      <c r="L874" s="449" t="n">
        <f aca="false">SQRT(pos_x^2+pos_z^2)</f>
        <v>1017.22931008151</v>
      </c>
      <c r="M874" s="450" t="n">
        <f aca="false">IF(AND(L873&gt;L_rampe,G874&gt;0),ATAN2(G874,H874),$M$4)</f>
        <v>-1.43364520672144</v>
      </c>
      <c r="N874" s="449" t="n">
        <f aca="false">DEGREES(Beta)</f>
        <v>-82.141819664299</v>
      </c>
      <c r="O874" s="438"/>
      <c r="P874" s="452" t="n">
        <f aca="false">MATCH(t-pas/2-T_ini,CdP_t)</f>
        <v>23</v>
      </c>
      <c r="Q874" s="449" t="n">
        <f aca="false">(INDEX(CdP,2,i_P+1)-INDEX(CdP,2,i_P+0))/(INDEX(CdP,1,i_P+1)-INDEX(CdP,1,i_P+0))*(t-pas/2-T_ini-INDEX(CdP,1,i_P+0))+INDEX(CdP,2,i_P+0)</f>
        <v>0</v>
      </c>
      <c r="R874" s="450" t="n">
        <f aca="false">Poussee/(g*ISP)</f>
        <v>0</v>
      </c>
      <c r="S874" s="451" t="n">
        <f aca="false">S873-Débit*pas</f>
        <v>8.652</v>
      </c>
      <c r="T874" s="449" t="n">
        <f aca="false">m*g</f>
        <v>84.87612</v>
      </c>
      <c r="U874" s="453" t="n">
        <f aca="false">IF(pos_xz&lt;L_rampe,Poids*COS(Beta),0)</f>
        <v>0</v>
      </c>
      <c r="V874" s="450" t="n">
        <f aca="false">Rho_moyen*(20000-Alt_rampe-pos_z)/(20000+Alt_rampe+pos_z)</f>
        <v>1.2267788527781</v>
      </c>
      <c r="W874" s="449" t="n">
        <f aca="false">1/2*Rho*Sref*Cx*vit_xz^2</f>
        <v>52.1095279201303</v>
      </c>
      <c r="X874" s="438"/>
      <c r="Y874" s="454" t="str">
        <f aca="false">IF(AND(pos_z&lt;=0,K873&gt;0),"Impact balistique","") &amp; IF(AND(H875&lt;0,vit_z&gt;=0),"Apogée","") &amp; IF(AND(Poussee=0,Q873&gt;0),"Fin de propulsion","") &amp; IF(AND(L875&gt;L_rampe,pos_xz&lt;=L_rampe),"Sortie de rampe","")</f>
        <v/>
      </c>
      <c r="Z874" s="455" t="str">
        <f aca="false">IF(ABS(t-T_para)&lt;pas/2,"Para","")</f>
        <v/>
      </c>
      <c r="AA874" s="456" t="str">
        <f aca="false">IF(ABS(t-T_satellite)&lt;pas/2,"Satellite","")</f>
        <v/>
      </c>
      <c r="AB874" s="444"/>
      <c r="AC874" s="452" t="e">
        <f aca="false">IF(ABS(t-ROUND(t,0))&lt;0.001,t,NA())</f>
        <v>#N/A</v>
      </c>
      <c r="AD874" s="457" t="e">
        <f aca="false">IF(ABS(t-ROUND(t,0))&lt;0.001,pos_x,NA())</f>
        <v>#N/A</v>
      </c>
      <c r="AE874" s="458" t="e">
        <f aca="false">IF(t&lt;T_para, pos_z, NA())</f>
        <v>#N/A</v>
      </c>
      <c r="AF874" s="444"/>
      <c r="AG874" s="450" t="n">
        <f aca="false">IF(AND(L873&lt;L_rampe,Poussee&lt;Poids*SIN(M873)),0,(-W873+Poussee)/m-Poids*SIN(M873)/m)</f>
        <v>3.69508820922496</v>
      </c>
      <c r="AH874" s="449" t="n">
        <f aca="false">IF(AND(L873&lt;L_rampe,Poussee&lt;Poids*SIN(M873)), g*SIN(M873), (-W873+Poussee)/m)</f>
        <v>-6.02278986965317</v>
      </c>
    </row>
    <row r="875" customFormat="false" ht="12" hidden="false" customHeight="false" outlineLevel="0" collapsed="false">
      <c r="A875" s="448" t="n">
        <f aca="false">IF(B874+0.01&lt;=T_ini+ROUNDUP(Temps_fin_propu,0), 0.01, IF(K874&gt;0, 0.1, 0.0001))</f>
        <v>0.0001</v>
      </c>
      <c r="B875" s="449" t="n">
        <f aca="false">B874+pas</f>
        <v>35.7154000000007</v>
      </c>
      <c r="C875" s="432"/>
      <c r="D875" s="450" t="n">
        <f aca="false">IF(AND(L874&lt;L_rampe,Poussee&lt;Poids*SIN(M874)),0,(-W874+Poussee)/m*COS(M874)-U874/m*SIN(M874))</f>
        <v>-0.823450670776363</v>
      </c>
      <c r="E875" s="451" t="n">
        <f aca="false">IF(AND(L874&lt;L_rampe,Poussee&lt;Poids*SIN(M874)),0,(-W874+Poussee)/m*SIN(M874)+U874/m*COS(M874)-Poids/m)</f>
        <v>-3.84372695525409</v>
      </c>
      <c r="F875" s="449" t="n">
        <f aca="false">SQRT(acc_x^2+acc_z^2)</f>
        <v>3.93094236968044</v>
      </c>
      <c r="G875" s="450" t="n">
        <f aca="false">G874+acc_x*pas</f>
        <v>18.8969788760961</v>
      </c>
      <c r="H875" s="451" t="n">
        <f aca="false">H874+acc_z*pas</f>
        <v>-136.918151265084</v>
      </c>
      <c r="I875" s="449" t="n">
        <f aca="false">SQRT(vit_x^2+vit_z^2)</f>
        <v>138.21604811487</v>
      </c>
      <c r="J875" s="450" t="n">
        <f aca="false">J874+0.5*(vit_x+G874)*pas*(K874&gt;=0)</f>
        <v>1017.12580762709</v>
      </c>
      <c r="K875" s="451" t="n">
        <f aca="false">K874+0.5*(vit_z+H874)*pas</f>
        <v>-14.5244032826778</v>
      </c>
      <c r="L875" s="449" t="n">
        <f aca="false">SQRT(pos_x^2+pos_z^2)</f>
        <v>1017.22950548624</v>
      </c>
      <c r="M875" s="450" t="n">
        <f aca="false">IF(AND(L874&gt;L_rampe,G875&gt;0),ATAN2(G875,H875),$M$4)</f>
        <v>-1.43364617711408</v>
      </c>
      <c r="N875" s="449" t="n">
        <f aca="false">DEGREES(Beta)</f>
        <v>-82.141875263702</v>
      </c>
      <c r="O875" s="438"/>
      <c r="P875" s="452" t="n">
        <f aca="false">MATCH(t-pas/2-T_ini,CdP_t)</f>
        <v>23</v>
      </c>
      <c r="Q875" s="449" t="n">
        <f aca="false">(INDEX(CdP,2,i_P+1)-INDEX(CdP,2,i_P+0))/(INDEX(CdP,1,i_P+1)-INDEX(CdP,1,i_P+0))*(t-pas/2-T_ini-INDEX(CdP,1,i_P+0))+INDEX(CdP,2,i_P+0)</f>
        <v>0</v>
      </c>
      <c r="R875" s="450" t="n">
        <f aca="false">Poussee/(g*ISP)</f>
        <v>0</v>
      </c>
      <c r="S875" s="451" t="n">
        <f aca="false">S874-Débit*pas</f>
        <v>8.652</v>
      </c>
      <c r="T875" s="449" t="n">
        <f aca="false">m*g</f>
        <v>84.87612</v>
      </c>
      <c r="U875" s="453" t="n">
        <f aca="false">IF(pos_xz&lt;L_rampe,Poids*COS(Beta),0)</f>
        <v>0</v>
      </c>
      <c r="V875" s="450" t="n">
        <f aca="false">Rho_moyen*(20000-Alt_rampe-pos_z)/(20000+Alt_rampe+pos_z)</f>
        <v>1.2267805324607</v>
      </c>
      <c r="W875" s="449" t="n">
        <f aca="false">1/2*Rho*Sref*Cx*vit_xz^2</f>
        <v>52.1098778868753</v>
      </c>
      <c r="X875" s="438"/>
      <c r="Y875" s="454" t="str">
        <f aca="false">IF(AND(pos_z&lt;=0,K874&gt;0),"Impact balistique","") &amp; IF(AND(H876&lt;0,vit_z&gt;=0),"Apogée","") &amp; IF(AND(Poussee=0,Q874&gt;0),"Fin de propulsion","") &amp; IF(AND(L876&gt;L_rampe,pos_xz&lt;=L_rampe),"Sortie de rampe","")</f>
        <v/>
      </c>
      <c r="Z875" s="455" t="str">
        <f aca="false">IF(ABS(t-T_para)&lt;pas/2,"Para","")</f>
        <v/>
      </c>
      <c r="AA875" s="456" t="str">
        <f aca="false">IF(ABS(t-T_satellite)&lt;pas/2,"Satellite","")</f>
        <v/>
      </c>
      <c r="AB875" s="444"/>
      <c r="AC875" s="452" t="e">
        <f aca="false">IF(ABS(t-ROUND(t,0))&lt;0.001,t,NA())</f>
        <v>#N/A</v>
      </c>
      <c r="AD875" s="457" t="e">
        <f aca="false">IF(ABS(t-ROUND(t,0))&lt;0.001,pos_x,NA())</f>
        <v>#N/A</v>
      </c>
      <c r="AE875" s="458" t="e">
        <f aca="false">IF(t&lt;T_para, pos_z, NA())</f>
        <v>#N/A</v>
      </c>
      <c r="AF875" s="444"/>
      <c r="AG875" s="450" t="n">
        <f aca="false">IF(AND(L874&lt;L_rampe,Poussee&lt;Poids*SIN(M874)),0,(-W874+Poussee)/m-Poids*SIN(M874)/m)</f>
        <v>3.69504906140673</v>
      </c>
      <c r="AH875" s="449" t="n">
        <f aca="false">IF(AND(L874&lt;L_rampe,Poussee&lt;Poids*SIN(M874)), g*SIN(M874), (-W874+Poussee)/m)</f>
        <v>-6.02283031901644</v>
      </c>
    </row>
    <row r="876" customFormat="false" ht="12" hidden="false" customHeight="false" outlineLevel="0" collapsed="false">
      <c r="A876" s="448" t="n">
        <f aca="false">IF(B875+0.01&lt;=T_ini+ROUNDUP(Temps_fin_propu,0), 0.01, IF(K875&gt;0, 0.1, 0.0001))</f>
        <v>0.0001</v>
      </c>
      <c r="B876" s="449" t="n">
        <f aca="false">B875+pas</f>
        <v>35.7155000000007</v>
      </c>
      <c r="C876" s="432"/>
      <c r="D876" s="450" t="n">
        <f aca="false">IF(AND(L875&lt;L_rampe,Poussee&lt;Poids*SIN(M875)),0,(-W875+Poussee)/m*COS(M875)-U875/m*SIN(M875))</f>
        <v>-0.823450411390979</v>
      </c>
      <c r="E876" s="451" t="n">
        <f aca="false">IF(AND(L875&lt;L_rampe,Poussee&lt;Poids*SIN(M875)),0,(-W875+Poussee)/m*SIN(M875)+U875/m*COS(M875)-Poids/m)</f>
        <v>-3.84368608678798</v>
      </c>
      <c r="F876" s="449" t="n">
        <f aca="false">SQRT(acc_x^2+acc_z^2)</f>
        <v>3.93090235363173</v>
      </c>
      <c r="G876" s="450" t="n">
        <f aca="false">G875+acc_x*pas</f>
        <v>18.8968965310549</v>
      </c>
      <c r="H876" s="451" t="n">
        <f aca="false">H875+acc_z*pas</f>
        <v>-136.918535633693</v>
      </c>
      <c r="I876" s="449" t="n">
        <f aca="false">SQRT(vit_x^2+vit_z^2)</f>
        <v>138.216417615926</v>
      </c>
      <c r="J876" s="450" t="n">
        <f aca="false">J875+0.5*(vit_x+G875)*pas*(K875&gt;=0)</f>
        <v>1017.12580762709</v>
      </c>
      <c r="K876" s="451" t="n">
        <f aca="false">K875+0.5*(vit_z+H875)*pas</f>
        <v>-14.5380951170228</v>
      </c>
      <c r="L876" s="449" t="n">
        <f aca="false">SQRT(pos_x^2+pos_z^2)</f>
        <v>1017.22970107577</v>
      </c>
      <c r="M876" s="450" t="n">
        <f aca="false">IF(AND(L875&gt;L_rampe,G876&gt;0),ATAN2(G876,H876),$M$4)</f>
        <v>-1.43364714749731</v>
      </c>
      <c r="N876" s="449" t="n">
        <f aca="false">DEGREES(Beta)</f>
        <v>-82.1419308625654</v>
      </c>
      <c r="O876" s="438"/>
      <c r="P876" s="452" t="n">
        <f aca="false">MATCH(t-pas/2-T_ini,CdP_t)</f>
        <v>23</v>
      </c>
      <c r="Q876" s="449" t="n">
        <f aca="false">(INDEX(CdP,2,i_P+1)-INDEX(CdP,2,i_P+0))/(INDEX(CdP,1,i_P+1)-INDEX(CdP,1,i_P+0))*(t-pas/2-T_ini-INDEX(CdP,1,i_P+0))+INDEX(CdP,2,i_P+0)</f>
        <v>0</v>
      </c>
      <c r="R876" s="450" t="n">
        <f aca="false">Poussee/(g*ISP)</f>
        <v>0</v>
      </c>
      <c r="S876" s="451" t="n">
        <f aca="false">S875-Débit*pas</f>
        <v>8.652</v>
      </c>
      <c r="T876" s="449" t="n">
        <f aca="false">m*g</f>
        <v>84.87612</v>
      </c>
      <c r="U876" s="453" t="n">
        <f aca="false">IF(pos_xz&lt;L_rampe,Poids*COS(Beta),0)</f>
        <v>0</v>
      </c>
      <c r="V876" s="450" t="n">
        <f aca="false">Rho_moyen*(20000-Alt_rampe-pos_z)/(20000+Alt_rampe+pos_z)</f>
        <v>1.22678221215032</v>
      </c>
      <c r="W876" s="449" t="n">
        <f aca="false">1/2*Rho*Sref*Cx*vit_xz^2</f>
        <v>52.1102278524743</v>
      </c>
      <c r="X876" s="438"/>
      <c r="Y876" s="454" t="str">
        <f aca="false">IF(AND(pos_z&lt;=0,K875&gt;0),"Impact balistique","") &amp; IF(AND(H877&lt;0,vit_z&gt;=0),"Apogée","") &amp; IF(AND(Poussee=0,Q875&gt;0),"Fin de propulsion","") &amp; IF(AND(L877&gt;L_rampe,pos_xz&lt;=L_rampe),"Sortie de rampe","")</f>
        <v/>
      </c>
      <c r="Z876" s="455" t="str">
        <f aca="false">IF(ABS(t-T_para)&lt;pas/2,"Para","")</f>
        <v/>
      </c>
      <c r="AA876" s="456" t="str">
        <f aca="false">IF(ABS(t-T_satellite)&lt;pas/2,"Satellite","")</f>
        <v/>
      </c>
      <c r="AB876" s="444"/>
      <c r="AC876" s="452" t="e">
        <f aca="false">IF(ABS(t-ROUND(t,0))&lt;0.001,t,NA())</f>
        <v>#N/A</v>
      </c>
      <c r="AD876" s="457" t="e">
        <f aca="false">IF(ABS(t-ROUND(t,0))&lt;0.001,pos_x,NA())</f>
        <v>#N/A</v>
      </c>
      <c r="AE876" s="458" t="e">
        <f aca="false">IF(t&lt;T_para, pos_z, NA())</f>
        <v>#N/A</v>
      </c>
      <c r="AF876" s="444"/>
      <c r="AG876" s="450" t="n">
        <f aca="false">IF(AND(L875&lt;L_rampe,Poussee&lt;Poids*SIN(M875)),0,(-W875+Poussee)/m-Poids*SIN(M875)/m)</f>
        <v>3.69500991369918</v>
      </c>
      <c r="AH876" s="449" t="n">
        <f aca="false">IF(AND(L875&lt;L_rampe,Poussee&lt;Poids*SIN(M875)), g*SIN(M875), (-W875+Poussee)/m)</f>
        <v>-6.02287076824726</v>
      </c>
    </row>
    <row r="877" customFormat="false" ht="12" hidden="false" customHeight="false" outlineLevel="0" collapsed="false">
      <c r="A877" s="448" t="n">
        <f aca="false">IF(B876+0.01&lt;=T_ini+ROUNDUP(Temps_fin_propu,0), 0.01, IF(K876&gt;0, 0.1, 0.0001))</f>
        <v>0.0001</v>
      </c>
      <c r="B877" s="449" t="n">
        <f aca="false">B876+pas</f>
        <v>35.7156000000007</v>
      </c>
      <c r="C877" s="432"/>
      <c r="D877" s="450" t="n">
        <f aca="false">IF(AND(L876&lt;L_rampe,Poussee&lt;Poids*SIN(M876)),0,(-W876+Poussee)/m*COS(M876)-U876/m*SIN(M876))</f>
        <v>-0.823450151965129</v>
      </c>
      <c r="E877" s="451" t="n">
        <f aca="false">IF(AND(L876&lt;L_rampe,Poussee&lt;Poids*SIN(M876)),0,(-W876+Poussee)/m*SIN(M876)+U876/m*COS(M876)-Poids/m)</f>
        <v>-3.84364521845572</v>
      </c>
      <c r="F877" s="449" t="n">
        <f aca="false">SQRT(acc_x^2+acc_z^2)</f>
        <v>3.93086233772297</v>
      </c>
      <c r="G877" s="450" t="n">
        <f aca="false">G876+acc_x*pas</f>
        <v>18.8968141860397</v>
      </c>
      <c r="H877" s="451" t="n">
        <f aca="false">H876+acc_z*pas</f>
        <v>-136.918919998215</v>
      </c>
      <c r="I877" s="449" t="n">
        <f aca="false">SQRT(vit_x^2+vit_z^2)</f>
        <v>138.216787113068</v>
      </c>
      <c r="J877" s="450" t="n">
        <f aca="false">J876+0.5*(vit_x+G876)*pas*(K876&gt;=0)</f>
        <v>1017.12580762709</v>
      </c>
      <c r="K877" s="451" t="n">
        <f aca="false">K876+0.5*(vit_z+H876)*pas</f>
        <v>-14.5517869898044</v>
      </c>
      <c r="L877" s="449" t="n">
        <f aca="false">SQRT(pos_x^2+pos_z^2)</f>
        <v>1017.2298968501</v>
      </c>
      <c r="M877" s="450" t="n">
        <f aca="false">IF(AND(L876&gt;L_rampe,G877&gt;0),ATAN2(G877,H877),$M$4)</f>
        <v>-1.43364811787112</v>
      </c>
      <c r="N877" s="449" t="n">
        <f aca="false">DEGREES(Beta)</f>
        <v>-82.1419864608892</v>
      </c>
      <c r="O877" s="438"/>
      <c r="P877" s="452" t="n">
        <f aca="false">MATCH(t-pas/2-T_ini,CdP_t)</f>
        <v>23</v>
      </c>
      <c r="Q877" s="449" t="n">
        <f aca="false">(INDEX(CdP,2,i_P+1)-INDEX(CdP,2,i_P+0))/(INDEX(CdP,1,i_P+1)-INDEX(CdP,1,i_P+0))*(t-pas/2-T_ini-INDEX(CdP,1,i_P+0))+INDEX(CdP,2,i_P+0)</f>
        <v>0</v>
      </c>
      <c r="R877" s="450" t="n">
        <f aca="false">Poussee/(g*ISP)</f>
        <v>0</v>
      </c>
      <c r="S877" s="451" t="n">
        <f aca="false">S876-Débit*pas</f>
        <v>8.652</v>
      </c>
      <c r="T877" s="449" t="n">
        <f aca="false">m*g</f>
        <v>84.87612</v>
      </c>
      <c r="U877" s="453" t="n">
        <f aca="false">IF(pos_xz&lt;L_rampe,Poids*COS(Beta),0)</f>
        <v>0</v>
      </c>
      <c r="V877" s="450" t="n">
        <f aca="false">Rho_moyen*(20000-Alt_rampe-pos_z)/(20000+Alt_rampe+pos_z)</f>
        <v>1.22678389184696</v>
      </c>
      <c r="W877" s="449" t="n">
        <f aca="false">1/2*Rho*Sref*Cx*vit_xz^2</f>
        <v>52.1105778169273</v>
      </c>
      <c r="X877" s="438"/>
      <c r="Y877" s="454" t="str">
        <f aca="false">IF(AND(pos_z&lt;=0,K876&gt;0),"Impact balistique","") &amp; IF(AND(H878&lt;0,vit_z&gt;=0),"Apogée","") &amp; IF(AND(Poussee=0,Q876&gt;0),"Fin de propulsion","") &amp; IF(AND(L878&gt;L_rampe,pos_xz&lt;=L_rampe),"Sortie de rampe","")</f>
        <v/>
      </c>
      <c r="Z877" s="455" t="str">
        <f aca="false">IF(ABS(t-T_para)&lt;pas/2,"Para","")</f>
        <v/>
      </c>
      <c r="AA877" s="456" t="str">
        <f aca="false">IF(ABS(t-T_satellite)&lt;pas/2,"Satellite","")</f>
        <v/>
      </c>
      <c r="AB877" s="444"/>
      <c r="AC877" s="452" t="e">
        <f aca="false">IF(ABS(t-ROUND(t,0))&lt;0.001,t,NA())</f>
        <v>#N/A</v>
      </c>
      <c r="AD877" s="457" t="e">
        <f aca="false">IF(ABS(t-ROUND(t,0))&lt;0.001,pos_x,NA())</f>
        <v>#N/A</v>
      </c>
      <c r="AE877" s="458" t="e">
        <f aca="false">IF(t&lt;T_para, pos_z, NA())</f>
        <v>#N/A</v>
      </c>
      <c r="AF877" s="444"/>
      <c r="AG877" s="450" t="n">
        <f aca="false">IF(AND(L876&lt;L_rampe,Poussee&lt;Poids*SIN(M876)),0,(-W876+Poussee)/m-Poids*SIN(M876)/m)</f>
        <v>3.69497076610231</v>
      </c>
      <c r="AH877" s="449" t="n">
        <f aca="false">IF(AND(L876&lt;L_rampe,Poussee&lt;Poids*SIN(M876)), g*SIN(M876), (-W876+Poussee)/m)</f>
        <v>-6.02291121734562</v>
      </c>
    </row>
    <row r="878" customFormat="false" ht="12" hidden="false" customHeight="false" outlineLevel="0" collapsed="false">
      <c r="A878" s="448" t="n">
        <f aca="false">IF(B877+0.01&lt;=T_ini+ROUNDUP(Temps_fin_propu,0), 0.01, IF(K877&gt;0, 0.1, 0.0001))</f>
        <v>0.0001</v>
      </c>
      <c r="B878" s="449" t="n">
        <f aca="false">B877+pas</f>
        <v>35.7157000000007</v>
      </c>
      <c r="C878" s="432"/>
      <c r="D878" s="450" t="n">
        <f aca="false">IF(AND(L877&lt;L_rampe,Poussee&lt;Poids*SIN(M877)),0,(-W877+Poussee)/m*COS(M877)-U877/m*SIN(M877))</f>
        <v>-0.823449892498814</v>
      </c>
      <c r="E878" s="451" t="n">
        <f aca="false">IF(AND(L877&lt;L_rampe,Poussee&lt;Poids*SIN(M877)),0,(-W877+Poussee)/m*SIN(M877)+U877/m*COS(M877)-Poids/m)</f>
        <v>-3.84360435025732</v>
      </c>
      <c r="F878" s="449" t="n">
        <f aca="false">SQRT(acc_x^2+acc_z^2)</f>
        <v>3.93082232195418</v>
      </c>
      <c r="G878" s="450" t="n">
        <f aca="false">G877+acc_x*pas</f>
        <v>18.8967318410505</v>
      </c>
      <c r="H878" s="451" t="n">
        <f aca="false">H877+acc_z*pas</f>
        <v>-136.91930435865</v>
      </c>
      <c r="I878" s="449" t="n">
        <f aca="false">SQRT(vit_x^2+vit_z^2)</f>
        <v>138.217156606295</v>
      </c>
      <c r="J878" s="450" t="n">
        <f aca="false">J877+0.5*(vit_x+G877)*pas*(K877&gt;=0)</f>
        <v>1017.12580762709</v>
      </c>
      <c r="K878" s="451" t="n">
        <f aca="false">K877+0.5*(vit_z+H877)*pas</f>
        <v>-14.5654789010222</v>
      </c>
      <c r="L878" s="449" t="n">
        <f aca="false">SQRT(pos_x^2+pos_z^2)</f>
        <v>1017.23009280923</v>
      </c>
      <c r="M878" s="450" t="n">
        <f aca="false">IF(AND(L877&gt;L_rampe,G878&gt;0),ATAN2(G878,H878),$M$4)</f>
        <v>-1.43364908823552</v>
      </c>
      <c r="N878" s="449" t="n">
        <f aca="false">DEGREES(Beta)</f>
        <v>-82.1420420586736</v>
      </c>
      <c r="O878" s="438"/>
      <c r="P878" s="452" t="n">
        <f aca="false">MATCH(t-pas/2-T_ini,CdP_t)</f>
        <v>23</v>
      </c>
      <c r="Q878" s="449" t="n">
        <f aca="false">(INDEX(CdP,2,i_P+1)-INDEX(CdP,2,i_P+0))/(INDEX(CdP,1,i_P+1)-INDEX(CdP,1,i_P+0))*(t-pas/2-T_ini-INDEX(CdP,1,i_P+0))+INDEX(CdP,2,i_P+0)</f>
        <v>0</v>
      </c>
      <c r="R878" s="450" t="n">
        <f aca="false">Poussee/(g*ISP)</f>
        <v>0</v>
      </c>
      <c r="S878" s="451" t="n">
        <f aca="false">S877-Débit*pas</f>
        <v>8.652</v>
      </c>
      <c r="T878" s="449" t="n">
        <f aca="false">m*g</f>
        <v>84.87612</v>
      </c>
      <c r="U878" s="453" t="n">
        <f aca="false">IF(pos_xz&lt;L_rampe,Poids*COS(Beta),0)</f>
        <v>0</v>
      </c>
      <c r="V878" s="450" t="n">
        <f aca="false">Rho_moyen*(20000-Alt_rampe-pos_z)/(20000+Alt_rampe+pos_z)</f>
        <v>1.22678557155061</v>
      </c>
      <c r="W878" s="449" t="n">
        <f aca="false">1/2*Rho*Sref*Cx*vit_xz^2</f>
        <v>52.1109277802342</v>
      </c>
      <c r="X878" s="438"/>
      <c r="Y878" s="454" t="str">
        <f aca="false">IF(AND(pos_z&lt;=0,K877&gt;0),"Impact balistique","") &amp; IF(AND(H879&lt;0,vit_z&gt;=0),"Apogée","") &amp; IF(AND(Poussee=0,Q877&gt;0),"Fin de propulsion","") &amp; IF(AND(L879&gt;L_rampe,pos_xz&lt;=L_rampe),"Sortie de rampe","")</f>
        <v/>
      </c>
      <c r="Z878" s="455" t="str">
        <f aca="false">IF(ABS(t-T_para)&lt;pas/2,"Para","")</f>
        <v/>
      </c>
      <c r="AA878" s="456" t="str">
        <f aca="false">IF(ABS(t-T_satellite)&lt;pas/2,"Satellite","")</f>
        <v/>
      </c>
      <c r="AB878" s="444"/>
      <c r="AC878" s="452" t="e">
        <f aca="false">IF(ABS(t-ROUND(t,0))&lt;0.001,t,NA())</f>
        <v>#N/A</v>
      </c>
      <c r="AD878" s="457" t="e">
        <f aca="false">IF(ABS(t-ROUND(t,0))&lt;0.001,pos_x,NA())</f>
        <v>#N/A</v>
      </c>
      <c r="AE878" s="458" t="e">
        <f aca="false">IF(t&lt;T_para, pos_z, NA())</f>
        <v>#N/A</v>
      </c>
      <c r="AF878" s="444"/>
      <c r="AG878" s="450" t="n">
        <f aca="false">IF(AND(L877&lt;L_rampe,Poussee&lt;Poids*SIN(M877)),0,(-W877+Poussee)/m-Poids*SIN(M877)/m)</f>
        <v>3.69493161861611</v>
      </c>
      <c r="AH878" s="449" t="n">
        <f aca="false">IF(AND(L877&lt;L_rampe,Poussee&lt;Poids*SIN(M877)), g*SIN(M877), (-W877+Poussee)/m)</f>
        <v>-6.02295166631152</v>
      </c>
    </row>
    <row r="879" customFormat="false" ht="12" hidden="false" customHeight="false" outlineLevel="0" collapsed="false">
      <c r="A879" s="448" t="n">
        <f aca="false">IF(B878+0.01&lt;=T_ini+ROUNDUP(Temps_fin_propu,0), 0.01, IF(K878&gt;0, 0.1, 0.0001))</f>
        <v>0.0001</v>
      </c>
      <c r="B879" s="449" t="n">
        <f aca="false">B878+pas</f>
        <v>35.7158000000007</v>
      </c>
      <c r="C879" s="432"/>
      <c r="D879" s="450" t="n">
        <f aca="false">IF(AND(L878&lt;L_rampe,Poussee&lt;Poids*SIN(M878)),0,(-W878+Poussee)/m*COS(M878)-U878/m*SIN(M878))</f>
        <v>-0.823449632992032</v>
      </c>
      <c r="E879" s="451" t="n">
        <f aca="false">IF(AND(L878&lt;L_rampe,Poussee&lt;Poids*SIN(M878)),0,(-W878+Poussee)/m*SIN(M878)+U878/m*COS(M878)-Poids/m)</f>
        <v>-3.84356348219277</v>
      </c>
      <c r="F879" s="449" t="n">
        <f aca="false">SQRT(acc_x^2+acc_z^2)</f>
        <v>3.93078230632536</v>
      </c>
      <c r="G879" s="450" t="n">
        <f aca="false">G878+acc_x*pas</f>
        <v>18.8966494960872</v>
      </c>
      <c r="H879" s="451" t="n">
        <f aca="false">H878+acc_z*pas</f>
        <v>-136.919688714998</v>
      </c>
      <c r="I879" s="449" t="n">
        <f aca="false">SQRT(vit_x^2+vit_z^2)</f>
        <v>138.217526095607</v>
      </c>
      <c r="J879" s="450" t="n">
        <f aca="false">J878+0.5*(vit_x+G878)*pas*(K878&gt;=0)</f>
        <v>1017.12580762709</v>
      </c>
      <c r="K879" s="451" t="n">
        <f aca="false">K878+0.5*(vit_z+H878)*pas</f>
        <v>-14.5791708506759</v>
      </c>
      <c r="L879" s="449" t="n">
        <f aca="false">SQRT(pos_x^2+pos_z^2)</f>
        <v>1017.23028895317</v>
      </c>
      <c r="M879" s="450" t="n">
        <f aca="false">IF(AND(L878&gt;L_rampe,G879&gt;0),ATAN2(G879,H879),$M$4)</f>
        <v>-1.43365005859049</v>
      </c>
      <c r="N879" s="449" t="n">
        <f aca="false">DEGREES(Beta)</f>
        <v>-82.1420976559184</v>
      </c>
      <c r="O879" s="438"/>
      <c r="P879" s="452" t="n">
        <f aca="false">MATCH(t-pas/2-T_ini,CdP_t)</f>
        <v>23</v>
      </c>
      <c r="Q879" s="449" t="n">
        <f aca="false">(INDEX(CdP,2,i_P+1)-INDEX(CdP,2,i_P+0))/(INDEX(CdP,1,i_P+1)-INDEX(CdP,1,i_P+0))*(t-pas/2-T_ini-INDEX(CdP,1,i_P+0))+INDEX(CdP,2,i_P+0)</f>
        <v>0</v>
      </c>
      <c r="R879" s="450" t="n">
        <f aca="false">Poussee/(g*ISP)</f>
        <v>0</v>
      </c>
      <c r="S879" s="451" t="n">
        <f aca="false">S878-Débit*pas</f>
        <v>8.652</v>
      </c>
      <c r="T879" s="449" t="n">
        <f aca="false">m*g</f>
        <v>84.87612</v>
      </c>
      <c r="U879" s="453" t="n">
        <f aca="false">IF(pos_xz&lt;L_rampe,Poids*COS(Beta),0)</f>
        <v>0</v>
      </c>
      <c r="V879" s="450" t="n">
        <f aca="false">Rho_moyen*(20000-Alt_rampe-pos_z)/(20000+Alt_rampe+pos_z)</f>
        <v>1.22678725126128</v>
      </c>
      <c r="W879" s="449" t="n">
        <f aca="false">1/2*Rho*Sref*Cx*vit_xz^2</f>
        <v>52.1112777423951</v>
      </c>
      <c r="X879" s="438"/>
      <c r="Y879" s="454" t="str">
        <f aca="false">IF(AND(pos_z&lt;=0,K878&gt;0),"Impact balistique","") &amp; IF(AND(H880&lt;0,vit_z&gt;=0),"Apogée","") &amp; IF(AND(Poussee=0,Q878&gt;0),"Fin de propulsion","") &amp; IF(AND(L880&gt;L_rampe,pos_xz&lt;=L_rampe),"Sortie de rampe","")</f>
        <v/>
      </c>
      <c r="Z879" s="455" t="str">
        <f aca="false">IF(ABS(t-T_para)&lt;pas/2,"Para","")</f>
        <v/>
      </c>
      <c r="AA879" s="456" t="str">
        <f aca="false">IF(ABS(t-T_satellite)&lt;pas/2,"Satellite","")</f>
        <v/>
      </c>
      <c r="AB879" s="444"/>
      <c r="AC879" s="452" t="e">
        <f aca="false">IF(ABS(t-ROUND(t,0))&lt;0.001,t,NA())</f>
        <v>#N/A</v>
      </c>
      <c r="AD879" s="457" t="e">
        <f aca="false">IF(ABS(t-ROUND(t,0))&lt;0.001,pos_x,NA())</f>
        <v>#N/A</v>
      </c>
      <c r="AE879" s="458" t="e">
        <f aca="false">IF(t&lt;T_para, pos_z, NA())</f>
        <v>#N/A</v>
      </c>
      <c r="AF879" s="444"/>
      <c r="AG879" s="450" t="n">
        <f aca="false">IF(AND(L878&lt;L_rampe,Poussee&lt;Poids*SIN(M878)),0,(-W878+Poussee)/m-Poids*SIN(M878)/m)</f>
        <v>3.69489247124059</v>
      </c>
      <c r="AH879" s="449" t="n">
        <f aca="false">IF(AND(L878&lt;L_rampe,Poussee&lt;Poids*SIN(M878)), g*SIN(M878), (-W878+Poussee)/m)</f>
        <v>-6.02299211514496</v>
      </c>
    </row>
    <row r="880" customFormat="false" ht="12" hidden="false" customHeight="false" outlineLevel="0" collapsed="false">
      <c r="A880" s="448" t="n">
        <f aca="false">IF(B879+0.01&lt;=T_ini+ROUNDUP(Temps_fin_propu,0), 0.01, IF(K879&gt;0, 0.1, 0.0001))</f>
        <v>0.0001</v>
      </c>
      <c r="B880" s="449" t="n">
        <f aca="false">B879+pas</f>
        <v>35.7159000000007</v>
      </c>
      <c r="C880" s="432"/>
      <c r="D880" s="450" t="n">
        <f aca="false">IF(AND(L879&lt;L_rampe,Poussee&lt;Poids*SIN(M879)),0,(-W879+Poussee)/m*COS(M879)-U879/m*SIN(M879))</f>
        <v>-0.823449373444786</v>
      </c>
      <c r="E880" s="451" t="n">
        <f aca="false">IF(AND(L879&lt;L_rampe,Poussee&lt;Poids*SIN(M879)),0,(-W879+Poussee)/m*SIN(M879)+U879/m*COS(M879)-Poids/m)</f>
        <v>-3.84352261426208</v>
      </c>
      <c r="F880" s="449" t="n">
        <f aca="false">SQRT(acc_x^2+acc_z^2)</f>
        <v>3.93074229083651</v>
      </c>
      <c r="G880" s="450" t="n">
        <f aca="false">G879+acc_x*pas</f>
        <v>18.8965671511499</v>
      </c>
      <c r="H880" s="451" t="n">
        <f aca="false">H879+acc_z*pas</f>
        <v>-136.920073067259</v>
      </c>
      <c r="I880" s="449" t="n">
        <f aca="false">SQRT(vit_x^2+vit_z^2)</f>
        <v>138.217895581005</v>
      </c>
      <c r="J880" s="450" t="n">
        <f aca="false">J879+0.5*(vit_x+G879)*pas*(K879&gt;=0)</f>
        <v>1017.12580762709</v>
      </c>
      <c r="K880" s="451" t="n">
        <f aca="false">K879+0.5*(vit_z+H879)*pas</f>
        <v>-14.592862838765</v>
      </c>
      <c r="L880" s="449" t="n">
        <f aca="false">SQRT(pos_x^2+pos_z^2)</f>
        <v>1017.23048528192</v>
      </c>
      <c r="M880" s="450" t="n">
        <f aca="false">IF(AND(L879&gt;L_rampe,G880&gt;0),ATAN2(G880,H880),$M$4)</f>
        <v>-1.43365102893605</v>
      </c>
      <c r="N880" s="449" t="n">
        <f aca="false">DEGREES(Beta)</f>
        <v>-82.1421532526237</v>
      </c>
      <c r="O880" s="438"/>
      <c r="P880" s="452" t="n">
        <f aca="false">MATCH(t-pas/2-T_ini,CdP_t)</f>
        <v>23</v>
      </c>
      <c r="Q880" s="449" t="n">
        <f aca="false">(INDEX(CdP,2,i_P+1)-INDEX(CdP,2,i_P+0))/(INDEX(CdP,1,i_P+1)-INDEX(CdP,1,i_P+0))*(t-pas/2-T_ini-INDEX(CdP,1,i_P+0))+INDEX(CdP,2,i_P+0)</f>
        <v>0</v>
      </c>
      <c r="R880" s="450" t="n">
        <f aca="false">Poussee/(g*ISP)</f>
        <v>0</v>
      </c>
      <c r="S880" s="451" t="n">
        <f aca="false">S879-Débit*pas</f>
        <v>8.652</v>
      </c>
      <c r="T880" s="449" t="n">
        <f aca="false">m*g</f>
        <v>84.87612</v>
      </c>
      <c r="U880" s="453" t="n">
        <f aca="false">IF(pos_xz&lt;L_rampe,Poids*COS(Beta),0)</f>
        <v>0</v>
      </c>
      <c r="V880" s="450" t="n">
        <f aca="false">Rho_moyen*(20000-Alt_rampe-pos_z)/(20000+Alt_rampe+pos_z)</f>
        <v>1.22678893097897</v>
      </c>
      <c r="W880" s="449" t="n">
        <f aca="false">1/2*Rho*Sref*Cx*vit_xz^2</f>
        <v>52.1116277034098</v>
      </c>
      <c r="X880" s="438"/>
      <c r="Y880" s="454" t="str">
        <f aca="false">IF(AND(pos_z&lt;=0,K879&gt;0),"Impact balistique","") &amp; IF(AND(H881&lt;0,vit_z&gt;=0),"Apogée","") &amp; IF(AND(Poussee=0,Q879&gt;0),"Fin de propulsion","") &amp; IF(AND(L881&gt;L_rampe,pos_xz&lt;=L_rampe),"Sortie de rampe","")</f>
        <v/>
      </c>
      <c r="Z880" s="455" t="str">
        <f aca="false">IF(ABS(t-T_para)&lt;pas/2,"Para","")</f>
        <v/>
      </c>
      <c r="AA880" s="456" t="str">
        <f aca="false">IF(ABS(t-T_satellite)&lt;pas/2,"Satellite","")</f>
        <v/>
      </c>
      <c r="AB880" s="444"/>
      <c r="AC880" s="452" t="e">
        <f aca="false">IF(ABS(t-ROUND(t,0))&lt;0.001,t,NA())</f>
        <v>#N/A</v>
      </c>
      <c r="AD880" s="457" t="e">
        <f aca="false">IF(ABS(t-ROUND(t,0))&lt;0.001,pos_x,NA())</f>
        <v>#N/A</v>
      </c>
      <c r="AE880" s="458" t="e">
        <f aca="false">IF(t&lt;T_para, pos_z, NA())</f>
        <v>#N/A</v>
      </c>
      <c r="AF880" s="444"/>
      <c r="AG880" s="450" t="n">
        <f aca="false">IF(AND(L879&lt;L_rampe,Poussee&lt;Poids*SIN(M879)),0,(-W879+Poussee)/m-Poids*SIN(M879)/m)</f>
        <v>3.69485332397576</v>
      </c>
      <c r="AH880" s="449" t="n">
        <f aca="false">IF(AND(L879&lt;L_rampe,Poussee&lt;Poids*SIN(M879)), g*SIN(M879), (-W879+Poussee)/m)</f>
        <v>-6.02303256384594</v>
      </c>
    </row>
    <row r="881" customFormat="false" ht="12" hidden="false" customHeight="false" outlineLevel="0" collapsed="false">
      <c r="A881" s="448" t="n">
        <f aca="false">IF(B880+0.01&lt;=T_ini+ROUNDUP(Temps_fin_propu,0), 0.01, IF(K880&gt;0, 0.1, 0.0001))</f>
        <v>0.0001</v>
      </c>
      <c r="B881" s="449" t="n">
        <f aca="false">B880+pas</f>
        <v>35.7160000000007</v>
      </c>
      <c r="C881" s="432"/>
      <c r="D881" s="450" t="n">
        <f aca="false">IF(AND(L880&lt;L_rampe,Poussee&lt;Poids*SIN(M880)),0,(-W880+Poussee)/m*COS(M880)-U880/m*SIN(M880))</f>
        <v>-0.823449113857076</v>
      </c>
      <c r="E881" s="451" t="n">
        <f aca="false">IF(AND(L880&lt;L_rampe,Poussee&lt;Poids*SIN(M880)),0,(-W880+Poussee)/m*SIN(M880)+U880/m*COS(M880)-Poids/m)</f>
        <v>-3.84348174646526</v>
      </c>
      <c r="F881" s="449" t="n">
        <f aca="false">SQRT(acc_x^2+acc_z^2)</f>
        <v>3.93070227548763</v>
      </c>
      <c r="G881" s="450" t="n">
        <f aca="false">G880+acc_x*pas</f>
        <v>18.8964848062385</v>
      </c>
      <c r="H881" s="451" t="n">
        <f aca="false">H880+acc_z*pas</f>
        <v>-136.920457415434</v>
      </c>
      <c r="I881" s="449" t="n">
        <f aca="false">SQRT(vit_x^2+vit_z^2)</f>
        <v>138.218265062487</v>
      </c>
      <c r="J881" s="450" t="n">
        <f aca="false">J880+0.5*(vit_x+G880)*pas*(K880&gt;=0)</f>
        <v>1017.12580762709</v>
      </c>
      <c r="K881" s="451" t="n">
        <f aca="false">K880+0.5*(vit_z+H880)*pas</f>
        <v>-14.6065548652891</v>
      </c>
      <c r="L881" s="449" t="n">
        <f aca="false">SQRT(pos_x^2+pos_z^2)</f>
        <v>1017.23068179548</v>
      </c>
      <c r="M881" s="450" t="n">
        <f aca="false">IF(AND(L880&gt;L_rampe,G881&gt;0),ATAN2(G881,H881),$M$4)</f>
        <v>-1.4336519992722</v>
      </c>
      <c r="N881" s="449" t="n">
        <f aca="false">DEGREES(Beta)</f>
        <v>-82.1422088487894</v>
      </c>
      <c r="O881" s="438"/>
      <c r="P881" s="452" t="n">
        <f aca="false">MATCH(t-pas/2-T_ini,CdP_t)</f>
        <v>23</v>
      </c>
      <c r="Q881" s="449" t="n">
        <f aca="false">(INDEX(CdP,2,i_P+1)-INDEX(CdP,2,i_P+0))/(INDEX(CdP,1,i_P+1)-INDEX(CdP,1,i_P+0))*(t-pas/2-T_ini-INDEX(CdP,1,i_P+0))+INDEX(CdP,2,i_P+0)</f>
        <v>0</v>
      </c>
      <c r="R881" s="450" t="n">
        <f aca="false">Poussee/(g*ISP)</f>
        <v>0</v>
      </c>
      <c r="S881" s="451" t="n">
        <f aca="false">S880-Débit*pas</f>
        <v>8.652</v>
      </c>
      <c r="T881" s="449" t="n">
        <f aca="false">m*g</f>
        <v>84.87612</v>
      </c>
      <c r="U881" s="453" t="n">
        <f aca="false">IF(pos_xz&lt;L_rampe,Poids*COS(Beta),0)</f>
        <v>0</v>
      </c>
      <c r="V881" s="450" t="n">
        <f aca="false">Rho_moyen*(20000-Alt_rampe-pos_z)/(20000+Alt_rampe+pos_z)</f>
        <v>1.22679061070367</v>
      </c>
      <c r="W881" s="449" t="n">
        <f aca="false">1/2*Rho*Sref*Cx*vit_xz^2</f>
        <v>52.1119776632785</v>
      </c>
      <c r="X881" s="438"/>
      <c r="Y881" s="454" t="str">
        <f aca="false">IF(AND(pos_z&lt;=0,K880&gt;0),"Impact balistique","") &amp; IF(AND(H882&lt;0,vit_z&gt;=0),"Apogée","") &amp; IF(AND(Poussee=0,Q880&gt;0),"Fin de propulsion","") &amp; IF(AND(L882&gt;L_rampe,pos_xz&lt;=L_rampe),"Sortie de rampe","")</f>
        <v/>
      </c>
      <c r="Z881" s="455" t="str">
        <f aca="false">IF(ABS(t-T_para)&lt;pas/2,"Para","")</f>
        <v/>
      </c>
      <c r="AA881" s="456" t="str">
        <f aca="false">IF(ABS(t-T_satellite)&lt;pas/2,"Satellite","")</f>
        <v/>
      </c>
      <c r="AB881" s="444"/>
      <c r="AC881" s="452" t="e">
        <f aca="false">IF(ABS(t-ROUND(t,0))&lt;0.001,t,NA())</f>
        <v>#N/A</v>
      </c>
      <c r="AD881" s="457" t="e">
        <f aca="false">IF(ABS(t-ROUND(t,0))&lt;0.001,pos_x,NA())</f>
        <v>#N/A</v>
      </c>
      <c r="AE881" s="458" t="e">
        <f aca="false">IF(t&lt;T_para, pos_z, NA())</f>
        <v>#N/A</v>
      </c>
      <c r="AF881" s="444"/>
      <c r="AG881" s="450" t="n">
        <f aca="false">IF(AND(L880&lt;L_rampe,Poussee&lt;Poids*SIN(M880)),0,(-W880+Poussee)/m-Poids*SIN(M880)/m)</f>
        <v>3.69481417682161</v>
      </c>
      <c r="AH881" s="449" t="n">
        <f aca="false">IF(AND(L880&lt;L_rampe,Poussee&lt;Poids*SIN(M880)), g*SIN(M880), (-W880+Poussee)/m)</f>
        <v>-6.02307301241445</v>
      </c>
    </row>
    <row r="882" customFormat="false" ht="12" hidden="false" customHeight="false" outlineLevel="0" collapsed="false">
      <c r="A882" s="448" t="n">
        <f aca="false">IF(B881+0.01&lt;=T_ini+ROUNDUP(Temps_fin_propu,0), 0.01, IF(K881&gt;0, 0.1, 0.0001))</f>
        <v>0.0001</v>
      </c>
      <c r="B882" s="449" t="n">
        <f aca="false">B881+pas</f>
        <v>35.7161000000007</v>
      </c>
      <c r="C882" s="432"/>
      <c r="D882" s="450" t="n">
        <f aca="false">IF(AND(L881&lt;L_rampe,Poussee&lt;Poids*SIN(M881)),0,(-W881+Poussee)/m*COS(M881)-U881/m*SIN(M881))</f>
        <v>-0.8234488542289</v>
      </c>
      <c r="E882" s="451" t="n">
        <f aca="false">IF(AND(L881&lt;L_rampe,Poussee&lt;Poids*SIN(M881)),0,(-W881+Poussee)/m*SIN(M881)+U881/m*COS(M881)-Poids/m)</f>
        <v>-3.8434408788023</v>
      </c>
      <c r="F882" s="449" t="n">
        <f aca="false">SQRT(acc_x^2+acc_z^2)</f>
        <v>3.93066226027873</v>
      </c>
      <c r="G882" s="450" t="n">
        <f aca="false">G881+acc_x*pas</f>
        <v>18.896402461353</v>
      </c>
      <c r="H882" s="451" t="n">
        <f aca="false">H881+acc_z*pas</f>
        <v>-136.920841759522</v>
      </c>
      <c r="I882" s="449" t="n">
        <f aca="false">SQRT(vit_x^2+vit_z^2)</f>
        <v>138.218634540056</v>
      </c>
      <c r="J882" s="450" t="n">
        <f aca="false">J881+0.5*(vit_x+G881)*pas*(K881&gt;=0)</f>
        <v>1017.12580762709</v>
      </c>
      <c r="K882" s="451" t="n">
        <f aca="false">K881+0.5*(vit_z+H881)*pas</f>
        <v>-14.6202469302479</v>
      </c>
      <c r="L882" s="449" t="n">
        <f aca="false">SQRT(pos_x^2+pos_z^2)</f>
        <v>1017.23087849385</v>
      </c>
      <c r="M882" s="450" t="n">
        <f aca="false">IF(AND(L881&gt;L_rampe,G882&gt;0),ATAN2(G882,H882),$M$4)</f>
        <v>-1.43365296959892</v>
      </c>
      <c r="N882" s="449" t="n">
        <f aca="false">DEGREES(Beta)</f>
        <v>-82.1422644444157</v>
      </c>
      <c r="O882" s="438"/>
      <c r="P882" s="452" t="n">
        <f aca="false">MATCH(t-pas/2-T_ini,CdP_t)</f>
        <v>23</v>
      </c>
      <c r="Q882" s="449" t="n">
        <f aca="false">(INDEX(CdP,2,i_P+1)-INDEX(CdP,2,i_P+0))/(INDEX(CdP,1,i_P+1)-INDEX(CdP,1,i_P+0))*(t-pas/2-T_ini-INDEX(CdP,1,i_P+0))+INDEX(CdP,2,i_P+0)</f>
        <v>0</v>
      </c>
      <c r="R882" s="450" t="n">
        <f aca="false">Poussee/(g*ISP)</f>
        <v>0</v>
      </c>
      <c r="S882" s="451" t="n">
        <f aca="false">S881-Débit*pas</f>
        <v>8.652</v>
      </c>
      <c r="T882" s="449" t="n">
        <f aca="false">m*g</f>
        <v>84.87612</v>
      </c>
      <c r="U882" s="453" t="n">
        <f aca="false">IF(pos_xz&lt;L_rampe,Poids*COS(Beta),0)</f>
        <v>0</v>
      </c>
      <c r="V882" s="450" t="n">
        <f aca="false">Rho_moyen*(20000-Alt_rampe-pos_z)/(20000+Alt_rampe+pos_z)</f>
        <v>1.22679229043539</v>
      </c>
      <c r="W882" s="449" t="n">
        <f aca="false">1/2*Rho*Sref*Cx*vit_xz^2</f>
        <v>52.112327622001</v>
      </c>
      <c r="X882" s="438"/>
      <c r="Y882" s="454" t="str">
        <f aca="false">IF(AND(pos_z&lt;=0,K881&gt;0),"Impact balistique","") &amp; IF(AND(H883&lt;0,vit_z&gt;=0),"Apogée","") &amp; IF(AND(Poussee=0,Q881&gt;0),"Fin de propulsion","") &amp; IF(AND(L883&gt;L_rampe,pos_xz&lt;=L_rampe),"Sortie de rampe","")</f>
        <v/>
      </c>
      <c r="Z882" s="455" t="str">
        <f aca="false">IF(ABS(t-T_para)&lt;pas/2,"Para","")</f>
        <v/>
      </c>
      <c r="AA882" s="456" t="str">
        <f aca="false">IF(ABS(t-T_satellite)&lt;pas/2,"Satellite","")</f>
        <v/>
      </c>
      <c r="AB882" s="444"/>
      <c r="AC882" s="452" t="e">
        <f aca="false">IF(ABS(t-ROUND(t,0))&lt;0.001,t,NA())</f>
        <v>#N/A</v>
      </c>
      <c r="AD882" s="457" t="e">
        <f aca="false">IF(ABS(t-ROUND(t,0))&lt;0.001,pos_x,NA())</f>
        <v>#N/A</v>
      </c>
      <c r="AE882" s="458" t="e">
        <f aca="false">IF(t&lt;T_para, pos_z, NA())</f>
        <v>#N/A</v>
      </c>
      <c r="AF882" s="444"/>
      <c r="AG882" s="450" t="n">
        <f aca="false">IF(AND(L881&lt;L_rampe,Poussee&lt;Poids*SIN(M881)),0,(-W881+Poussee)/m-Poids*SIN(M881)/m)</f>
        <v>3.69477502977815</v>
      </c>
      <c r="AH882" s="449" t="n">
        <f aca="false">IF(AND(L881&lt;L_rampe,Poussee&lt;Poids*SIN(M881)), g*SIN(M881), (-W881+Poussee)/m)</f>
        <v>-6.02311346085049</v>
      </c>
    </row>
    <row r="883" customFormat="false" ht="12" hidden="false" customHeight="false" outlineLevel="0" collapsed="false">
      <c r="A883" s="448" t="n">
        <f aca="false">IF(B882+0.01&lt;=T_ini+ROUNDUP(Temps_fin_propu,0), 0.01, IF(K882&gt;0, 0.1, 0.0001))</f>
        <v>0.0001</v>
      </c>
      <c r="B883" s="449" t="n">
        <f aca="false">B882+pas</f>
        <v>35.7162000000007</v>
      </c>
      <c r="C883" s="432"/>
      <c r="D883" s="450" t="n">
        <f aca="false">IF(AND(L882&lt;L_rampe,Poussee&lt;Poids*SIN(M882)),0,(-W882+Poussee)/m*COS(M882)-U882/m*SIN(M882))</f>
        <v>-0.823448594560262</v>
      </c>
      <c r="E883" s="451" t="n">
        <f aca="false">IF(AND(L882&lt;L_rampe,Poussee&lt;Poids*SIN(M882)),0,(-W882+Poussee)/m*SIN(M882)+U882/m*COS(M882)-Poids/m)</f>
        <v>-3.8434000112732</v>
      </c>
      <c r="F883" s="449" t="n">
        <f aca="false">SQRT(acc_x^2+acc_z^2)</f>
        <v>3.9306222452098</v>
      </c>
      <c r="G883" s="450" t="n">
        <f aca="false">G882+acc_x*pas</f>
        <v>18.8963201164936</v>
      </c>
      <c r="H883" s="451" t="n">
        <f aca="false">H882+acc_z*pas</f>
        <v>-136.921226099523</v>
      </c>
      <c r="I883" s="449" t="n">
        <f aca="false">SQRT(vit_x^2+vit_z^2)</f>
        <v>138.219004013709</v>
      </c>
      <c r="J883" s="450" t="n">
        <f aca="false">J882+0.5*(vit_x+G882)*pas*(K882&gt;=0)</f>
        <v>1017.12580762709</v>
      </c>
      <c r="K883" s="451" t="n">
        <f aca="false">K882+0.5*(vit_z+H882)*pas</f>
        <v>-14.6339390336408</v>
      </c>
      <c r="L883" s="449" t="n">
        <f aca="false">SQRT(pos_x^2+pos_z^2)</f>
        <v>1017.23107537703</v>
      </c>
      <c r="M883" s="450" t="n">
        <f aca="false">IF(AND(L882&gt;L_rampe,G883&gt;0),ATAN2(G883,H883),$M$4)</f>
        <v>-1.43365393991624</v>
      </c>
      <c r="N883" s="449" t="n">
        <f aca="false">DEGREES(Beta)</f>
        <v>-82.1423200395025</v>
      </c>
      <c r="O883" s="438"/>
      <c r="P883" s="452" t="n">
        <f aca="false">MATCH(t-pas/2-T_ini,CdP_t)</f>
        <v>23</v>
      </c>
      <c r="Q883" s="449" t="n">
        <f aca="false">(INDEX(CdP,2,i_P+1)-INDEX(CdP,2,i_P+0))/(INDEX(CdP,1,i_P+1)-INDEX(CdP,1,i_P+0))*(t-pas/2-T_ini-INDEX(CdP,1,i_P+0))+INDEX(CdP,2,i_P+0)</f>
        <v>0</v>
      </c>
      <c r="R883" s="450" t="n">
        <f aca="false">Poussee/(g*ISP)</f>
        <v>0</v>
      </c>
      <c r="S883" s="451" t="n">
        <f aca="false">S882-Débit*pas</f>
        <v>8.652</v>
      </c>
      <c r="T883" s="449" t="n">
        <f aca="false">m*g</f>
        <v>84.87612</v>
      </c>
      <c r="U883" s="453" t="n">
        <f aca="false">IF(pos_xz&lt;L_rampe,Poids*COS(Beta),0)</f>
        <v>0</v>
      </c>
      <c r="V883" s="450" t="n">
        <f aca="false">Rho_moyen*(20000-Alt_rampe-pos_z)/(20000+Alt_rampe+pos_z)</f>
        <v>1.22679397017413</v>
      </c>
      <c r="W883" s="449" t="n">
        <f aca="false">1/2*Rho*Sref*Cx*vit_xz^2</f>
        <v>52.1126775795773</v>
      </c>
      <c r="X883" s="438"/>
      <c r="Y883" s="454" t="str">
        <f aca="false">IF(AND(pos_z&lt;=0,K882&gt;0),"Impact balistique","") &amp; IF(AND(H884&lt;0,vit_z&gt;=0),"Apogée","") &amp; IF(AND(Poussee=0,Q882&gt;0),"Fin de propulsion","") &amp; IF(AND(L884&gt;L_rampe,pos_xz&lt;=L_rampe),"Sortie de rampe","")</f>
        <v/>
      </c>
      <c r="Z883" s="455" t="str">
        <f aca="false">IF(ABS(t-T_para)&lt;pas/2,"Para","")</f>
        <v/>
      </c>
      <c r="AA883" s="456" t="str">
        <f aca="false">IF(ABS(t-T_satellite)&lt;pas/2,"Satellite","")</f>
        <v/>
      </c>
      <c r="AB883" s="444"/>
      <c r="AC883" s="452" t="e">
        <f aca="false">IF(ABS(t-ROUND(t,0))&lt;0.001,t,NA())</f>
        <v>#N/A</v>
      </c>
      <c r="AD883" s="457" t="e">
        <f aca="false">IF(ABS(t-ROUND(t,0))&lt;0.001,pos_x,NA())</f>
        <v>#N/A</v>
      </c>
      <c r="AE883" s="458" t="e">
        <f aca="false">IF(t&lt;T_para, pos_z, NA())</f>
        <v>#N/A</v>
      </c>
      <c r="AF883" s="444"/>
      <c r="AG883" s="450" t="n">
        <f aca="false">IF(AND(L882&lt;L_rampe,Poussee&lt;Poids*SIN(M882)),0,(-W882+Poussee)/m-Poids*SIN(M882)/m)</f>
        <v>3.69473588284539</v>
      </c>
      <c r="AH883" s="449" t="n">
        <f aca="false">IF(AND(L882&lt;L_rampe,Poussee&lt;Poids*SIN(M882)), g*SIN(M882), (-W882+Poussee)/m)</f>
        <v>-6.02315390915407</v>
      </c>
    </row>
    <row r="884" customFormat="false" ht="12" hidden="false" customHeight="false" outlineLevel="0" collapsed="false">
      <c r="A884" s="448" t="n">
        <f aca="false">IF(B883+0.01&lt;=T_ini+ROUNDUP(Temps_fin_propu,0), 0.01, IF(K883&gt;0, 0.1, 0.0001))</f>
        <v>0.0001</v>
      </c>
      <c r="B884" s="449" t="n">
        <f aca="false">B883+pas</f>
        <v>35.7163000000007</v>
      </c>
      <c r="C884" s="432"/>
      <c r="D884" s="450" t="n">
        <f aca="false">IF(AND(L883&lt;L_rampe,Poussee&lt;Poids*SIN(M883)),0,(-W883+Poussee)/m*COS(M883)-U883/m*SIN(M883))</f>
        <v>-0.823448334851159</v>
      </c>
      <c r="E884" s="451" t="n">
        <f aca="false">IF(AND(L883&lt;L_rampe,Poussee&lt;Poids*SIN(M883)),0,(-W883+Poussee)/m*SIN(M883)+U883/m*COS(M883)-Poids/m)</f>
        <v>-3.84335914387798</v>
      </c>
      <c r="F884" s="449" t="n">
        <f aca="false">SQRT(acc_x^2+acc_z^2)</f>
        <v>3.93058223028085</v>
      </c>
      <c r="G884" s="450" t="n">
        <f aca="false">G883+acc_x*pas</f>
        <v>18.8962377716601</v>
      </c>
      <c r="H884" s="451" t="n">
        <f aca="false">H883+acc_z*pas</f>
        <v>-136.921610435437</v>
      </c>
      <c r="I884" s="449" t="n">
        <f aca="false">SQRT(vit_x^2+vit_z^2)</f>
        <v>138.219373483448</v>
      </c>
      <c r="J884" s="450" t="n">
        <f aca="false">J883+0.5*(vit_x+G883)*pas*(K883&gt;=0)</f>
        <v>1017.12580762709</v>
      </c>
      <c r="K884" s="451" t="n">
        <f aca="false">K883+0.5*(vit_z+H883)*pas</f>
        <v>-14.6476311754676</v>
      </c>
      <c r="L884" s="449" t="n">
        <f aca="false">SQRT(pos_x^2+pos_z^2)</f>
        <v>1017.23127244502</v>
      </c>
      <c r="M884" s="450" t="n">
        <f aca="false">IF(AND(L883&gt;L_rampe,G884&gt;0),ATAN2(G884,H884),$M$4)</f>
        <v>-1.43365491022413</v>
      </c>
      <c r="N884" s="449" t="n">
        <f aca="false">DEGREES(Beta)</f>
        <v>-82.1423756340498</v>
      </c>
      <c r="O884" s="438"/>
      <c r="P884" s="452" t="n">
        <f aca="false">MATCH(t-pas/2-T_ini,CdP_t)</f>
        <v>23</v>
      </c>
      <c r="Q884" s="449" t="n">
        <f aca="false">(INDEX(CdP,2,i_P+1)-INDEX(CdP,2,i_P+0))/(INDEX(CdP,1,i_P+1)-INDEX(CdP,1,i_P+0))*(t-pas/2-T_ini-INDEX(CdP,1,i_P+0))+INDEX(CdP,2,i_P+0)</f>
        <v>0</v>
      </c>
      <c r="R884" s="450" t="n">
        <f aca="false">Poussee/(g*ISP)</f>
        <v>0</v>
      </c>
      <c r="S884" s="451" t="n">
        <f aca="false">S883-Débit*pas</f>
        <v>8.652</v>
      </c>
      <c r="T884" s="449" t="n">
        <f aca="false">m*g</f>
        <v>84.87612</v>
      </c>
      <c r="U884" s="453" t="n">
        <f aca="false">IF(pos_xz&lt;L_rampe,Poids*COS(Beta),0)</f>
        <v>0</v>
      </c>
      <c r="V884" s="450" t="n">
        <f aca="false">Rho_moyen*(20000-Alt_rampe-pos_z)/(20000+Alt_rampe+pos_z)</f>
        <v>1.22679564991988</v>
      </c>
      <c r="W884" s="449" t="n">
        <f aca="false">1/2*Rho*Sref*Cx*vit_xz^2</f>
        <v>52.1130275360075</v>
      </c>
      <c r="X884" s="438"/>
      <c r="Y884" s="454" t="str">
        <f aca="false">IF(AND(pos_z&lt;=0,K883&gt;0),"Impact balistique","") &amp; IF(AND(H885&lt;0,vit_z&gt;=0),"Apogée","") &amp; IF(AND(Poussee=0,Q883&gt;0),"Fin de propulsion","") &amp; IF(AND(L885&gt;L_rampe,pos_xz&lt;=L_rampe),"Sortie de rampe","")</f>
        <v/>
      </c>
      <c r="Z884" s="455" t="str">
        <f aca="false">IF(ABS(t-T_para)&lt;pas/2,"Para","")</f>
        <v/>
      </c>
      <c r="AA884" s="456" t="str">
        <f aca="false">IF(ABS(t-T_satellite)&lt;pas/2,"Satellite","")</f>
        <v/>
      </c>
      <c r="AB884" s="444"/>
      <c r="AC884" s="452" t="e">
        <f aca="false">IF(ABS(t-ROUND(t,0))&lt;0.001,t,NA())</f>
        <v>#N/A</v>
      </c>
      <c r="AD884" s="457" t="e">
        <f aca="false">IF(ABS(t-ROUND(t,0))&lt;0.001,pos_x,NA())</f>
        <v>#N/A</v>
      </c>
      <c r="AE884" s="458" t="e">
        <f aca="false">IF(t&lt;T_para, pos_z, NA())</f>
        <v>#N/A</v>
      </c>
      <c r="AF884" s="444"/>
      <c r="AG884" s="450" t="n">
        <f aca="false">IF(AND(L883&lt;L_rampe,Poussee&lt;Poids*SIN(M883)),0,(-W883+Poussee)/m-Poids*SIN(M883)/m)</f>
        <v>3.69469673602332</v>
      </c>
      <c r="AH884" s="449" t="n">
        <f aca="false">IF(AND(L883&lt;L_rampe,Poussee&lt;Poids*SIN(M883)), g*SIN(M883), (-W883+Poussee)/m)</f>
        <v>-6.02319435732517</v>
      </c>
    </row>
    <row r="885" customFormat="false" ht="12" hidden="false" customHeight="false" outlineLevel="0" collapsed="false">
      <c r="A885" s="448" t="n">
        <f aca="false">IF(B884+0.01&lt;=T_ini+ROUNDUP(Temps_fin_propu,0), 0.01, IF(K884&gt;0, 0.1, 0.0001))</f>
        <v>0.0001</v>
      </c>
      <c r="B885" s="449" t="n">
        <f aca="false">B884+pas</f>
        <v>35.7164000000007</v>
      </c>
      <c r="C885" s="432"/>
      <c r="D885" s="450" t="n">
        <f aca="false">IF(AND(L884&lt;L_rampe,Poussee&lt;Poids*SIN(M884)),0,(-W884+Poussee)/m*COS(M884)-U884/m*SIN(M884))</f>
        <v>-0.823448075101594</v>
      </c>
      <c r="E885" s="451" t="n">
        <f aca="false">IF(AND(L884&lt;L_rampe,Poussee&lt;Poids*SIN(M884)),0,(-W884+Poussee)/m*SIN(M884)+U884/m*COS(M884)-Poids/m)</f>
        <v>-3.84331827661662</v>
      </c>
      <c r="F885" s="449" t="n">
        <f aca="false">SQRT(acc_x^2+acc_z^2)</f>
        <v>3.93054221549189</v>
      </c>
      <c r="G885" s="450" t="n">
        <f aca="false">G884+acc_x*pas</f>
        <v>18.8961554268526</v>
      </c>
      <c r="H885" s="451" t="n">
        <f aca="false">H884+acc_z*pas</f>
        <v>-136.921994767265</v>
      </c>
      <c r="I885" s="449" t="n">
        <f aca="false">SQRT(vit_x^2+vit_z^2)</f>
        <v>138.219742949271</v>
      </c>
      <c r="J885" s="450" t="n">
        <f aca="false">J884+0.5*(vit_x+G884)*pas*(K884&gt;=0)</f>
        <v>1017.12580762709</v>
      </c>
      <c r="K885" s="451" t="n">
        <f aca="false">K884+0.5*(vit_z+H884)*pas</f>
        <v>-14.6613233557277</v>
      </c>
      <c r="L885" s="449" t="n">
        <f aca="false">SQRT(pos_x^2+pos_z^2)</f>
        <v>1017.23146969783</v>
      </c>
      <c r="M885" s="450" t="n">
        <f aca="false">IF(AND(L884&gt;L_rampe,G885&gt;0),ATAN2(G885,H885),$M$4)</f>
        <v>-1.43365588052261</v>
      </c>
      <c r="N885" s="449" t="n">
        <f aca="false">DEGREES(Beta)</f>
        <v>-82.1424312280576</v>
      </c>
      <c r="O885" s="438"/>
      <c r="P885" s="452" t="n">
        <f aca="false">MATCH(t-pas/2-T_ini,CdP_t)</f>
        <v>23</v>
      </c>
      <c r="Q885" s="449" t="n">
        <f aca="false">(INDEX(CdP,2,i_P+1)-INDEX(CdP,2,i_P+0))/(INDEX(CdP,1,i_P+1)-INDEX(CdP,1,i_P+0))*(t-pas/2-T_ini-INDEX(CdP,1,i_P+0))+INDEX(CdP,2,i_P+0)</f>
        <v>0</v>
      </c>
      <c r="R885" s="450" t="n">
        <f aca="false">Poussee/(g*ISP)</f>
        <v>0</v>
      </c>
      <c r="S885" s="451" t="n">
        <f aca="false">S884-Débit*pas</f>
        <v>8.652</v>
      </c>
      <c r="T885" s="449" t="n">
        <f aca="false">m*g</f>
        <v>84.87612</v>
      </c>
      <c r="U885" s="453" t="n">
        <f aca="false">IF(pos_xz&lt;L_rampe,Poids*COS(Beta),0)</f>
        <v>0</v>
      </c>
      <c r="V885" s="450" t="n">
        <f aca="false">Rho_moyen*(20000-Alt_rampe-pos_z)/(20000+Alt_rampe+pos_z)</f>
        <v>1.22679732967265</v>
      </c>
      <c r="W885" s="449" t="n">
        <f aca="false">1/2*Rho*Sref*Cx*vit_xz^2</f>
        <v>52.1133774912915</v>
      </c>
      <c r="X885" s="438"/>
      <c r="Y885" s="454" t="str">
        <f aca="false">IF(AND(pos_z&lt;=0,K884&gt;0),"Impact balistique","") &amp; IF(AND(H886&lt;0,vit_z&gt;=0),"Apogée","") &amp; IF(AND(Poussee=0,Q884&gt;0),"Fin de propulsion","") &amp; IF(AND(L886&gt;L_rampe,pos_xz&lt;=L_rampe),"Sortie de rampe","")</f>
        <v/>
      </c>
      <c r="Z885" s="455" t="str">
        <f aca="false">IF(ABS(t-T_para)&lt;pas/2,"Para","")</f>
        <v/>
      </c>
      <c r="AA885" s="456" t="str">
        <f aca="false">IF(ABS(t-T_satellite)&lt;pas/2,"Satellite","")</f>
        <v/>
      </c>
      <c r="AB885" s="444"/>
      <c r="AC885" s="452" t="e">
        <f aca="false">IF(ABS(t-ROUND(t,0))&lt;0.001,t,NA())</f>
        <v>#N/A</v>
      </c>
      <c r="AD885" s="457" t="e">
        <f aca="false">IF(ABS(t-ROUND(t,0))&lt;0.001,pos_x,NA())</f>
        <v>#N/A</v>
      </c>
      <c r="AE885" s="458" t="e">
        <f aca="false">IF(t&lt;T_para, pos_z, NA())</f>
        <v>#N/A</v>
      </c>
      <c r="AF885" s="444"/>
      <c r="AG885" s="450" t="n">
        <f aca="false">IF(AND(L884&lt;L_rampe,Poussee&lt;Poids*SIN(M884)),0,(-W884+Poussee)/m-Poids*SIN(M884)/m)</f>
        <v>3.69465758931195</v>
      </c>
      <c r="AH885" s="449" t="n">
        <f aca="false">IF(AND(L884&lt;L_rampe,Poussee&lt;Poids*SIN(M884)), g*SIN(M884), (-W884+Poussee)/m)</f>
        <v>-6.02323480536379</v>
      </c>
    </row>
    <row r="886" customFormat="false" ht="12" hidden="false" customHeight="false" outlineLevel="0" collapsed="false">
      <c r="A886" s="448" t="n">
        <f aca="false">IF(B885+0.01&lt;=T_ini+ROUNDUP(Temps_fin_propu,0), 0.01, IF(K885&gt;0, 0.1, 0.0001))</f>
        <v>0.0001</v>
      </c>
      <c r="B886" s="449" t="n">
        <f aca="false">B885+pas</f>
        <v>35.7165000000007</v>
      </c>
      <c r="C886" s="432"/>
      <c r="D886" s="450" t="n">
        <f aca="false">IF(AND(L885&lt;L_rampe,Poussee&lt;Poids*SIN(M885)),0,(-W885+Poussee)/m*COS(M885)-U885/m*SIN(M885))</f>
        <v>-0.823447815311564</v>
      </c>
      <c r="E886" s="451" t="n">
        <f aca="false">IF(AND(L885&lt;L_rampe,Poussee&lt;Poids*SIN(M885)),0,(-W885+Poussee)/m*SIN(M885)+U885/m*COS(M885)-Poids/m)</f>
        <v>-3.84327740948914</v>
      </c>
      <c r="F886" s="449" t="n">
        <f aca="false">SQRT(acc_x^2+acc_z^2)</f>
        <v>3.93050220084291</v>
      </c>
      <c r="G886" s="450" t="n">
        <f aca="false">G885+acc_x*pas</f>
        <v>18.8960730820711</v>
      </c>
      <c r="H886" s="451" t="n">
        <f aca="false">H885+acc_z*pas</f>
        <v>-136.922379095006</v>
      </c>
      <c r="I886" s="449" t="n">
        <f aca="false">SQRT(vit_x^2+vit_z^2)</f>
        <v>138.220112411181</v>
      </c>
      <c r="J886" s="450" t="n">
        <f aca="false">J885+0.5*(vit_x+G885)*pas*(K885&gt;=0)</f>
        <v>1017.12580762709</v>
      </c>
      <c r="K886" s="451" t="n">
        <f aca="false">K885+0.5*(vit_z+H885)*pas</f>
        <v>-14.6750155744208</v>
      </c>
      <c r="L886" s="449" t="n">
        <f aca="false">SQRT(pos_x^2+pos_z^2)</f>
        <v>1017.23166713545</v>
      </c>
      <c r="M886" s="450" t="n">
        <f aca="false">IF(AND(L885&gt;L_rampe,G886&gt;0),ATAN2(G886,H886),$M$4)</f>
        <v>-1.43365685081168</v>
      </c>
      <c r="N886" s="449" t="n">
        <f aca="false">DEGREES(Beta)</f>
        <v>-82.1424868215259</v>
      </c>
      <c r="O886" s="438"/>
      <c r="P886" s="452" t="n">
        <f aca="false">MATCH(t-pas/2-T_ini,CdP_t)</f>
        <v>23</v>
      </c>
      <c r="Q886" s="449" t="n">
        <f aca="false">(INDEX(CdP,2,i_P+1)-INDEX(CdP,2,i_P+0))/(INDEX(CdP,1,i_P+1)-INDEX(CdP,1,i_P+0))*(t-pas/2-T_ini-INDEX(CdP,1,i_P+0))+INDEX(CdP,2,i_P+0)</f>
        <v>0</v>
      </c>
      <c r="R886" s="450" t="n">
        <f aca="false">Poussee/(g*ISP)</f>
        <v>0</v>
      </c>
      <c r="S886" s="451" t="n">
        <f aca="false">S885-Débit*pas</f>
        <v>8.652</v>
      </c>
      <c r="T886" s="449" t="n">
        <f aca="false">m*g</f>
        <v>84.87612</v>
      </c>
      <c r="U886" s="453" t="n">
        <f aca="false">IF(pos_xz&lt;L_rampe,Poids*COS(Beta),0)</f>
        <v>0</v>
      </c>
      <c r="V886" s="450" t="n">
        <f aca="false">Rho_moyen*(20000-Alt_rampe-pos_z)/(20000+Alt_rampe+pos_z)</f>
        <v>1.22679900943244</v>
      </c>
      <c r="W886" s="449" t="n">
        <f aca="false">1/2*Rho*Sref*Cx*vit_xz^2</f>
        <v>52.1137274454293</v>
      </c>
      <c r="X886" s="438"/>
      <c r="Y886" s="454" t="str">
        <f aca="false">IF(AND(pos_z&lt;=0,K885&gt;0),"Impact balistique","") &amp; IF(AND(H887&lt;0,vit_z&gt;=0),"Apogée","") &amp; IF(AND(Poussee=0,Q885&gt;0),"Fin de propulsion","") &amp; IF(AND(L887&gt;L_rampe,pos_xz&lt;=L_rampe),"Sortie de rampe","")</f>
        <v/>
      </c>
      <c r="Z886" s="455" t="str">
        <f aca="false">IF(ABS(t-T_para)&lt;pas/2,"Para","")</f>
        <v/>
      </c>
      <c r="AA886" s="456" t="str">
        <f aca="false">IF(ABS(t-T_satellite)&lt;pas/2,"Satellite","")</f>
        <v/>
      </c>
      <c r="AB886" s="444"/>
      <c r="AC886" s="452" t="e">
        <f aca="false">IF(ABS(t-ROUND(t,0))&lt;0.001,t,NA())</f>
        <v>#N/A</v>
      </c>
      <c r="AD886" s="457" t="e">
        <f aca="false">IF(ABS(t-ROUND(t,0))&lt;0.001,pos_x,NA())</f>
        <v>#N/A</v>
      </c>
      <c r="AE886" s="458" t="e">
        <f aca="false">IF(t&lt;T_para, pos_z, NA())</f>
        <v>#N/A</v>
      </c>
      <c r="AF886" s="444"/>
      <c r="AG886" s="450" t="n">
        <f aca="false">IF(AND(L885&lt;L_rampe,Poussee&lt;Poids*SIN(M885)),0,(-W885+Poussee)/m-Poids*SIN(M885)/m)</f>
        <v>3.69461844271128</v>
      </c>
      <c r="AH886" s="449" t="n">
        <f aca="false">IF(AND(L885&lt;L_rampe,Poussee&lt;Poids*SIN(M885)), g*SIN(M885), (-W885+Poussee)/m)</f>
        <v>-6.02327525326994</v>
      </c>
    </row>
    <row r="887" customFormat="false" ht="12" hidden="false" customHeight="false" outlineLevel="0" collapsed="false">
      <c r="A887" s="448" t="n">
        <f aca="false">IF(B886+0.01&lt;=T_ini+ROUNDUP(Temps_fin_propu,0), 0.01, IF(K886&gt;0, 0.1, 0.0001))</f>
        <v>0.0001</v>
      </c>
      <c r="B887" s="449" t="n">
        <f aca="false">B886+pas</f>
        <v>35.7166000000007</v>
      </c>
      <c r="C887" s="432"/>
      <c r="D887" s="450" t="n">
        <f aca="false">IF(AND(L886&lt;L_rampe,Poussee&lt;Poids*SIN(M886)),0,(-W886+Poussee)/m*COS(M886)-U886/m*SIN(M886))</f>
        <v>-0.823447555481073</v>
      </c>
      <c r="E887" s="451" t="n">
        <f aca="false">IF(AND(L886&lt;L_rampe,Poussee&lt;Poids*SIN(M886)),0,(-W886+Poussee)/m*SIN(M886)+U886/m*COS(M886)-Poids/m)</f>
        <v>-3.84323654249554</v>
      </c>
      <c r="F887" s="449" t="n">
        <f aca="false">SQRT(acc_x^2+acc_z^2)</f>
        <v>3.93046218633392</v>
      </c>
      <c r="G887" s="450" t="n">
        <f aca="false">G886+acc_x*pas</f>
        <v>18.8959907373155</v>
      </c>
      <c r="H887" s="451" t="n">
        <f aca="false">H886+acc_z*pas</f>
        <v>-136.92276341866</v>
      </c>
      <c r="I887" s="449" t="n">
        <f aca="false">SQRT(vit_x^2+vit_z^2)</f>
        <v>138.220481869176</v>
      </c>
      <c r="J887" s="450" t="n">
        <f aca="false">J886+0.5*(vit_x+G886)*pas*(K886&gt;=0)</f>
        <v>1017.12580762709</v>
      </c>
      <c r="K887" s="451" t="n">
        <f aca="false">K886+0.5*(vit_z+H886)*pas</f>
        <v>-14.6887078315465</v>
      </c>
      <c r="L887" s="449" t="n">
        <f aca="false">SQRT(pos_x^2+pos_z^2)</f>
        <v>1017.23186475789</v>
      </c>
      <c r="M887" s="450" t="n">
        <f aca="false">IF(AND(L886&gt;L_rampe,G887&gt;0),ATAN2(G887,H887),$M$4)</f>
        <v>-1.43365782109133</v>
      </c>
      <c r="N887" s="449" t="n">
        <f aca="false">DEGREES(Beta)</f>
        <v>-82.1425424144548</v>
      </c>
      <c r="O887" s="438"/>
      <c r="P887" s="452" t="n">
        <f aca="false">MATCH(t-pas/2-T_ini,CdP_t)</f>
        <v>23</v>
      </c>
      <c r="Q887" s="449" t="n">
        <f aca="false">(INDEX(CdP,2,i_P+1)-INDEX(CdP,2,i_P+0))/(INDEX(CdP,1,i_P+1)-INDEX(CdP,1,i_P+0))*(t-pas/2-T_ini-INDEX(CdP,1,i_P+0))+INDEX(CdP,2,i_P+0)</f>
        <v>0</v>
      </c>
      <c r="R887" s="450" t="n">
        <f aca="false">Poussee/(g*ISP)</f>
        <v>0</v>
      </c>
      <c r="S887" s="451" t="n">
        <f aca="false">S886-Débit*pas</f>
        <v>8.652</v>
      </c>
      <c r="T887" s="449" t="n">
        <f aca="false">m*g</f>
        <v>84.87612</v>
      </c>
      <c r="U887" s="453" t="n">
        <f aca="false">IF(pos_xz&lt;L_rampe,Poids*COS(Beta),0)</f>
        <v>0</v>
      </c>
      <c r="V887" s="450" t="n">
        <f aca="false">Rho_moyen*(20000-Alt_rampe-pos_z)/(20000+Alt_rampe+pos_z)</f>
        <v>1.22680068919924</v>
      </c>
      <c r="W887" s="449" t="n">
        <f aca="false">1/2*Rho*Sref*Cx*vit_xz^2</f>
        <v>52.1140773984208</v>
      </c>
      <c r="X887" s="438"/>
      <c r="Y887" s="454" t="str">
        <f aca="false">IF(AND(pos_z&lt;=0,K886&gt;0),"Impact balistique","") &amp; IF(AND(H888&lt;0,vit_z&gt;=0),"Apogée","") &amp; IF(AND(Poussee=0,Q886&gt;0),"Fin de propulsion","") &amp; IF(AND(L888&gt;L_rampe,pos_xz&lt;=L_rampe),"Sortie de rampe","")</f>
        <v/>
      </c>
      <c r="Z887" s="455" t="str">
        <f aca="false">IF(ABS(t-T_para)&lt;pas/2,"Para","")</f>
        <v/>
      </c>
      <c r="AA887" s="456" t="str">
        <f aca="false">IF(ABS(t-T_satellite)&lt;pas/2,"Satellite","")</f>
        <v/>
      </c>
      <c r="AB887" s="444"/>
      <c r="AC887" s="452" t="e">
        <f aca="false">IF(ABS(t-ROUND(t,0))&lt;0.001,t,NA())</f>
        <v>#N/A</v>
      </c>
      <c r="AD887" s="457" t="e">
        <f aca="false">IF(ABS(t-ROUND(t,0))&lt;0.001,pos_x,NA())</f>
        <v>#N/A</v>
      </c>
      <c r="AE887" s="458" t="e">
        <f aca="false">IF(t&lt;T_para, pos_z, NA())</f>
        <v>#N/A</v>
      </c>
      <c r="AF887" s="444"/>
      <c r="AG887" s="450" t="n">
        <f aca="false">IF(AND(L886&lt;L_rampe,Poussee&lt;Poids*SIN(M886)),0,(-W886+Poussee)/m-Poids*SIN(M886)/m)</f>
        <v>3.69457929622131</v>
      </c>
      <c r="AH887" s="449" t="n">
        <f aca="false">IF(AND(L886&lt;L_rampe,Poussee&lt;Poids*SIN(M886)), g*SIN(M886), (-W886+Poussee)/m)</f>
        <v>-6.0233157010436</v>
      </c>
    </row>
    <row r="888" customFormat="false" ht="12" hidden="false" customHeight="false" outlineLevel="0" collapsed="false">
      <c r="A888" s="448" t="n">
        <f aca="false">IF(B887+0.01&lt;=T_ini+ROUNDUP(Temps_fin_propu,0), 0.01, IF(K887&gt;0, 0.1, 0.0001))</f>
        <v>0.0001</v>
      </c>
      <c r="B888" s="449" t="n">
        <f aca="false">B887+pas</f>
        <v>35.7167000000008</v>
      </c>
      <c r="C888" s="432"/>
      <c r="D888" s="450" t="n">
        <f aca="false">IF(AND(L887&lt;L_rampe,Poussee&lt;Poids*SIN(M887)),0,(-W887+Poussee)/m*COS(M887)-U887/m*SIN(M887))</f>
        <v>-0.823447295610119</v>
      </c>
      <c r="E888" s="451" t="n">
        <f aca="false">IF(AND(L887&lt;L_rampe,Poussee&lt;Poids*SIN(M887)),0,(-W887+Poussee)/m*SIN(M887)+U887/m*COS(M887)-Poids/m)</f>
        <v>-3.84319567563581</v>
      </c>
      <c r="F888" s="449" t="n">
        <f aca="false">SQRT(acc_x^2+acc_z^2)</f>
        <v>3.93042217196491</v>
      </c>
      <c r="G888" s="450" t="n">
        <f aca="false">G887+acc_x*pas</f>
        <v>18.895908392586</v>
      </c>
      <c r="H888" s="451" t="n">
        <f aca="false">H887+acc_z*pas</f>
        <v>-136.923147738228</v>
      </c>
      <c r="I888" s="449" t="n">
        <f aca="false">SQRT(vit_x^2+vit_z^2)</f>
        <v>138.220851323256</v>
      </c>
      <c r="J888" s="450" t="n">
        <f aca="false">J887+0.5*(vit_x+G887)*pas*(K887&gt;=0)</f>
        <v>1017.12580762709</v>
      </c>
      <c r="K888" s="451" t="n">
        <f aca="false">K887+0.5*(vit_z+H887)*pas</f>
        <v>-14.7024001271043</v>
      </c>
      <c r="L888" s="449" t="n">
        <f aca="false">SQRT(pos_x^2+pos_z^2)</f>
        <v>1017.23206256515</v>
      </c>
      <c r="M888" s="450" t="n">
        <f aca="false">IF(AND(L887&gt;L_rampe,G888&gt;0),ATAN2(G888,H888),$M$4)</f>
        <v>-1.43365879136156</v>
      </c>
      <c r="N888" s="449" t="n">
        <f aca="false">DEGREES(Beta)</f>
        <v>-82.1425980068442</v>
      </c>
      <c r="O888" s="438"/>
      <c r="P888" s="452" t="n">
        <f aca="false">MATCH(t-pas/2-T_ini,CdP_t)</f>
        <v>23</v>
      </c>
      <c r="Q888" s="449" t="n">
        <f aca="false">(INDEX(CdP,2,i_P+1)-INDEX(CdP,2,i_P+0))/(INDEX(CdP,1,i_P+1)-INDEX(CdP,1,i_P+0))*(t-pas/2-T_ini-INDEX(CdP,1,i_P+0))+INDEX(CdP,2,i_P+0)</f>
        <v>0</v>
      </c>
      <c r="R888" s="450" t="n">
        <f aca="false">Poussee/(g*ISP)</f>
        <v>0</v>
      </c>
      <c r="S888" s="451" t="n">
        <f aca="false">S887-Débit*pas</f>
        <v>8.652</v>
      </c>
      <c r="T888" s="449" t="n">
        <f aca="false">m*g</f>
        <v>84.87612</v>
      </c>
      <c r="U888" s="453" t="n">
        <f aca="false">IF(pos_xz&lt;L_rampe,Poids*COS(Beta),0)</f>
        <v>0</v>
      </c>
      <c r="V888" s="450" t="n">
        <f aca="false">Rho_moyen*(20000-Alt_rampe-pos_z)/(20000+Alt_rampe+pos_z)</f>
        <v>1.22680236897306</v>
      </c>
      <c r="W888" s="449" t="n">
        <f aca="false">1/2*Rho*Sref*Cx*vit_xz^2</f>
        <v>52.1144273502661</v>
      </c>
      <c r="X888" s="438"/>
      <c r="Y888" s="454" t="str">
        <f aca="false">IF(AND(pos_z&lt;=0,K887&gt;0),"Impact balistique","") &amp; IF(AND(H889&lt;0,vit_z&gt;=0),"Apogée","") &amp; IF(AND(Poussee=0,Q887&gt;0),"Fin de propulsion","") &amp; IF(AND(L889&gt;L_rampe,pos_xz&lt;=L_rampe),"Sortie de rampe","")</f>
        <v/>
      </c>
      <c r="Z888" s="455" t="str">
        <f aca="false">IF(ABS(t-T_para)&lt;pas/2,"Para","")</f>
        <v/>
      </c>
      <c r="AA888" s="456" t="str">
        <f aca="false">IF(ABS(t-T_satellite)&lt;pas/2,"Satellite","")</f>
        <v/>
      </c>
      <c r="AB888" s="444"/>
      <c r="AC888" s="452" t="e">
        <f aca="false">IF(ABS(t-ROUND(t,0))&lt;0.001,t,NA())</f>
        <v>#N/A</v>
      </c>
      <c r="AD888" s="457" t="e">
        <f aca="false">IF(ABS(t-ROUND(t,0))&lt;0.001,pos_x,NA())</f>
        <v>#N/A</v>
      </c>
      <c r="AE888" s="458" t="e">
        <f aca="false">IF(t&lt;T_para, pos_z, NA())</f>
        <v>#N/A</v>
      </c>
      <c r="AF888" s="444"/>
      <c r="AG888" s="450" t="n">
        <f aca="false">IF(AND(L887&lt;L_rampe,Poussee&lt;Poids*SIN(M887)),0,(-W887+Poussee)/m-Poids*SIN(M887)/m)</f>
        <v>3.69454014984204</v>
      </c>
      <c r="AH888" s="449" t="n">
        <f aca="false">IF(AND(L887&lt;L_rampe,Poussee&lt;Poids*SIN(M887)), g*SIN(M887), (-W887+Poussee)/m)</f>
        <v>-6.02335614868479</v>
      </c>
    </row>
    <row r="889" customFormat="false" ht="12" hidden="false" customHeight="false" outlineLevel="0" collapsed="false">
      <c r="A889" s="448" t="n">
        <f aca="false">IF(B888+0.01&lt;=T_ini+ROUNDUP(Temps_fin_propu,0), 0.01, IF(K888&gt;0, 0.1, 0.0001))</f>
        <v>0.0001</v>
      </c>
      <c r="B889" s="449" t="n">
        <f aca="false">B888+pas</f>
        <v>35.7168000000008</v>
      </c>
      <c r="C889" s="432"/>
      <c r="D889" s="450" t="n">
        <f aca="false">IF(AND(L888&lt;L_rampe,Poussee&lt;Poids*SIN(M888)),0,(-W888+Poussee)/m*COS(M888)-U888/m*SIN(M888))</f>
        <v>-0.823447035698704</v>
      </c>
      <c r="E889" s="451" t="n">
        <f aca="false">IF(AND(L888&lt;L_rampe,Poussee&lt;Poids*SIN(M888)),0,(-W888+Poussee)/m*SIN(M888)+U888/m*COS(M888)-Poids/m)</f>
        <v>-3.84315480890996</v>
      </c>
      <c r="F889" s="449" t="n">
        <f aca="false">SQRT(acc_x^2+acc_z^2)</f>
        <v>3.93038215773591</v>
      </c>
      <c r="G889" s="450" t="n">
        <f aca="false">G888+acc_x*pas</f>
        <v>18.8958260478824</v>
      </c>
      <c r="H889" s="451" t="n">
        <f aca="false">H888+acc_z*pas</f>
        <v>-136.923532053709</v>
      </c>
      <c r="I889" s="449" t="n">
        <f aca="false">SQRT(vit_x^2+vit_z^2)</f>
        <v>138.221220773421</v>
      </c>
      <c r="J889" s="450" t="n">
        <f aca="false">J888+0.5*(vit_x+G888)*pas*(K888&gt;=0)</f>
        <v>1017.12580762709</v>
      </c>
      <c r="K889" s="451" t="n">
        <f aca="false">K888+0.5*(vit_z+H888)*pas</f>
        <v>-14.7160924610939</v>
      </c>
      <c r="L889" s="449" t="n">
        <f aca="false">SQRT(pos_x^2+pos_z^2)</f>
        <v>1017.23226055724</v>
      </c>
      <c r="M889" s="450" t="n">
        <f aca="false">IF(AND(L888&gt;L_rampe,G889&gt;0),ATAN2(G889,H889),$M$4)</f>
        <v>-1.43365976162238</v>
      </c>
      <c r="N889" s="449" t="n">
        <f aca="false">DEGREES(Beta)</f>
        <v>-82.1426535986942</v>
      </c>
      <c r="O889" s="438"/>
      <c r="P889" s="452" t="n">
        <f aca="false">MATCH(t-pas/2-T_ini,CdP_t)</f>
        <v>23</v>
      </c>
      <c r="Q889" s="449" t="n">
        <f aca="false">(INDEX(CdP,2,i_P+1)-INDEX(CdP,2,i_P+0))/(INDEX(CdP,1,i_P+1)-INDEX(CdP,1,i_P+0))*(t-pas/2-T_ini-INDEX(CdP,1,i_P+0))+INDEX(CdP,2,i_P+0)</f>
        <v>0</v>
      </c>
      <c r="R889" s="450" t="n">
        <f aca="false">Poussee/(g*ISP)</f>
        <v>0</v>
      </c>
      <c r="S889" s="451" t="n">
        <f aca="false">S888-Débit*pas</f>
        <v>8.652</v>
      </c>
      <c r="T889" s="449" t="n">
        <f aca="false">m*g</f>
        <v>84.87612</v>
      </c>
      <c r="U889" s="453" t="n">
        <f aca="false">IF(pos_xz&lt;L_rampe,Poids*COS(Beta),0)</f>
        <v>0</v>
      </c>
      <c r="V889" s="450" t="n">
        <f aca="false">Rho_moyen*(20000-Alt_rampe-pos_z)/(20000+Alt_rampe+pos_z)</f>
        <v>1.2268040487539</v>
      </c>
      <c r="W889" s="449" t="n">
        <f aca="false">1/2*Rho*Sref*Cx*vit_xz^2</f>
        <v>52.114777300965</v>
      </c>
      <c r="X889" s="438"/>
      <c r="Y889" s="454" t="str">
        <f aca="false">IF(AND(pos_z&lt;=0,K888&gt;0),"Impact balistique","") &amp; IF(AND(H890&lt;0,vit_z&gt;=0),"Apogée","") &amp; IF(AND(Poussee=0,Q888&gt;0),"Fin de propulsion","") &amp; IF(AND(L890&gt;L_rampe,pos_xz&lt;=L_rampe),"Sortie de rampe","")</f>
        <v/>
      </c>
      <c r="Z889" s="455" t="str">
        <f aca="false">IF(ABS(t-T_para)&lt;pas/2,"Para","")</f>
        <v/>
      </c>
      <c r="AA889" s="456" t="str">
        <f aca="false">IF(ABS(t-T_satellite)&lt;pas/2,"Satellite","")</f>
        <v/>
      </c>
      <c r="AB889" s="444"/>
      <c r="AC889" s="452" t="e">
        <f aca="false">IF(ABS(t-ROUND(t,0))&lt;0.001,t,NA())</f>
        <v>#N/A</v>
      </c>
      <c r="AD889" s="457" t="e">
        <f aca="false">IF(ABS(t-ROUND(t,0))&lt;0.001,pos_x,NA())</f>
        <v>#N/A</v>
      </c>
      <c r="AE889" s="458" t="e">
        <f aca="false">IF(t&lt;T_para, pos_z, NA())</f>
        <v>#N/A</v>
      </c>
      <c r="AF889" s="444"/>
      <c r="AG889" s="450" t="n">
        <f aca="false">IF(AND(L888&lt;L_rampe,Poussee&lt;Poids*SIN(M888)),0,(-W888+Poussee)/m-Poids*SIN(M888)/m)</f>
        <v>3.69450100357349</v>
      </c>
      <c r="AH889" s="449" t="n">
        <f aca="false">IF(AND(L888&lt;L_rampe,Poussee&lt;Poids*SIN(M888)), g*SIN(M888), (-W888+Poussee)/m)</f>
        <v>-6.02339659619349</v>
      </c>
    </row>
    <row r="890" customFormat="false" ht="12" hidden="false" customHeight="false" outlineLevel="0" collapsed="false">
      <c r="A890" s="448" t="n">
        <f aca="false">IF(B889+0.01&lt;=T_ini+ROUNDUP(Temps_fin_propu,0), 0.01, IF(K889&gt;0, 0.1, 0.0001))</f>
        <v>0.0001</v>
      </c>
      <c r="B890" s="449" t="n">
        <f aca="false">B889+pas</f>
        <v>35.7169000000008</v>
      </c>
      <c r="C890" s="432"/>
      <c r="D890" s="450" t="n">
        <f aca="false">IF(AND(L889&lt;L_rampe,Poussee&lt;Poids*SIN(M889)),0,(-W889+Poussee)/m*COS(M889)-U889/m*SIN(M889))</f>
        <v>-0.823446775746827</v>
      </c>
      <c r="E890" s="451" t="n">
        <f aca="false">IF(AND(L889&lt;L_rampe,Poussee&lt;Poids*SIN(M889)),0,(-W889+Poussee)/m*SIN(M889)+U889/m*COS(M889)-Poids/m)</f>
        <v>-3.843113942318</v>
      </c>
      <c r="F890" s="449" t="n">
        <f aca="false">SQRT(acc_x^2+acc_z^2)</f>
        <v>3.93034214364689</v>
      </c>
      <c r="G890" s="450" t="n">
        <f aca="false">G889+acc_x*pas</f>
        <v>18.8957437032048</v>
      </c>
      <c r="H890" s="451" t="n">
        <f aca="false">H889+acc_z*pas</f>
        <v>-136.923916365103</v>
      </c>
      <c r="I890" s="449" t="n">
        <f aca="false">SQRT(vit_x^2+vit_z^2)</f>
        <v>138.221590219672</v>
      </c>
      <c r="J890" s="450" t="n">
        <f aca="false">J889+0.5*(vit_x+G889)*pas*(K889&gt;=0)</f>
        <v>1017.12580762709</v>
      </c>
      <c r="K890" s="451" t="n">
        <f aca="false">K889+0.5*(vit_z+H889)*pas</f>
        <v>-14.7297848335149</v>
      </c>
      <c r="L890" s="449" t="n">
        <f aca="false">SQRT(pos_x^2+pos_z^2)</f>
        <v>1017.23245873414</v>
      </c>
      <c r="M890" s="450" t="n">
        <f aca="false">IF(AND(L889&gt;L_rampe,G890&gt;0),ATAN2(G890,H890),$M$4)</f>
        <v>-1.43366073187379</v>
      </c>
      <c r="N890" s="449" t="n">
        <f aca="false">DEGREES(Beta)</f>
        <v>-82.1427091900048</v>
      </c>
      <c r="O890" s="438"/>
      <c r="P890" s="452" t="n">
        <f aca="false">MATCH(t-pas/2-T_ini,CdP_t)</f>
        <v>23</v>
      </c>
      <c r="Q890" s="449" t="n">
        <f aca="false">(INDEX(CdP,2,i_P+1)-INDEX(CdP,2,i_P+0))/(INDEX(CdP,1,i_P+1)-INDEX(CdP,1,i_P+0))*(t-pas/2-T_ini-INDEX(CdP,1,i_P+0))+INDEX(CdP,2,i_P+0)</f>
        <v>0</v>
      </c>
      <c r="R890" s="450" t="n">
        <f aca="false">Poussee/(g*ISP)</f>
        <v>0</v>
      </c>
      <c r="S890" s="451" t="n">
        <f aca="false">S889-Débit*pas</f>
        <v>8.652</v>
      </c>
      <c r="T890" s="449" t="n">
        <f aca="false">m*g</f>
        <v>84.87612</v>
      </c>
      <c r="U890" s="453" t="n">
        <f aca="false">IF(pos_xz&lt;L_rampe,Poids*COS(Beta),0)</f>
        <v>0</v>
      </c>
      <c r="V890" s="450" t="n">
        <f aca="false">Rho_moyen*(20000-Alt_rampe-pos_z)/(20000+Alt_rampe+pos_z)</f>
        <v>1.22680572854175</v>
      </c>
      <c r="W890" s="449" t="n">
        <f aca="false">1/2*Rho*Sref*Cx*vit_xz^2</f>
        <v>52.1151272505177</v>
      </c>
      <c r="X890" s="438"/>
      <c r="Y890" s="454" t="str">
        <f aca="false">IF(AND(pos_z&lt;=0,K889&gt;0),"Impact balistique","") &amp; IF(AND(H891&lt;0,vit_z&gt;=0),"Apogée","") &amp; IF(AND(Poussee=0,Q889&gt;0),"Fin de propulsion","") &amp; IF(AND(L891&gt;L_rampe,pos_xz&lt;=L_rampe),"Sortie de rampe","")</f>
        <v/>
      </c>
      <c r="Z890" s="455" t="str">
        <f aca="false">IF(ABS(t-T_para)&lt;pas/2,"Para","")</f>
        <v/>
      </c>
      <c r="AA890" s="456" t="str">
        <f aca="false">IF(ABS(t-T_satellite)&lt;pas/2,"Satellite","")</f>
        <v/>
      </c>
      <c r="AB890" s="444"/>
      <c r="AC890" s="452" t="e">
        <f aca="false">IF(ABS(t-ROUND(t,0))&lt;0.001,t,NA())</f>
        <v>#N/A</v>
      </c>
      <c r="AD890" s="457" t="e">
        <f aca="false">IF(ABS(t-ROUND(t,0))&lt;0.001,pos_x,NA())</f>
        <v>#N/A</v>
      </c>
      <c r="AE890" s="458" t="e">
        <f aca="false">IF(t&lt;T_para, pos_z, NA())</f>
        <v>#N/A</v>
      </c>
      <c r="AF890" s="444"/>
      <c r="AG890" s="450" t="n">
        <f aca="false">IF(AND(L889&lt;L_rampe,Poussee&lt;Poids*SIN(M889)),0,(-W889+Poussee)/m-Poids*SIN(M889)/m)</f>
        <v>3.69446185741565</v>
      </c>
      <c r="AH890" s="449" t="n">
        <f aca="false">IF(AND(L889&lt;L_rampe,Poussee&lt;Poids*SIN(M889)), g*SIN(M889), (-W889+Poussee)/m)</f>
        <v>-6.0234370435697</v>
      </c>
    </row>
    <row r="891" customFormat="false" ht="12" hidden="false" customHeight="false" outlineLevel="0" collapsed="false">
      <c r="A891" s="448" t="n">
        <f aca="false">IF(B890+0.01&lt;=T_ini+ROUNDUP(Temps_fin_propu,0), 0.01, IF(K890&gt;0, 0.1, 0.0001))</f>
        <v>0.0001</v>
      </c>
      <c r="B891" s="449" t="n">
        <f aca="false">B890+pas</f>
        <v>35.7170000000008</v>
      </c>
      <c r="C891" s="432"/>
      <c r="D891" s="450" t="n">
        <f aca="false">IF(AND(L890&lt;L_rampe,Poussee&lt;Poids*SIN(M890)),0,(-W890+Poussee)/m*COS(M890)-U890/m*SIN(M890))</f>
        <v>-0.823446515754489</v>
      </c>
      <c r="E891" s="451" t="n">
        <f aca="false">IF(AND(L890&lt;L_rampe,Poussee&lt;Poids*SIN(M890)),0,(-W890+Poussee)/m*SIN(M890)+U890/m*COS(M890)-Poids/m)</f>
        <v>-3.84307307585993</v>
      </c>
      <c r="F891" s="449" t="n">
        <f aca="false">SQRT(acc_x^2+acc_z^2)</f>
        <v>3.93030212969788</v>
      </c>
      <c r="G891" s="450" t="n">
        <f aca="false">G890+acc_x*pas</f>
        <v>18.8956613585532</v>
      </c>
      <c r="H891" s="451" t="n">
        <f aca="false">H890+acc_z*pas</f>
        <v>-136.92430067241</v>
      </c>
      <c r="I891" s="449" t="n">
        <f aca="false">SQRT(vit_x^2+vit_z^2)</f>
        <v>138.221959662008</v>
      </c>
      <c r="J891" s="450" t="n">
        <f aca="false">J890+0.5*(vit_x+G890)*pas*(K890&gt;=0)</f>
        <v>1017.12580762709</v>
      </c>
      <c r="K891" s="451" t="n">
        <f aca="false">K890+0.5*(vit_z+H890)*pas</f>
        <v>-14.7434772443668</v>
      </c>
      <c r="L891" s="449" t="n">
        <f aca="false">SQRT(pos_x^2+pos_z^2)</f>
        <v>1017.23265709587</v>
      </c>
      <c r="M891" s="450" t="n">
        <f aca="false">IF(AND(L890&gt;L_rampe,G891&gt;0),ATAN2(G891,H891),$M$4)</f>
        <v>-1.43366170211578</v>
      </c>
      <c r="N891" s="449" t="n">
        <f aca="false">DEGREES(Beta)</f>
        <v>-82.1427647807759</v>
      </c>
      <c r="O891" s="438"/>
      <c r="P891" s="452" t="n">
        <f aca="false">MATCH(t-pas/2-T_ini,CdP_t)</f>
        <v>23</v>
      </c>
      <c r="Q891" s="449" t="n">
        <f aca="false">(INDEX(CdP,2,i_P+1)-INDEX(CdP,2,i_P+0))/(INDEX(CdP,1,i_P+1)-INDEX(CdP,1,i_P+0))*(t-pas/2-T_ini-INDEX(CdP,1,i_P+0))+INDEX(CdP,2,i_P+0)</f>
        <v>0</v>
      </c>
      <c r="R891" s="450" t="n">
        <f aca="false">Poussee/(g*ISP)</f>
        <v>0</v>
      </c>
      <c r="S891" s="451" t="n">
        <f aca="false">S890-Débit*pas</f>
        <v>8.652</v>
      </c>
      <c r="T891" s="449" t="n">
        <f aca="false">m*g</f>
        <v>84.87612</v>
      </c>
      <c r="U891" s="453" t="n">
        <f aca="false">IF(pos_xz&lt;L_rampe,Poids*COS(Beta),0)</f>
        <v>0</v>
      </c>
      <c r="V891" s="450" t="n">
        <f aca="false">Rho_moyen*(20000-Alt_rampe-pos_z)/(20000+Alt_rampe+pos_z)</f>
        <v>1.22680740833662</v>
      </c>
      <c r="W891" s="449" t="n">
        <f aca="false">1/2*Rho*Sref*Cx*vit_xz^2</f>
        <v>52.1154771989241</v>
      </c>
      <c r="X891" s="438"/>
      <c r="Y891" s="454" t="str">
        <f aca="false">IF(AND(pos_z&lt;=0,K890&gt;0),"Impact balistique","") &amp; IF(AND(H892&lt;0,vit_z&gt;=0),"Apogée","") &amp; IF(AND(Poussee=0,Q890&gt;0),"Fin de propulsion","") &amp; IF(AND(L892&gt;L_rampe,pos_xz&lt;=L_rampe),"Sortie de rampe","")</f>
        <v/>
      </c>
      <c r="Z891" s="455" t="str">
        <f aca="false">IF(ABS(t-T_para)&lt;pas/2,"Para","")</f>
        <v/>
      </c>
      <c r="AA891" s="456" t="str">
        <f aca="false">IF(ABS(t-T_satellite)&lt;pas/2,"Satellite","")</f>
        <v/>
      </c>
      <c r="AB891" s="444"/>
      <c r="AC891" s="452" t="e">
        <f aca="false">IF(ABS(t-ROUND(t,0))&lt;0.001,t,NA())</f>
        <v>#N/A</v>
      </c>
      <c r="AD891" s="457" t="e">
        <f aca="false">IF(ABS(t-ROUND(t,0))&lt;0.001,pos_x,NA())</f>
        <v>#N/A</v>
      </c>
      <c r="AE891" s="458" t="e">
        <f aca="false">IF(t&lt;T_para, pos_z, NA())</f>
        <v>#N/A</v>
      </c>
      <c r="AF891" s="444"/>
      <c r="AG891" s="450" t="n">
        <f aca="false">IF(AND(L890&lt;L_rampe,Poussee&lt;Poids*SIN(M890)),0,(-W890+Poussee)/m-Poids*SIN(M890)/m)</f>
        <v>3.69442271136853</v>
      </c>
      <c r="AH891" s="449" t="n">
        <f aca="false">IF(AND(L890&lt;L_rampe,Poussee&lt;Poids*SIN(M890)), g*SIN(M890), (-W890+Poussee)/m)</f>
        <v>-6.02347749081342</v>
      </c>
    </row>
    <row r="892" customFormat="false" ht="12" hidden="false" customHeight="false" outlineLevel="0" collapsed="false">
      <c r="A892" s="448" t="n">
        <f aca="false">IF(B891+0.01&lt;=T_ini+ROUNDUP(Temps_fin_propu,0), 0.01, IF(K891&gt;0, 0.1, 0.0001))</f>
        <v>0.0001</v>
      </c>
      <c r="B892" s="449" t="n">
        <f aca="false">B891+pas</f>
        <v>35.7171000000008</v>
      </c>
      <c r="C892" s="432"/>
      <c r="D892" s="450" t="n">
        <f aca="false">IF(AND(L891&lt;L_rampe,Poussee&lt;Poids*SIN(M891)),0,(-W891+Poussee)/m*COS(M891)-U891/m*SIN(M891))</f>
        <v>-0.82344625572169</v>
      </c>
      <c r="E892" s="451" t="n">
        <f aca="false">IF(AND(L891&lt;L_rampe,Poussee&lt;Poids*SIN(M891)),0,(-W891+Poussee)/m*SIN(M891)+U891/m*COS(M891)-Poids/m)</f>
        <v>-3.84303220953574</v>
      </c>
      <c r="F892" s="449" t="n">
        <f aca="false">SQRT(acc_x^2+acc_z^2)</f>
        <v>3.93026211588887</v>
      </c>
      <c r="G892" s="450" t="n">
        <f aca="false">G891+acc_x*pas</f>
        <v>18.8955790139277</v>
      </c>
      <c r="H892" s="451" t="n">
        <f aca="false">H891+acc_z*pas</f>
        <v>-136.924684975631</v>
      </c>
      <c r="I892" s="449" t="n">
        <f aca="false">SQRT(vit_x^2+vit_z^2)</f>
        <v>138.22232910043</v>
      </c>
      <c r="J892" s="450" t="n">
        <f aca="false">J891+0.5*(vit_x+G891)*pas*(K891&gt;=0)</f>
        <v>1017.12580762709</v>
      </c>
      <c r="K892" s="451" t="n">
        <f aca="false">K891+0.5*(vit_z+H891)*pas</f>
        <v>-14.7571696936492</v>
      </c>
      <c r="L892" s="449" t="n">
        <f aca="false">SQRT(pos_x^2+pos_z^2)</f>
        <v>1017.23285564242</v>
      </c>
      <c r="M892" s="450" t="n">
        <f aca="false">IF(AND(L891&gt;L_rampe,G892&gt;0),ATAN2(G892,H892),$M$4)</f>
        <v>-1.43366267234835</v>
      </c>
      <c r="N892" s="449" t="n">
        <f aca="false">DEGREES(Beta)</f>
        <v>-82.1428203710076</v>
      </c>
      <c r="O892" s="438"/>
      <c r="P892" s="452" t="n">
        <f aca="false">MATCH(t-pas/2-T_ini,CdP_t)</f>
        <v>23</v>
      </c>
      <c r="Q892" s="449" t="n">
        <f aca="false">(INDEX(CdP,2,i_P+1)-INDEX(CdP,2,i_P+0))/(INDEX(CdP,1,i_P+1)-INDEX(CdP,1,i_P+0))*(t-pas/2-T_ini-INDEX(CdP,1,i_P+0))+INDEX(CdP,2,i_P+0)</f>
        <v>0</v>
      </c>
      <c r="R892" s="450" t="n">
        <f aca="false">Poussee/(g*ISP)</f>
        <v>0</v>
      </c>
      <c r="S892" s="451" t="n">
        <f aca="false">S891-Débit*pas</f>
        <v>8.652</v>
      </c>
      <c r="T892" s="449" t="n">
        <f aca="false">m*g</f>
        <v>84.87612</v>
      </c>
      <c r="U892" s="453" t="n">
        <f aca="false">IF(pos_xz&lt;L_rampe,Poids*COS(Beta),0)</f>
        <v>0</v>
      </c>
      <c r="V892" s="450" t="n">
        <f aca="false">Rho_moyen*(20000-Alt_rampe-pos_z)/(20000+Alt_rampe+pos_z)</f>
        <v>1.2268090881385</v>
      </c>
      <c r="W892" s="449" t="n">
        <f aca="false">1/2*Rho*Sref*Cx*vit_xz^2</f>
        <v>52.1158271461841</v>
      </c>
      <c r="X892" s="438"/>
      <c r="Y892" s="454" t="str">
        <f aca="false">IF(AND(pos_z&lt;=0,K891&gt;0),"Impact balistique","") &amp; IF(AND(H893&lt;0,vit_z&gt;=0),"Apogée","") &amp; IF(AND(Poussee=0,Q891&gt;0),"Fin de propulsion","") &amp; IF(AND(L893&gt;L_rampe,pos_xz&lt;=L_rampe),"Sortie de rampe","")</f>
        <v/>
      </c>
      <c r="Z892" s="455" t="str">
        <f aca="false">IF(ABS(t-T_para)&lt;pas/2,"Para","")</f>
        <v/>
      </c>
      <c r="AA892" s="456" t="str">
        <f aca="false">IF(ABS(t-T_satellite)&lt;pas/2,"Satellite","")</f>
        <v/>
      </c>
      <c r="AB892" s="444"/>
      <c r="AC892" s="452" t="e">
        <f aca="false">IF(ABS(t-ROUND(t,0))&lt;0.001,t,NA())</f>
        <v>#N/A</v>
      </c>
      <c r="AD892" s="457" t="e">
        <f aca="false">IF(ABS(t-ROUND(t,0))&lt;0.001,pos_x,NA())</f>
        <v>#N/A</v>
      </c>
      <c r="AE892" s="458" t="e">
        <f aca="false">IF(t&lt;T_para, pos_z, NA())</f>
        <v>#N/A</v>
      </c>
      <c r="AF892" s="444"/>
      <c r="AG892" s="450" t="n">
        <f aca="false">IF(AND(L891&lt;L_rampe,Poussee&lt;Poids*SIN(M891)),0,(-W891+Poussee)/m-Poids*SIN(M891)/m)</f>
        <v>3.69438356543212</v>
      </c>
      <c r="AH892" s="449" t="n">
        <f aca="false">IF(AND(L891&lt;L_rampe,Poussee&lt;Poids*SIN(M891)), g*SIN(M891), (-W891+Poussee)/m)</f>
        <v>-6.02351793792465</v>
      </c>
    </row>
    <row r="893" customFormat="false" ht="12" hidden="false" customHeight="false" outlineLevel="0" collapsed="false">
      <c r="A893" s="448" t="n">
        <f aca="false">IF(B892+0.01&lt;=T_ini+ROUNDUP(Temps_fin_propu,0), 0.01, IF(K892&gt;0, 0.1, 0.0001))</f>
        <v>0.0001</v>
      </c>
      <c r="B893" s="449" t="n">
        <f aca="false">B892+pas</f>
        <v>35.7172000000008</v>
      </c>
      <c r="C893" s="432"/>
      <c r="D893" s="450" t="n">
        <f aca="false">IF(AND(L892&lt;L_rampe,Poussee&lt;Poids*SIN(M892)),0,(-W892+Poussee)/m*COS(M892)-U892/m*SIN(M892))</f>
        <v>-0.823445995648432</v>
      </c>
      <c r="E893" s="451" t="n">
        <f aca="false">IF(AND(L892&lt;L_rampe,Poussee&lt;Poids*SIN(M892)),0,(-W892+Poussee)/m*SIN(M892)+U892/m*COS(M892)-Poids/m)</f>
        <v>-3.84299134334544</v>
      </c>
      <c r="F893" s="449" t="n">
        <f aca="false">SQRT(acc_x^2+acc_z^2)</f>
        <v>3.93022210221985</v>
      </c>
      <c r="G893" s="450" t="n">
        <f aca="false">G892+acc_x*pas</f>
        <v>18.8954966693281</v>
      </c>
      <c r="H893" s="451" t="n">
        <f aca="false">H892+acc_z*pas</f>
        <v>-136.925069274766</v>
      </c>
      <c r="I893" s="449" t="n">
        <f aca="false">SQRT(vit_x^2+vit_z^2)</f>
        <v>138.222698534937</v>
      </c>
      <c r="J893" s="450" t="n">
        <f aca="false">J892+0.5*(vit_x+G892)*pas*(K892&gt;=0)</f>
        <v>1017.12580762709</v>
      </c>
      <c r="K893" s="451" t="n">
        <f aca="false">K892+0.5*(vit_z+H892)*pas</f>
        <v>-14.7708621813617</v>
      </c>
      <c r="L893" s="449" t="n">
        <f aca="false">SQRT(pos_x^2+pos_z^2)</f>
        <v>1017.2330543738</v>
      </c>
      <c r="M893" s="450" t="n">
        <f aca="false">IF(AND(L892&gt;L_rampe,G893&gt;0),ATAN2(G893,H893),$M$4)</f>
        <v>-1.43366364257151</v>
      </c>
      <c r="N893" s="449" t="n">
        <f aca="false">DEGREES(Beta)</f>
        <v>-82.1428759606999</v>
      </c>
      <c r="O893" s="438"/>
      <c r="P893" s="452" t="n">
        <f aca="false">MATCH(t-pas/2-T_ini,CdP_t)</f>
        <v>23</v>
      </c>
      <c r="Q893" s="449" t="n">
        <f aca="false">(INDEX(CdP,2,i_P+1)-INDEX(CdP,2,i_P+0))/(INDEX(CdP,1,i_P+1)-INDEX(CdP,1,i_P+0))*(t-pas/2-T_ini-INDEX(CdP,1,i_P+0))+INDEX(CdP,2,i_P+0)</f>
        <v>0</v>
      </c>
      <c r="R893" s="450" t="n">
        <f aca="false">Poussee/(g*ISP)</f>
        <v>0</v>
      </c>
      <c r="S893" s="451" t="n">
        <f aca="false">S892-Débit*pas</f>
        <v>8.652</v>
      </c>
      <c r="T893" s="449" t="n">
        <f aca="false">m*g</f>
        <v>84.87612</v>
      </c>
      <c r="U893" s="453" t="n">
        <f aca="false">IF(pos_xz&lt;L_rampe,Poids*COS(Beta),0)</f>
        <v>0</v>
      </c>
      <c r="V893" s="450" t="n">
        <f aca="false">Rho_moyen*(20000-Alt_rampe-pos_z)/(20000+Alt_rampe+pos_z)</f>
        <v>1.22681076794741</v>
      </c>
      <c r="W893" s="449" t="n">
        <f aca="false">1/2*Rho*Sref*Cx*vit_xz^2</f>
        <v>52.1161770922977</v>
      </c>
      <c r="X893" s="438"/>
      <c r="Y893" s="454" t="str">
        <f aca="false">IF(AND(pos_z&lt;=0,K892&gt;0),"Impact balistique","") &amp; IF(AND(H894&lt;0,vit_z&gt;=0),"Apogée","") &amp; IF(AND(Poussee=0,Q892&gt;0),"Fin de propulsion","") &amp; IF(AND(L894&gt;L_rampe,pos_xz&lt;=L_rampe),"Sortie de rampe","")</f>
        <v/>
      </c>
      <c r="Z893" s="455" t="str">
        <f aca="false">IF(ABS(t-T_para)&lt;pas/2,"Para","")</f>
        <v/>
      </c>
      <c r="AA893" s="456" t="str">
        <f aca="false">IF(ABS(t-T_satellite)&lt;pas/2,"Satellite","")</f>
        <v/>
      </c>
      <c r="AB893" s="444"/>
      <c r="AC893" s="452" t="e">
        <f aca="false">IF(ABS(t-ROUND(t,0))&lt;0.001,t,NA())</f>
        <v>#N/A</v>
      </c>
      <c r="AD893" s="457" t="e">
        <f aca="false">IF(ABS(t-ROUND(t,0))&lt;0.001,pos_x,NA())</f>
        <v>#N/A</v>
      </c>
      <c r="AE893" s="458" t="e">
        <f aca="false">IF(t&lt;T_para, pos_z, NA())</f>
        <v>#N/A</v>
      </c>
      <c r="AF893" s="444"/>
      <c r="AG893" s="450" t="n">
        <f aca="false">IF(AND(L892&lt;L_rampe,Poussee&lt;Poids*SIN(M892)),0,(-W892+Poussee)/m-Poids*SIN(M892)/m)</f>
        <v>3.69434441960643</v>
      </c>
      <c r="AH893" s="449" t="n">
        <f aca="false">IF(AND(L892&lt;L_rampe,Poussee&lt;Poids*SIN(M892)), g*SIN(M892), (-W892+Poussee)/m)</f>
        <v>-6.02355838490339</v>
      </c>
    </row>
    <row r="894" customFormat="false" ht="12" hidden="false" customHeight="false" outlineLevel="0" collapsed="false">
      <c r="A894" s="448" t="n">
        <f aca="false">IF(B893+0.01&lt;=T_ini+ROUNDUP(Temps_fin_propu,0), 0.01, IF(K893&gt;0, 0.1, 0.0001))</f>
        <v>0.0001</v>
      </c>
      <c r="B894" s="449" t="n">
        <f aca="false">B893+pas</f>
        <v>35.7173000000008</v>
      </c>
      <c r="C894" s="432"/>
      <c r="D894" s="450" t="n">
        <f aca="false">IF(AND(L893&lt;L_rampe,Poussee&lt;Poids*SIN(M893)),0,(-W893+Poussee)/m*COS(M893)-U893/m*SIN(M893))</f>
        <v>-0.823445735534711</v>
      </c>
      <c r="E894" s="451" t="n">
        <f aca="false">IF(AND(L893&lt;L_rampe,Poussee&lt;Poids*SIN(M893)),0,(-W893+Poussee)/m*SIN(M893)+U893/m*COS(M893)-Poids/m)</f>
        <v>-3.84295047728904</v>
      </c>
      <c r="F894" s="449" t="n">
        <f aca="false">SQRT(acc_x^2+acc_z^2)</f>
        <v>3.93018208869085</v>
      </c>
      <c r="G894" s="450" t="n">
        <f aca="false">G893+acc_x*pas</f>
        <v>18.8954143247545</v>
      </c>
      <c r="H894" s="451" t="n">
        <f aca="false">H893+acc_z*pas</f>
        <v>-136.925453569813</v>
      </c>
      <c r="I894" s="449" t="n">
        <f aca="false">SQRT(vit_x^2+vit_z^2)</f>
        <v>138.223067965529</v>
      </c>
      <c r="J894" s="450" t="n">
        <f aca="false">J893+0.5*(vit_x+G893)*pas*(K893&gt;=0)</f>
        <v>1017.12580762709</v>
      </c>
      <c r="K894" s="451" t="n">
        <f aca="false">K893+0.5*(vit_z+H893)*pas</f>
        <v>-14.7845547075039</v>
      </c>
      <c r="L894" s="449" t="n">
        <f aca="false">SQRT(pos_x^2+pos_z^2)</f>
        <v>1017.23325329</v>
      </c>
      <c r="M894" s="450" t="n">
        <f aca="false">IF(AND(L893&gt;L_rampe,G894&gt;0),ATAN2(G894,H894),$M$4)</f>
        <v>-1.43366461278526</v>
      </c>
      <c r="N894" s="449" t="n">
        <f aca="false">DEGREES(Beta)</f>
        <v>-82.1429315498528</v>
      </c>
      <c r="O894" s="438"/>
      <c r="P894" s="452" t="n">
        <f aca="false">MATCH(t-pas/2-T_ini,CdP_t)</f>
        <v>23</v>
      </c>
      <c r="Q894" s="449" t="n">
        <f aca="false">(INDEX(CdP,2,i_P+1)-INDEX(CdP,2,i_P+0))/(INDEX(CdP,1,i_P+1)-INDEX(CdP,1,i_P+0))*(t-pas/2-T_ini-INDEX(CdP,1,i_P+0))+INDEX(CdP,2,i_P+0)</f>
        <v>0</v>
      </c>
      <c r="R894" s="450" t="n">
        <f aca="false">Poussee/(g*ISP)</f>
        <v>0</v>
      </c>
      <c r="S894" s="451" t="n">
        <f aca="false">S893-Débit*pas</f>
        <v>8.652</v>
      </c>
      <c r="T894" s="449" t="n">
        <f aca="false">m*g</f>
        <v>84.87612</v>
      </c>
      <c r="U894" s="453" t="n">
        <f aca="false">IF(pos_xz&lt;L_rampe,Poids*COS(Beta),0)</f>
        <v>0</v>
      </c>
      <c r="V894" s="450" t="n">
        <f aca="false">Rho_moyen*(20000-Alt_rampe-pos_z)/(20000+Alt_rampe+pos_z)</f>
        <v>1.22681244776333</v>
      </c>
      <c r="W894" s="449" t="n">
        <f aca="false">1/2*Rho*Sref*Cx*vit_xz^2</f>
        <v>52.116527037265</v>
      </c>
      <c r="X894" s="438"/>
      <c r="Y894" s="454" t="str">
        <f aca="false">IF(AND(pos_z&lt;=0,K893&gt;0),"Impact balistique","") &amp; IF(AND(H895&lt;0,vit_z&gt;=0),"Apogée","") &amp; IF(AND(Poussee=0,Q893&gt;0),"Fin de propulsion","") &amp; IF(AND(L895&gt;L_rampe,pos_xz&lt;=L_rampe),"Sortie de rampe","")</f>
        <v/>
      </c>
      <c r="Z894" s="455" t="str">
        <f aca="false">IF(ABS(t-T_para)&lt;pas/2,"Para","")</f>
        <v/>
      </c>
      <c r="AA894" s="456" t="str">
        <f aca="false">IF(ABS(t-T_satellite)&lt;pas/2,"Satellite","")</f>
        <v/>
      </c>
      <c r="AB894" s="444"/>
      <c r="AC894" s="452" t="e">
        <f aca="false">IF(ABS(t-ROUND(t,0))&lt;0.001,t,NA())</f>
        <v>#N/A</v>
      </c>
      <c r="AD894" s="457" t="e">
        <f aca="false">IF(ABS(t-ROUND(t,0))&lt;0.001,pos_x,NA())</f>
        <v>#N/A</v>
      </c>
      <c r="AE894" s="458" t="e">
        <f aca="false">IF(t&lt;T_para, pos_z, NA())</f>
        <v>#N/A</v>
      </c>
      <c r="AF894" s="444"/>
      <c r="AG894" s="450" t="n">
        <f aca="false">IF(AND(L893&lt;L_rampe,Poussee&lt;Poids*SIN(M893)),0,(-W893+Poussee)/m-Poids*SIN(M893)/m)</f>
        <v>3.69430527389147</v>
      </c>
      <c r="AH894" s="449" t="n">
        <f aca="false">IF(AND(L893&lt;L_rampe,Poussee&lt;Poids*SIN(M893)), g*SIN(M893), (-W893+Poussee)/m)</f>
        <v>-6.02359883174962</v>
      </c>
    </row>
    <row r="895" customFormat="false" ht="12" hidden="false" customHeight="false" outlineLevel="0" collapsed="false">
      <c r="A895" s="448" t="n">
        <f aca="false">IF(B894+0.01&lt;=T_ini+ROUNDUP(Temps_fin_propu,0), 0.01, IF(K894&gt;0, 0.1, 0.0001))</f>
        <v>0.0001</v>
      </c>
      <c r="B895" s="449" t="n">
        <f aca="false">B894+pas</f>
        <v>35.7174000000008</v>
      </c>
      <c r="C895" s="432"/>
      <c r="D895" s="450" t="n">
        <f aca="false">IF(AND(L894&lt;L_rampe,Poussee&lt;Poids*SIN(M894)),0,(-W894+Poussee)/m*COS(M894)-U894/m*SIN(M894))</f>
        <v>-0.823445475380531</v>
      </c>
      <c r="E895" s="451" t="n">
        <f aca="false">IF(AND(L894&lt;L_rampe,Poussee&lt;Poids*SIN(M894)),0,(-W894+Poussee)/m*SIN(M894)+U894/m*COS(M894)-Poids/m)</f>
        <v>-3.84290961136653</v>
      </c>
      <c r="F895" s="449" t="n">
        <f aca="false">SQRT(acc_x^2+acc_z^2)</f>
        <v>3.93014207530185</v>
      </c>
      <c r="G895" s="450" t="n">
        <f aca="false">G894+acc_x*pas</f>
        <v>18.895331980207</v>
      </c>
      <c r="H895" s="451" t="n">
        <f aca="false">H894+acc_z*pas</f>
        <v>-136.925837860775</v>
      </c>
      <c r="I895" s="449" t="n">
        <f aca="false">SQRT(vit_x^2+vit_z^2)</f>
        <v>138.223437392207</v>
      </c>
      <c r="J895" s="450" t="n">
        <f aca="false">J894+0.5*(vit_x+G894)*pas*(K894&gt;=0)</f>
        <v>1017.12580762709</v>
      </c>
      <c r="K895" s="451" t="n">
        <f aca="false">K894+0.5*(vit_z+H894)*pas</f>
        <v>-14.7982472720754</v>
      </c>
      <c r="L895" s="449" t="n">
        <f aca="false">SQRT(pos_x^2+pos_z^2)</f>
        <v>1017.23345239104</v>
      </c>
      <c r="M895" s="450" t="n">
        <f aca="false">IF(AND(L894&gt;L_rampe,G895&gt;0),ATAN2(G895,H895),$M$4)</f>
        <v>-1.43366558298959</v>
      </c>
      <c r="N895" s="449" t="n">
        <f aca="false">DEGREES(Beta)</f>
        <v>-82.1429871384663</v>
      </c>
      <c r="O895" s="438"/>
      <c r="P895" s="452" t="n">
        <f aca="false">MATCH(t-pas/2-T_ini,CdP_t)</f>
        <v>23</v>
      </c>
      <c r="Q895" s="449" t="n">
        <f aca="false">(INDEX(CdP,2,i_P+1)-INDEX(CdP,2,i_P+0))/(INDEX(CdP,1,i_P+1)-INDEX(CdP,1,i_P+0))*(t-pas/2-T_ini-INDEX(CdP,1,i_P+0))+INDEX(CdP,2,i_P+0)</f>
        <v>0</v>
      </c>
      <c r="R895" s="450" t="n">
        <f aca="false">Poussee/(g*ISP)</f>
        <v>0</v>
      </c>
      <c r="S895" s="451" t="n">
        <f aca="false">S894-Débit*pas</f>
        <v>8.652</v>
      </c>
      <c r="T895" s="449" t="n">
        <f aca="false">m*g</f>
        <v>84.87612</v>
      </c>
      <c r="U895" s="453" t="n">
        <f aca="false">IF(pos_xz&lt;L_rampe,Poids*COS(Beta),0)</f>
        <v>0</v>
      </c>
      <c r="V895" s="450" t="n">
        <f aca="false">Rho_moyen*(20000-Alt_rampe-pos_z)/(20000+Alt_rampe+pos_z)</f>
        <v>1.22681412758626</v>
      </c>
      <c r="W895" s="449" t="n">
        <f aca="false">1/2*Rho*Sref*Cx*vit_xz^2</f>
        <v>52.1168769810858</v>
      </c>
      <c r="X895" s="438"/>
      <c r="Y895" s="454" t="str">
        <f aca="false">IF(AND(pos_z&lt;=0,K894&gt;0),"Impact balistique","") &amp; IF(AND(H896&lt;0,vit_z&gt;=0),"Apogée","") &amp; IF(AND(Poussee=0,Q894&gt;0),"Fin de propulsion","") &amp; IF(AND(L896&gt;L_rampe,pos_xz&lt;=L_rampe),"Sortie de rampe","")</f>
        <v/>
      </c>
      <c r="Z895" s="455" t="str">
        <f aca="false">IF(ABS(t-T_para)&lt;pas/2,"Para","")</f>
        <v/>
      </c>
      <c r="AA895" s="456" t="str">
        <f aca="false">IF(ABS(t-T_satellite)&lt;pas/2,"Satellite","")</f>
        <v/>
      </c>
      <c r="AB895" s="444"/>
      <c r="AC895" s="452" t="e">
        <f aca="false">IF(ABS(t-ROUND(t,0))&lt;0.001,t,NA())</f>
        <v>#N/A</v>
      </c>
      <c r="AD895" s="457" t="e">
        <f aca="false">IF(ABS(t-ROUND(t,0))&lt;0.001,pos_x,NA())</f>
        <v>#N/A</v>
      </c>
      <c r="AE895" s="458" t="e">
        <f aca="false">IF(t&lt;T_para, pos_z, NA())</f>
        <v>#N/A</v>
      </c>
      <c r="AF895" s="444"/>
      <c r="AG895" s="450" t="n">
        <f aca="false">IF(AND(L894&lt;L_rampe,Poussee&lt;Poids*SIN(M894)),0,(-W894+Poussee)/m-Poids*SIN(M894)/m)</f>
        <v>3.69426612828724</v>
      </c>
      <c r="AH895" s="449" t="n">
        <f aca="false">IF(AND(L894&lt;L_rampe,Poussee&lt;Poids*SIN(M894)), g*SIN(M894), (-W894+Poussee)/m)</f>
        <v>-6.02363927846336</v>
      </c>
    </row>
    <row r="896" customFormat="false" ht="12" hidden="false" customHeight="false" outlineLevel="0" collapsed="false">
      <c r="A896" s="448" t="n">
        <f aca="false">IF(B895+0.01&lt;=T_ini+ROUNDUP(Temps_fin_propu,0), 0.01, IF(K895&gt;0, 0.1, 0.0001))</f>
        <v>0.0001</v>
      </c>
      <c r="B896" s="449" t="n">
        <f aca="false">B895+pas</f>
        <v>35.7175000000008</v>
      </c>
      <c r="C896" s="432"/>
      <c r="D896" s="450" t="n">
        <f aca="false">IF(AND(L895&lt;L_rampe,Poussee&lt;Poids*SIN(M895)),0,(-W895+Poussee)/m*COS(M895)-U895/m*SIN(M895))</f>
        <v>-0.823445215185892</v>
      </c>
      <c r="E896" s="451" t="n">
        <f aca="false">IF(AND(L895&lt;L_rampe,Poussee&lt;Poids*SIN(M895)),0,(-W895+Poussee)/m*SIN(M895)+U895/m*COS(M895)-Poids/m)</f>
        <v>-3.84286874557792</v>
      </c>
      <c r="F896" s="449" t="n">
        <f aca="false">SQRT(acc_x^2+acc_z^2)</f>
        <v>3.93010206205287</v>
      </c>
      <c r="G896" s="450" t="n">
        <f aca="false">G895+acc_x*pas</f>
        <v>18.8952496356855</v>
      </c>
      <c r="H896" s="451" t="n">
        <f aca="false">H895+acc_z*pas</f>
        <v>-136.926222147649</v>
      </c>
      <c r="I896" s="449" t="n">
        <f aca="false">SQRT(vit_x^2+vit_z^2)</f>
        <v>138.22380681497</v>
      </c>
      <c r="J896" s="450" t="n">
        <f aca="false">J895+0.5*(vit_x+G895)*pas*(K895&gt;=0)</f>
        <v>1017.12580762709</v>
      </c>
      <c r="K896" s="451" t="n">
        <f aca="false">K895+0.5*(vit_z+H895)*pas</f>
        <v>-14.8119398750759</v>
      </c>
      <c r="L896" s="449" t="n">
        <f aca="false">SQRT(pos_x^2+pos_z^2)</f>
        <v>1017.2336516769</v>
      </c>
      <c r="M896" s="450" t="n">
        <f aca="false">IF(AND(L895&gt;L_rampe,G896&gt;0),ATAN2(G896,H896),$M$4)</f>
        <v>-1.43366655318451</v>
      </c>
      <c r="N896" s="449" t="n">
        <f aca="false">DEGREES(Beta)</f>
        <v>-82.1430427265404</v>
      </c>
      <c r="O896" s="438"/>
      <c r="P896" s="452" t="n">
        <f aca="false">MATCH(t-pas/2-T_ini,CdP_t)</f>
        <v>23</v>
      </c>
      <c r="Q896" s="449" t="n">
        <f aca="false">(INDEX(CdP,2,i_P+1)-INDEX(CdP,2,i_P+0))/(INDEX(CdP,1,i_P+1)-INDEX(CdP,1,i_P+0))*(t-pas/2-T_ini-INDEX(CdP,1,i_P+0))+INDEX(CdP,2,i_P+0)</f>
        <v>0</v>
      </c>
      <c r="R896" s="450" t="n">
        <f aca="false">Poussee/(g*ISP)</f>
        <v>0</v>
      </c>
      <c r="S896" s="451" t="n">
        <f aca="false">S895-Débit*pas</f>
        <v>8.652</v>
      </c>
      <c r="T896" s="449" t="n">
        <f aca="false">m*g</f>
        <v>84.87612</v>
      </c>
      <c r="U896" s="453" t="n">
        <f aca="false">IF(pos_xz&lt;L_rampe,Poids*COS(Beta),0)</f>
        <v>0</v>
      </c>
      <c r="V896" s="450" t="n">
        <f aca="false">Rho_moyen*(20000-Alt_rampe-pos_z)/(20000+Alt_rampe+pos_z)</f>
        <v>1.22681580741621</v>
      </c>
      <c r="W896" s="449" t="n">
        <f aca="false">1/2*Rho*Sref*Cx*vit_xz^2</f>
        <v>52.1172269237603</v>
      </c>
      <c r="X896" s="438"/>
      <c r="Y896" s="454" t="str">
        <f aca="false">IF(AND(pos_z&lt;=0,K895&gt;0),"Impact balistique","") &amp; IF(AND(H897&lt;0,vit_z&gt;=0),"Apogée","") &amp; IF(AND(Poussee=0,Q895&gt;0),"Fin de propulsion","") &amp; IF(AND(L897&gt;L_rampe,pos_xz&lt;=L_rampe),"Sortie de rampe","")</f>
        <v/>
      </c>
      <c r="Z896" s="455" t="str">
        <f aca="false">IF(ABS(t-T_para)&lt;pas/2,"Para","")</f>
        <v/>
      </c>
      <c r="AA896" s="456" t="str">
        <f aca="false">IF(ABS(t-T_satellite)&lt;pas/2,"Satellite","")</f>
        <v/>
      </c>
      <c r="AB896" s="444"/>
      <c r="AC896" s="452" t="e">
        <f aca="false">IF(ABS(t-ROUND(t,0))&lt;0.001,t,NA())</f>
        <v>#N/A</v>
      </c>
      <c r="AD896" s="457" t="e">
        <f aca="false">IF(ABS(t-ROUND(t,0))&lt;0.001,pos_x,NA())</f>
        <v>#N/A</v>
      </c>
      <c r="AE896" s="458" t="e">
        <f aca="false">IF(t&lt;T_para, pos_z, NA())</f>
        <v>#N/A</v>
      </c>
      <c r="AF896" s="444"/>
      <c r="AG896" s="450" t="n">
        <f aca="false">IF(AND(L895&lt;L_rampe,Poussee&lt;Poids*SIN(M895)),0,(-W895+Poussee)/m-Poids*SIN(M895)/m)</f>
        <v>3.69422698279373</v>
      </c>
      <c r="AH896" s="449" t="n">
        <f aca="false">IF(AND(L895&lt;L_rampe,Poussee&lt;Poids*SIN(M895)), g*SIN(M895), (-W895+Poussee)/m)</f>
        <v>-6.0236797250446</v>
      </c>
    </row>
    <row r="897" customFormat="false" ht="12" hidden="false" customHeight="false" outlineLevel="0" collapsed="false">
      <c r="A897" s="448" t="n">
        <f aca="false">IF(B896+0.01&lt;=T_ini+ROUNDUP(Temps_fin_propu,0), 0.01, IF(K896&gt;0, 0.1, 0.0001))</f>
        <v>0.0001</v>
      </c>
      <c r="B897" s="449" t="n">
        <f aca="false">B896+pas</f>
        <v>35.7176000000008</v>
      </c>
      <c r="C897" s="432"/>
      <c r="D897" s="450" t="n">
        <f aca="false">IF(AND(L896&lt;L_rampe,Poussee&lt;Poids*SIN(M896)),0,(-W896+Poussee)/m*COS(M896)-U896/m*SIN(M896))</f>
        <v>-0.823444954950795</v>
      </c>
      <c r="E897" s="451" t="n">
        <f aca="false">IF(AND(L896&lt;L_rampe,Poussee&lt;Poids*SIN(M896)),0,(-W896+Poussee)/m*SIN(M896)+U896/m*COS(M896)-Poids/m)</f>
        <v>-3.84282787992322</v>
      </c>
      <c r="F897" s="449" t="n">
        <f aca="false">SQRT(acc_x^2+acc_z^2)</f>
        <v>3.93006204894389</v>
      </c>
      <c r="G897" s="450" t="n">
        <f aca="false">G896+acc_x*pas</f>
        <v>18.89516729119</v>
      </c>
      <c r="H897" s="451" t="n">
        <f aca="false">H896+acc_z*pas</f>
        <v>-136.926606430437</v>
      </c>
      <c r="I897" s="449" t="n">
        <f aca="false">SQRT(vit_x^2+vit_z^2)</f>
        <v>138.224176233819</v>
      </c>
      <c r="J897" s="450" t="n">
        <f aca="false">J896+0.5*(vit_x+G896)*pas*(K896&gt;=0)</f>
        <v>1017.12580762709</v>
      </c>
      <c r="K897" s="451" t="n">
        <f aca="false">K896+0.5*(vit_z+H896)*pas</f>
        <v>-14.8256325165048</v>
      </c>
      <c r="L897" s="449" t="n">
        <f aca="false">SQRT(pos_x^2+pos_z^2)</f>
        <v>1017.2338511476</v>
      </c>
      <c r="M897" s="450" t="n">
        <f aca="false">IF(AND(L896&gt;L_rampe,G897&gt;0),ATAN2(G897,H897),$M$4)</f>
        <v>-1.43366752337001</v>
      </c>
      <c r="N897" s="449" t="n">
        <f aca="false">DEGREES(Beta)</f>
        <v>-82.1430983140751</v>
      </c>
      <c r="O897" s="438"/>
      <c r="P897" s="452" t="n">
        <f aca="false">MATCH(t-pas/2-T_ini,CdP_t)</f>
        <v>23</v>
      </c>
      <c r="Q897" s="449" t="n">
        <f aca="false">(INDEX(CdP,2,i_P+1)-INDEX(CdP,2,i_P+0))/(INDEX(CdP,1,i_P+1)-INDEX(CdP,1,i_P+0))*(t-pas/2-T_ini-INDEX(CdP,1,i_P+0))+INDEX(CdP,2,i_P+0)</f>
        <v>0</v>
      </c>
      <c r="R897" s="450" t="n">
        <f aca="false">Poussee/(g*ISP)</f>
        <v>0</v>
      </c>
      <c r="S897" s="451" t="n">
        <f aca="false">S896-Débit*pas</f>
        <v>8.652</v>
      </c>
      <c r="T897" s="449" t="n">
        <f aca="false">m*g</f>
        <v>84.87612</v>
      </c>
      <c r="U897" s="453" t="n">
        <f aca="false">IF(pos_xz&lt;L_rampe,Poids*COS(Beta),0)</f>
        <v>0</v>
      </c>
      <c r="V897" s="450" t="n">
        <f aca="false">Rho_moyen*(20000-Alt_rampe-pos_z)/(20000+Alt_rampe+pos_z)</f>
        <v>1.22681748725318</v>
      </c>
      <c r="W897" s="449" t="n">
        <f aca="false">1/2*Rho*Sref*Cx*vit_xz^2</f>
        <v>52.1175768652882</v>
      </c>
      <c r="X897" s="438"/>
      <c r="Y897" s="454" t="str">
        <f aca="false">IF(AND(pos_z&lt;=0,K896&gt;0),"Impact balistique","") &amp; IF(AND(H898&lt;0,vit_z&gt;=0),"Apogée","") &amp; IF(AND(Poussee=0,Q896&gt;0),"Fin de propulsion","") &amp; IF(AND(L898&gt;L_rampe,pos_xz&lt;=L_rampe),"Sortie de rampe","")</f>
        <v/>
      </c>
      <c r="Z897" s="455" t="str">
        <f aca="false">IF(ABS(t-T_para)&lt;pas/2,"Para","")</f>
        <v/>
      </c>
      <c r="AA897" s="456" t="str">
        <f aca="false">IF(ABS(t-T_satellite)&lt;pas/2,"Satellite","")</f>
        <v/>
      </c>
      <c r="AB897" s="444"/>
      <c r="AC897" s="452" t="e">
        <f aca="false">IF(ABS(t-ROUND(t,0))&lt;0.001,t,NA())</f>
        <v>#N/A</v>
      </c>
      <c r="AD897" s="457" t="e">
        <f aca="false">IF(ABS(t-ROUND(t,0))&lt;0.001,pos_x,NA())</f>
        <v>#N/A</v>
      </c>
      <c r="AE897" s="458" t="e">
        <f aca="false">IF(t&lt;T_para, pos_z, NA())</f>
        <v>#N/A</v>
      </c>
      <c r="AF897" s="444"/>
      <c r="AG897" s="450" t="n">
        <f aca="false">IF(AND(L896&lt;L_rampe,Poussee&lt;Poids*SIN(M896)),0,(-W896+Poussee)/m-Poids*SIN(M896)/m)</f>
        <v>3.69418783741095</v>
      </c>
      <c r="AH897" s="449" t="n">
        <f aca="false">IF(AND(L896&lt;L_rampe,Poussee&lt;Poids*SIN(M896)), g*SIN(M896), (-W896+Poussee)/m)</f>
        <v>-6.02372017149333</v>
      </c>
    </row>
    <row r="898" customFormat="false" ht="12" hidden="false" customHeight="false" outlineLevel="0" collapsed="false">
      <c r="A898" s="448" t="n">
        <f aca="false">IF(B897+0.01&lt;=T_ini+ROUNDUP(Temps_fin_propu,0), 0.01, IF(K897&gt;0, 0.1, 0.0001))</f>
        <v>0.0001</v>
      </c>
      <c r="B898" s="449" t="n">
        <f aca="false">B897+pas</f>
        <v>35.7177000000008</v>
      </c>
      <c r="C898" s="432"/>
      <c r="D898" s="450" t="n">
        <f aca="false">IF(AND(L897&lt;L_rampe,Poussee&lt;Poids*SIN(M897)),0,(-W897+Poussee)/m*COS(M897)-U897/m*SIN(M897))</f>
        <v>-0.823444694675238</v>
      </c>
      <c r="E898" s="451" t="n">
        <f aca="false">IF(AND(L897&lt;L_rampe,Poussee&lt;Poids*SIN(M897)),0,(-W897+Poussee)/m*SIN(M897)+U897/m*COS(M897)-Poids/m)</f>
        <v>-3.84278701440241</v>
      </c>
      <c r="F898" s="449" t="n">
        <f aca="false">SQRT(acc_x^2+acc_z^2)</f>
        <v>3.93002203597494</v>
      </c>
      <c r="G898" s="450" t="n">
        <f aca="false">G897+acc_x*pas</f>
        <v>18.8950849467205</v>
      </c>
      <c r="H898" s="451" t="n">
        <f aca="false">H897+acc_z*pas</f>
        <v>-136.926990709139</v>
      </c>
      <c r="I898" s="449" t="n">
        <f aca="false">SQRT(vit_x^2+vit_z^2)</f>
        <v>138.224545648753</v>
      </c>
      <c r="J898" s="450" t="n">
        <f aca="false">J897+0.5*(vit_x+G897)*pas*(K897&gt;=0)</f>
        <v>1017.12580762709</v>
      </c>
      <c r="K898" s="451" t="n">
        <f aca="false">K897+0.5*(vit_z+H897)*pas</f>
        <v>-14.8393251963617</v>
      </c>
      <c r="L898" s="449" t="n">
        <f aca="false">SQRT(pos_x^2+pos_z^2)</f>
        <v>1017.23405080313</v>
      </c>
      <c r="M898" s="450" t="n">
        <f aca="false">IF(AND(L897&gt;L_rampe,G898&gt;0),ATAN2(G898,H898),$M$4)</f>
        <v>-1.4336684935461</v>
      </c>
      <c r="N898" s="449" t="n">
        <f aca="false">DEGREES(Beta)</f>
        <v>-82.1431539010704</v>
      </c>
      <c r="O898" s="438"/>
      <c r="P898" s="452" t="n">
        <f aca="false">MATCH(t-pas/2-T_ini,CdP_t)</f>
        <v>23</v>
      </c>
      <c r="Q898" s="449" t="n">
        <f aca="false">(INDEX(CdP,2,i_P+1)-INDEX(CdP,2,i_P+0))/(INDEX(CdP,1,i_P+1)-INDEX(CdP,1,i_P+0))*(t-pas/2-T_ini-INDEX(CdP,1,i_P+0))+INDEX(CdP,2,i_P+0)</f>
        <v>0</v>
      </c>
      <c r="R898" s="450" t="n">
        <f aca="false">Poussee/(g*ISP)</f>
        <v>0</v>
      </c>
      <c r="S898" s="451" t="n">
        <f aca="false">S897-Débit*pas</f>
        <v>8.652</v>
      </c>
      <c r="T898" s="449" t="n">
        <f aca="false">m*g</f>
        <v>84.87612</v>
      </c>
      <c r="U898" s="453" t="n">
        <f aca="false">IF(pos_xz&lt;L_rampe,Poids*COS(Beta),0)</f>
        <v>0</v>
      </c>
      <c r="V898" s="450" t="n">
        <f aca="false">Rho_moyen*(20000-Alt_rampe-pos_z)/(20000+Alt_rampe+pos_z)</f>
        <v>1.22681916709716</v>
      </c>
      <c r="W898" s="449" t="n">
        <f aca="false">1/2*Rho*Sref*Cx*vit_xz^2</f>
        <v>52.1179268056697</v>
      </c>
      <c r="X898" s="438"/>
      <c r="Y898" s="454" t="str">
        <f aca="false">IF(AND(pos_z&lt;=0,K897&gt;0),"Impact balistique","") &amp; IF(AND(H899&lt;0,vit_z&gt;=0),"Apogée","") &amp; IF(AND(Poussee=0,Q897&gt;0),"Fin de propulsion","") &amp; IF(AND(L899&gt;L_rampe,pos_xz&lt;=L_rampe),"Sortie de rampe","")</f>
        <v/>
      </c>
      <c r="Z898" s="455" t="str">
        <f aca="false">IF(ABS(t-T_para)&lt;pas/2,"Para","")</f>
        <v/>
      </c>
      <c r="AA898" s="456" t="str">
        <f aca="false">IF(ABS(t-T_satellite)&lt;pas/2,"Satellite","")</f>
        <v/>
      </c>
      <c r="AB898" s="444"/>
      <c r="AC898" s="452" t="e">
        <f aca="false">IF(ABS(t-ROUND(t,0))&lt;0.001,t,NA())</f>
        <v>#N/A</v>
      </c>
      <c r="AD898" s="457" t="e">
        <f aca="false">IF(ABS(t-ROUND(t,0))&lt;0.001,pos_x,NA())</f>
        <v>#N/A</v>
      </c>
      <c r="AE898" s="458" t="e">
        <f aca="false">IF(t&lt;T_para, pos_z, NA())</f>
        <v>#N/A</v>
      </c>
      <c r="AF898" s="444"/>
      <c r="AG898" s="450" t="n">
        <f aca="false">IF(AND(L897&lt;L_rampe,Poussee&lt;Poids*SIN(M897)),0,(-W897+Poussee)/m-Poids*SIN(M897)/m)</f>
        <v>3.69414869213892</v>
      </c>
      <c r="AH898" s="449" t="n">
        <f aca="false">IF(AND(L897&lt;L_rampe,Poussee&lt;Poids*SIN(M897)), g*SIN(M897), (-W897+Poussee)/m)</f>
        <v>-6.02376061780955</v>
      </c>
    </row>
    <row r="899" customFormat="false" ht="12" hidden="false" customHeight="false" outlineLevel="0" collapsed="false">
      <c r="A899" s="448" t="n">
        <f aca="false">IF(B898+0.01&lt;=T_ini+ROUNDUP(Temps_fin_propu,0), 0.01, IF(K898&gt;0, 0.1, 0.0001))</f>
        <v>0.0001</v>
      </c>
      <c r="B899" s="449" t="n">
        <f aca="false">B898+pas</f>
        <v>35.7178000000008</v>
      </c>
      <c r="C899" s="432"/>
      <c r="D899" s="450" t="n">
        <f aca="false">IF(AND(L898&lt;L_rampe,Poussee&lt;Poids*SIN(M898)),0,(-W898+Poussee)/m*COS(M898)-U898/m*SIN(M898))</f>
        <v>-0.823444434359222</v>
      </c>
      <c r="E899" s="451" t="n">
        <f aca="false">IF(AND(L898&lt;L_rampe,Poussee&lt;Poids*SIN(M898)),0,(-W898+Poussee)/m*SIN(M898)+U898/m*COS(M898)-Poids/m)</f>
        <v>-3.84274614901551</v>
      </c>
      <c r="F899" s="449" t="n">
        <f aca="false">SQRT(acc_x^2+acc_z^2)</f>
        <v>3.929982023146</v>
      </c>
      <c r="G899" s="450" t="n">
        <f aca="false">G898+acc_x*pas</f>
        <v>18.8950026022771</v>
      </c>
      <c r="H899" s="451" t="n">
        <f aca="false">H898+acc_z*pas</f>
        <v>-136.927374983753</v>
      </c>
      <c r="I899" s="449" t="n">
        <f aca="false">SQRT(vit_x^2+vit_z^2)</f>
        <v>138.224915059773</v>
      </c>
      <c r="J899" s="450" t="n">
        <f aca="false">J898+0.5*(vit_x+G898)*pas*(K898&gt;=0)</f>
        <v>1017.12580762709</v>
      </c>
      <c r="K899" s="451" t="n">
        <f aca="false">K898+0.5*(vit_z+H898)*pas</f>
        <v>-14.8530179146464</v>
      </c>
      <c r="L899" s="449" t="n">
        <f aca="false">SQRT(pos_x^2+pos_z^2)</f>
        <v>1017.23425064349</v>
      </c>
      <c r="M899" s="450" t="n">
        <f aca="false">IF(AND(L898&gt;L_rampe,G899&gt;0),ATAN2(G899,H899),$M$4)</f>
        <v>-1.43366946371278</v>
      </c>
      <c r="N899" s="449" t="n">
        <f aca="false">DEGREES(Beta)</f>
        <v>-82.1432094875264</v>
      </c>
      <c r="O899" s="438"/>
      <c r="P899" s="452" t="n">
        <f aca="false">MATCH(t-pas/2-T_ini,CdP_t)</f>
        <v>23</v>
      </c>
      <c r="Q899" s="449" t="n">
        <f aca="false">(INDEX(CdP,2,i_P+1)-INDEX(CdP,2,i_P+0))/(INDEX(CdP,1,i_P+1)-INDEX(CdP,1,i_P+0))*(t-pas/2-T_ini-INDEX(CdP,1,i_P+0))+INDEX(CdP,2,i_P+0)</f>
        <v>0</v>
      </c>
      <c r="R899" s="450" t="n">
        <f aca="false">Poussee/(g*ISP)</f>
        <v>0</v>
      </c>
      <c r="S899" s="451" t="n">
        <f aca="false">S898-Débit*pas</f>
        <v>8.652</v>
      </c>
      <c r="T899" s="449" t="n">
        <f aca="false">m*g</f>
        <v>84.87612</v>
      </c>
      <c r="U899" s="453" t="n">
        <f aca="false">IF(pos_xz&lt;L_rampe,Poids*COS(Beta),0)</f>
        <v>0</v>
      </c>
      <c r="V899" s="450" t="n">
        <f aca="false">Rho_moyen*(20000-Alt_rampe-pos_z)/(20000+Alt_rampe+pos_z)</f>
        <v>1.22682084694816</v>
      </c>
      <c r="W899" s="449" t="n">
        <f aca="false">1/2*Rho*Sref*Cx*vit_xz^2</f>
        <v>52.1182767449048</v>
      </c>
      <c r="X899" s="438"/>
      <c r="Y899" s="454" t="str">
        <f aca="false">IF(AND(pos_z&lt;=0,K898&gt;0),"Impact balistique","") &amp; IF(AND(H900&lt;0,vit_z&gt;=0),"Apogée","") &amp; IF(AND(Poussee=0,Q898&gt;0),"Fin de propulsion","") &amp; IF(AND(L900&gt;L_rampe,pos_xz&lt;=L_rampe),"Sortie de rampe","")</f>
        <v/>
      </c>
      <c r="Z899" s="455" t="str">
        <f aca="false">IF(ABS(t-T_para)&lt;pas/2,"Para","")</f>
        <v/>
      </c>
      <c r="AA899" s="456" t="str">
        <f aca="false">IF(ABS(t-T_satellite)&lt;pas/2,"Satellite","")</f>
        <v/>
      </c>
      <c r="AB899" s="444"/>
      <c r="AC899" s="452" t="e">
        <f aca="false">IF(ABS(t-ROUND(t,0))&lt;0.001,t,NA())</f>
        <v>#N/A</v>
      </c>
      <c r="AD899" s="457" t="e">
        <f aca="false">IF(ABS(t-ROUND(t,0))&lt;0.001,pos_x,NA())</f>
        <v>#N/A</v>
      </c>
      <c r="AE899" s="458" t="e">
        <f aca="false">IF(t&lt;T_para, pos_z, NA())</f>
        <v>#N/A</v>
      </c>
      <c r="AF899" s="444"/>
      <c r="AG899" s="450" t="n">
        <f aca="false">IF(AND(L898&lt;L_rampe,Poussee&lt;Poids*SIN(M898)),0,(-W898+Poussee)/m-Poids*SIN(M898)/m)</f>
        <v>3.69410954697762</v>
      </c>
      <c r="AH899" s="449" t="n">
        <f aca="false">IF(AND(L898&lt;L_rampe,Poussee&lt;Poids*SIN(M898)), g*SIN(M898), (-W898+Poussee)/m)</f>
        <v>-6.02380106399327</v>
      </c>
    </row>
    <row r="900" customFormat="false" ht="12" hidden="false" customHeight="false" outlineLevel="0" collapsed="false">
      <c r="A900" s="448" t="n">
        <f aca="false">IF(B899+0.01&lt;=T_ini+ROUNDUP(Temps_fin_propu,0), 0.01, IF(K899&gt;0, 0.1, 0.0001))</f>
        <v>0.0001</v>
      </c>
      <c r="B900" s="449" t="n">
        <f aca="false">B899+pas</f>
        <v>35.7179000000008</v>
      </c>
      <c r="C900" s="432"/>
      <c r="D900" s="450" t="n">
        <f aca="false">IF(AND(L899&lt;L_rampe,Poussee&lt;Poids*SIN(M899)),0,(-W899+Poussee)/m*COS(M899)-U899/m*SIN(M899))</f>
        <v>-0.82344417400275</v>
      </c>
      <c r="E900" s="451" t="n">
        <f aca="false">IF(AND(L899&lt;L_rampe,Poussee&lt;Poids*SIN(M899)),0,(-W899+Poussee)/m*SIN(M899)+U899/m*COS(M899)-Poids/m)</f>
        <v>-3.84270528376252</v>
      </c>
      <c r="F900" s="449" t="n">
        <f aca="false">SQRT(acc_x^2+acc_z^2)</f>
        <v>3.92994201045708</v>
      </c>
      <c r="G900" s="450" t="n">
        <f aca="false">G899+acc_x*pas</f>
        <v>18.8949202578597</v>
      </c>
      <c r="H900" s="451" t="n">
        <f aca="false">H899+acc_z*pas</f>
        <v>-136.927759254282</v>
      </c>
      <c r="I900" s="449" t="n">
        <f aca="false">SQRT(vit_x^2+vit_z^2)</f>
        <v>138.225284466878</v>
      </c>
      <c r="J900" s="450" t="n">
        <f aca="false">J899+0.5*(vit_x+G899)*pas*(K899&gt;=0)</f>
        <v>1017.12580762709</v>
      </c>
      <c r="K900" s="451" t="n">
        <f aca="false">K899+0.5*(vit_z+H899)*pas</f>
        <v>-14.8667106713583</v>
      </c>
      <c r="L900" s="449" t="n">
        <f aca="false">SQRT(pos_x^2+pos_z^2)</f>
        <v>1017.2344506687</v>
      </c>
      <c r="M900" s="450" t="n">
        <f aca="false">IF(AND(L899&gt;L_rampe,G900&gt;0),ATAN2(G900,H900),$M$4)</f>
        <v>-1.43367043387004</v>
      </c>
      <c r="N900" s="449" t="n">
        <f aca="false">DEGREES(Beta)</f>
        <v>-82.1432650734431</v>
      </c>
      <c r="O900" s="438"/>
      <c r="P900" s="452" t="n">
        <f aca="false">MATCH(t-pas/2-T_ini,CdP_t)</f>
        <v>23</v>
      </c>
      <c r="Q900" s="449" t="n">
        <f aca="false">(INDEX(CdP,2,i_P+1)-INDEX(CdP,2,i_P+0))/(INDEX(CdP,1,i_P+1)-INDEX(CdP,1,i_P+0))*(t-pas/2-T_ini-INDEX(CdP,1,i_P+0))+INDEX(CdP,2,i_P+0)</f>
        <v>0</v>
      </c>
      <c r="R900" s="450" t="n">
        <f aca="false">Poussee/(g*ISP)</f>
        <v>0</v>
      </c>
      <c r="S900" s="451" t="n">
        <f aca="false">S899-Débit*pas</f>
        <v>8.652</v>
      </c>
      <c r="T900" s="449" t="n">
        <f aca="false">m*g</f>
        <v>84.87612</v>
      </c>
      <c r="U900" s="453" t="n">
        <f aca="false">IF(pos_xz&lt;L_rampe,Poids*COS(Beta),0)</f>
        <v>0</v>
      </c>
      <c r="V900" s="450" t="n">
        <f aca="false">Rho_moyen*(20000-Alt_rampe-pos_z)/(20000+Alt_rampe+pos_z)</f>
        <v>1.22682252680618</v>
      </c>
      <c r="W900" s="449" t="n">
        <f aca="false">1/2*Rho*Sref*Cx*vit_xz^2</f>
        <v>52.1186266829933</v>
      </c>
      <c r="X900" s="438"/>
      <c r="Y900" s="454" t="str">
        <f aca="false">IF(AND(pos_z&lt;=0,K899&gt;0),"Impact balistique","") &amp; IF(AND(H901&lt;0,vit_z&gt;=0),"Apogée","") &amp; IF(AND(Poussee=0,Q899&gt;0),"Fin de propulsion","") &amp; IF(AND(L901&gt;L_rampe,pos_xz&lt;=L_rampe),"Sortie de rampe","")</f>
        <v/>
      </c>
      <c r="Z900" s="455" t="str">
        <f aca="false">IF(ABS(t-T_para)&lt;pas/2,"Para","")</f>
        <v/>
      </c>
      <c r="AA900" s="456" t="str">
        <f aca="false">IF(ABS(t-T_satellite)&lt;pas/2,"Satellite","")</f>
        <v/>
      </c>
      <c r="AB900" s="444"/>
      <c r="AC900" s="452" t="e">
        <f aca="false">IF(ABS(t-ROUND(t,0))&lt;0.001,t,NA())</f>
        <v>#N/A</v>
      </c>
      <c r="AD900" s="457" t="e">
        <f aca="false">IF(ABS(t-ROUND(t,0))&lt;0.001,pos_x,NA())</f>
        <v>#N/A</v>
      </c>
      <c r="AE900" s="458" t="e">
        <f aca="false">IF(t&lt;T_para, pos_z, NA())</f>
        <v>#N/A</v>
      </c>
      <c r="AF900" s="444"/>
      <c r="AG900" s="450" t="n">
        <f aca="false">IF(AND(L899&lt;L_rampe,Poussee&lt;Poids*SIN(M899)),0,(-W899+Poussee)/m-Poids*SIN(M899)/m)</f>
        <v>3.69407040192706</v>
      </c>
      <c r="AH900" s="449" t="n">
        <f aca="false">IF(AND(L899&lt;L_rampe,Poussee&lt;Poids*SIN(M899)), g*SIN(M899), (-W899+Poussee)/m)</f>
        <v>-6.02384151004447</v>
      </c>
    </row>
    <row r="901" customFormat="false" ht="12" hidden="false" customHeight="false" outlineLevel="0" collapsed="false">
      <c r="A901" s="448" t="n">
        <f aca="false">IF(B900+0.01&lt;=T_ini+ROUNDUP(Temps_fin_propu,0), 0.01, IF(K900&gt;0, 0.1, 0.0001))</f>
        <v>0.0001</v>
      </c>
      <c r="B901" s="449" t="n">
        <f aca="false">B900+pas</f>
        <v>35.7180000000008</v>
      </c>
      <c r="C901" s="432"/>
      <c r="D901" s="450" t="n">
        <f aca="false">IF(AND(L900&lt;L_rampe,Poussee&lt;Poids*SIN(M900)),0,(-W900+Poussee)/m*COS(M900)-U900/m*SIN(M900))</f>
        <v>-0.823443913605818</v>
      </c>
      <c r="E901" s="451" t="n">
        <f aca="false">IF(AND(L900&lt;L_rampe,Poussee&lt;Poids*SIN(M900)),0,(-W900+Poussee)/m*SIN(M900)+U900/m*COS(M900)-Poids/m)</f>
        <v>-3.84266441864343</v>
      </c>
      <c r="F901" s="449" t="n">
        <f aca="false">SQRT(acc_x^2+acc_z^2)</f>
        <v>3.92990199790819</v>
      </c>
      <c r="G901" s="450" t="n">
        <f aca="false">G900+acc_x*pas</f>
        <v>18.8948379134683</v>
      </c>
      <c r="H901" s="451" t="n">
        <f aca="false">H900+acc_z*pas</f>
        <v>-136.928143520724</v>
      </c>
      <c r="I901" s="449" t="n">
        <f aca="false">SQRT(vit_x^2+vit_z^2)</f>
        <v>138.225653870069</v>
      </c>
      <c r="J901" s="450" t="n">
        <f aca="false">J900+0.5*(vit_x+G900)*pas*(K900&gt;=0)</f>
        <v>1017.12580762709</v>
      </c>
      <c r="K901" s="451" t="n">
        <f aca="false">K900+0.5*(vit_z+H900)*pas</f>
        <v>-14.880403466497</v>
      </c>
      <c r="L901" s="449" t="n">
        <f aca="false">SQRT(pos_x^2+pos_z^2)</f>
        <v>1017.23465087874</v>
      </c>
      <c r="M901" s="450" t="n">
        <f aca="false">IF(AND(L900&gt;L_rampe,G901&gt;0),ATAN2(G901,H901),$M$4)</f>
        <v>-1.43367140401789</v>
      </c>
      <c r="N901" s="449" t="n">
        <f aca="false">DEGREES(Beta)</f>
        <v>-82.1433206588203</v>
      </c>
      <c r="O901" s="438"/>
      <c r="P901" s="452" t="n">
        <f aca="false">MATCH(t-pas/2-T_ini,CdP_t)</f>
        <v>23</v>
      </c>
      <c r="Q901" s="449" t="n">
        <f aca="false">(INDEX(CdP,2,i_P+1)-INDEX(CdP,2,i_P+0))/(INDEX(CdP,1,i_P+1)-INDEX(CdP,1,i_P+0))*(t-pas/2-T_ini-INDEX(CdP,1,i_P+0))+INDEX(CdP,2,i_P+0)</f>
        <v>0</v>
      </c>
      <c r="R901" s="450" t="n">
        <f aca="false">Poussee/(g*ISP)</f>
        <v>0</v>
      </c>
      <c r="S901" s="451" t="n">
        <f aca="false">S900-Débit*pas</f>
        <v>8.652</v>
      </c>
      <c r="T901" s="449" t="n">
        <f aca="false">m*g</f>
        <v>84.87612</v>
      </c>
      <c r="U901" s="453" t="n">
        <f aca="false">IF(pos_xz&lt;L_rampe,Poids*COS(Beta),0)</f>
        <v>0</v>
      </c>
      <c r="V901" s="450" t="n">
        <f aca="false">Rho_moyen*(20000-Alt_rampe-pos_z)/(20000+Alt_rampe+pos_z)</f>
        <v>1.22682420667121</v>
      </c>
      <c r="W901" s="449" t="n">
        <f aca="false">1/2*Rho*Sref*Cx*vit_xz^2</f>
        <v>52.1189766199353</v>
      </c>
      <c r="X901" s="438"/>
      <c r="Y901" s="454" t="str">
        <f aca="false">IF(AND(pos_z&lt;=0,K900&gt;0),"Impact balistique","") &amp; IF(AND(H902&lt;0,vit_z&gt;=0),"Apogée","") &amp; IF(AND(Poussee=0,Q900&gt;0),"Fin de propulsion","") &amp; IF(AND(L902&gt;L_rampe,pos_xz&lt;=L_rampe),"Sortie de rampe","")</f>
        <v/>
      </c>
      <c r="Z901" s="455" t="str">
        <f aca="false">IF(ABS(t-T_para)&lt;pas/2,"Para","")</f>
        <v/>
      </c>
      <c r="AA901" s="456" t="str">
        <f aca="false">IF(ABS(t-T_satellite)&lt;pas/2,"Satellite","")</f>
        <v/>
      </c>
      <c r="AB901" s="444"/>
      <c r="AC901" s="452" t="e">
        <f aca="false">IF(ABS(t-ROUND(t,0))&lt;0.001,t,NA())</f>
        <v>#N/A</v>
      </c>
      <c r="AD901" s="457" t="e">
        <f aca="false">IF(ABS(t-ROUND(t,0))&lt;0.001,pos_x,NA())</f>
        <v>#N/A</v>
      </c>
      <c r="AE901" s="458" t="e">
        <f aca="false">IF(t&lt;T_para, pos_z, NA())</f>
        <v>#N/A</v>
      </c>
      <c r="AF901" s="444"/>
      <c r="AG901" s="450" t="n">
        <f aca="false">IF(AND(L900&lt;L_rampe,Poussee&lt;Poids*SIN(M900)),0,(-W900+Poussee)/m-Poids*SIN(M900)/m)</f>
        <v>3.69403125698724</v>
      </c>
      <c r="AH901" s="449" t="n">
        <f aca="false">IF(AND(L900&lt;L_rampe,Poussee&lt;Poids*SIN(M900)), g*SIN(M900), (-W900+Poussee)/m)</f>
        <v>-6.02388195596316</v>
      </c>
    </row>
    <row r="902" customFormat="false" ht="12" hidden="false" customHeight="false" outlineLevel="0" collapsed="false">
      <c r="A902" s="448" t="n">
        <f aca="false">IF(B901+0.01&lt;=T_ini+ROUNDUP(Temps_fin_propu,0), 0.01, IF(K901&gt;0, 0.1, 0.0001))</f>
        <v>0.0001</v>
      </c>
      <c r="B902" s="449" t="n">
        <f aca="false">B901+pas</f>
        <v>35.7181000000008</v>
      </c>
      <c r="C902" s="432"/>
      <c r="D902" s="450" t="n">
        <f aca="false">IF(AND(L901&lt;L_rampe,Poussee&lt;Poids*SIN(M901)),0,(-W901+Poussee)/m*COS(M901)-U901/m*SIN(M901))</f>
        <v>-0.82344365316843</v>
      </c>
      <c r="E902" s="451" t="n">
        <f aca="false">IF(AND(L901&lt;L_rampe,Poussee&lt;Poids*SIN(M901)),0,(-W901+Poussee)/m*SIN(M901)+U901/m*COS(M901)-Poids/m)</f>
        <v>-3.84262355365826</v>
      </c>
      <c r="F902" s="449" t="n">
        <f aca="false">SQRT(acc_x^2+acc_z^2)</f>
        <v>3.92986198549932</v>
      </c>
      <c r="G902" s="450" t="n">
        <f aca="false">G901+acc_x*pas</f>
        <v>18.894755569103</v>
      </c>
      <c r="H902" s="451" t="n">
        <f aca="false">H901+acc_z*pas</f>
        <v>-136.928527783079</v>
      </c>
      <c r="I902" s="449" t="n">
        <f aca="false">SQRT(vit_x^2+vit_z^2)</f>
        <v>138.226023269345</v>
      </c>
      <c r="J902" s="450" t="n">
        <f aca="false">J901+0.5*(vit_x+G901)*pas*(K901&gt;=0)</f>
        <v>1017.12580762709</v>
      </c>
      <c r="K902" s="451" t="n">
        <f aca="false">K901+0.5*(vit_z+H901)*pas</f>
        <v>-14.8940963000622</v>
      </c>
      <c r="L902" s="449" t="n">
        <f aca="false">SQRT(pos_x^2+pos_z^2)</f>
        <v>1017.23485127362</v>
      </c>
      <c r="M902" s="450" t="n">
        <f aca="false">IF(AND(L901&gt;L_rampe,G902&gt;0),ATAN2(G902,H902),$M$4)</f>
        <v>-1.43367237415633</v>
      </c>
      <c r="N902" s="449" t="n">
        <f aca="false">DEGREES(Beta)</f>
        <v>-82.1433762436583</v>
      </c>
      <c r="O902" s="438"/>
      <c r="P902" s="452" t="n">
        <f aca="false">MATCH(t-pas/2-T_ini,CdP_t)</f>
        <v>23</v>
      </c>
      <c r="Q902" s="449" t="n">
        <f aca="false">(INDEX(CdP,2,i_P+1)-INDEX(CdP,2,i_P+0))/(INDEX(CdP,1,i_P+1)-INDEX(CdP,1,i_P+0))*(t-pas/2-T_ini-INDEX(CdP,1,i_P+0))+INDEX(CdP,2,i_P+0)</f>
        <v>0</v>
      </c>
      <c r="R902" s="450" t="n">
        <f aca="false">Poussee/(g*ISP)</f>
        <v>0</v>
      </c>
      <c r="S902" s="451" t="n">
        <f aca="false">S901-Débit*pas</f>
        <v>8.652</v>
      </c>
      <c r="T902" s="449" t="n">
        <f aca="false">m*g</f>
        <v>84.87612</v>
      </c>
      <c r="U902" s="453" t="n">
        <f aca="false">IF(pos_xz&lt;L_rampe,Poids*COS(Beta),0)</f>
        <v>0</v>
      </c>
      <c r="V902" s="450" t="n">
        <f aca="false">Rho_moyen*(20000-Alt_rampe-pos_z)/(20000+Alt_rampe+pos_z)</f>
        <v>1.22682588654326</v>
      </c>
      <c r="W902" s="449" t="n">
        <f aca="false">1/2*Rho*Sref*Cx*vit_xz^2</f>
        <v>52.1193265557307</v>
      </c>
      <c r="X902" s="438"/>
      <c r="Y902" s="454" t="str">
        <f aca="false">IF(AND(pos_z&lt;=0,K901&gt;0),"Impact balistique","") &amp; IF(AND(H903&lt;0,vit_z&gt;=0),"Apogée","") &amp; IF(AND(Poussee=0,Q901&gt;0),"Fin de propulsion","") &amp; IF(AND(L903&gt;L_rampe,pos_xz&lt;=L_rampe),"Sortie de rampe","")</f>
        <v/>
      </c>
      <c r="Z902" s="455" t="str">
        <f aca="false">IF(ABS(t-T_para)&lt;pas/2,"Para","")</f>
        <v/>
      </c>
      <c r="AA902" s="456" t="str">
        <f aca="false">IF(ABS(t-T_satellite)&lt;pas/2,"Satellite","")</f>
        <v/>
      </c>
      <c r="AB902" s="444"/>
      <c r="AC902" s="452" t="e">
        <f aca="false">IF(ABS(t-ROUND(t,0))&lt;0.001,t,NA())</f>
        <v>#N/A</v>
      </c>
      <c r="AD902" s="457" t="e">
        <f aca="false">IF(ABS(t-ROUND(t,0))&lt;0.001,pos_x,NA())</f>
        <v>#N/A</v>
      </c>
      <c r="AE902" s="458" t="e">
        <f aca="false">IF(t&lt;T_para, pos_z, NA())</f>
        <v>#N/A</v>
      </c>
      <c r="AF902" s="444"/>
      <c r="AG902" s="450" t="n">
        <f aca="false">IF(AND(L901&lt;L_rampe,Poussee&lt;Poids*SIN(M901)),0,(-W901+Poussee)/m-Poids*SIN(M901)/m)</f>
        <v>3.69399211215817</v>
      </c>
      <c r="AH902" s="449" t="n">
        <f aca="false">IF(AND(L901&lt;L_rampe,Poussee&lt;Poids*SIN(M901)), g*SIN(M901), (-W901+Poussee)/m)</f>
        <v>-6.02392240174934</v>
      </c>
    </row>
    <row r="903" customFormat="false" ht="12" hidden="false" customHeight="false" outlineLevel="0" collapsed="false">
      <c r="A903" s="448" t="n">
        <f aca="false">IF(B902+0.01&lt;=T_ini+ROUNDUP(Temps_fin_propu,0), 0.01, IF(K902&gt;0, 0.1, 0.0001))</f>
        <v>0.0001</v>
      </c>
      <c r="B903" s="449" t="n">
        <f aca="false">B902+pas</f>
        <v>35.7182000000008</v>
      </c>
      <c r="C903" s="432"/>
      <c r="D903" s="450" t="n">
        <f aca="false">IF(AND(L902&lt;L_rampe,Poussee&lt;Poids*SIN(M902)),0,(-W902+Poussee)/m*COS(M902)-U902/m*SIN(M902))</f>
        <v>-0.823443392690583</v>
      </c>
      <c r="E903" s="451" t="n">
        <f aca="false">IF(AND(L902&lt;L_rampe,Poussee&lt;Poids*SIN(M902)),0,(-W902+Poussee)/m*SIN(M902)+U902/m*COS(M902)-Poids/m)</f>
        <v>-3.84258268880701</v>
      </c>
      <c r="F903" s="449" t="n">
        <f aca="false">SQRT(acc_x^2+acc_z^2)</f>
        <v>3.92982197323048</v>
      </c>
      <c r="G903" s="450" t="n">
        <f aca="false">G902+acc_x*pas</f>
        <v>18.8946732247637</v>
      </c>
      <c r="H903" s="451" t="n">
        <f aca="false">H902+acc_z*pas</f>
        <v>-136.928912041348</v>
      </c>
      <c r="I903" s="449" t="n">
        <f aca="false">SQRT(vit_x^2+vit_z^2)</f>
        <v>138.226392664707</v>
      </c>
      <c r="J903" s="450" t="n">
        <f aca="false">J902+0.5*(vit_x+G902)*pas*(K902&gt;=0)</f>
        <v>1017.12580762709</v>
      </c>
      <c r="K903" s="451" t="n">
        <f aca="false">K902+0.5*(vit_z+H902)*pas</f>
        <v>-14.9077891720535</v>
      </c>
      <c r="L903" s="449" t="n">
        <f aca="false">SQRT(pos_x^2+pos_z^2)</f>
        <v>1017.23505185334</v>
      </c>
      <c r="M903" s="450" t="n">
        <f aca="false">IF(AND(L902&gt;L_rampe,G903&gt;0),ATAN2(G903,H903),$M$4)</f>
        <v>-1.43367334428535</v>
      </c>
      <c r="N903" s="449" t="n">
        <f aca="false">DEGREES(Beta)</f>
        <v>-82.1434318279569</v>
      </c>
      <c r="O903" s="438"/>
      <c r="P903" s="452" t="n">
        <f aca="false">MATCH(t-pas/2-T_ini,CdP_t)</f>
        <v>23</v>
      </c>
      <c r="Q903" s="449" t="n">
        <f aca="false">(INDEX(CdP,2,i_P+1)-INDEX(CdP,2,i_P+0))/(INDEX(CdP,1,i_P+1)-INDEX(CdP,1,i_P+0))*(t-pas/2-T_ini-INDEX(CdP,1,i_P+0))+INDEX(CdP,2,i_P+0)</f>
        <v>0</v>
      </c>
      <c r="R903" s="450" t="n">
        <f aca="false">Poussee/(g*ISP)</f>
        <v>0</v>
      </c>
      <c r="S903" s="451" t="n">
        <f aca="false">S902-Débit*pas</f>
        <v>8.652</v>
      </c>
      <c r="T903" s="449" t="n">
        <f aca="false">m*g</f>
        <v>84.87612</v>
      </c>
      <c r="U903" s="453" t="n">
        <f aca="false">IF(pos_xz&lt;L_rampe,Poids*COS(Beta),0)</f>
        <v>0</v>
      </c>
      <c r="V903" s="450" t="n">
        <f aca="false">Rho_moyen*(20000-Alt_rampe-pos_z)/(20000+Alt_rampe+pos_z)</f>
        <v>1.22682756642232</v>
      </c>
      <c r="W903" s="449" t="n">
        <f aca="false">1/2*Rho*Sref*Cx*vit_xz^2</f>
        <v>52.1196764903796</v>
      </c>
      <c r="X903" s="438"/>
      <c r="Y903" s="454" t="str">
        <f aca="false">IF(AND(pos_z&lt;=0,K902&gt;0),"Impact balistique","") &amp; IF(AND(H904&lt;0,vit_z&gt;=0),"Apogée","") &amp; IF(AND(Poussee=0,Q902&gt;0),"Fin de propulsion","") &amp; IF(AND(L904&gt;L_rampe,pos_xz&lt;=L_rampe),"Sortie de rampe","")</f>
        <v/>
      </c>
      <c r="Z903" s="455" t="str">
        <f aca="false">IF(ABS(t-T_para)&lt;pas/2,"Para","")</f>
        <v/>
      </c>
      <c r="AA903" s="456" t="str">
        <f aca="false">IF(ABS(t-T_satellite)&lt;pas/2,"Satellite","")</f>
        <v/>
      </c>
      <c r="AB903" s="444"/>
      <c r="AC903" s="452" t="e">
        <f aca="false">IF(ABS(t-ROUND(t,0))&lt;0.001,t,NA())</f>
        <v>#N/A</v>
      </c>
      <c r="AD903" s="457" t="e">
        <f aca="false">IF(ABS(t-ROUND(t,0))&lt;0.001,pos_x,NA())</f>
        <v>#N/A</v>
      </c>
      <c r="AE903" s="458" t="e">
        <f aca="false">IF(t&lt;T_para, pos_z, NA())</f>
        <v>#N/A</v>
      </c>
      <c r="AF903" s="444"/>
      <c r="AG903" s="450" t="n">
        <f aca="false">IF(AND(L902&lt;L_rampe,Poussee&lt;Poids*SIN(M902)),0,(-W902+Poussee)/m-Poids*SIN(M902)/m)</f>
        <v>3.69395296743985</v>
      </c>
      <c r="AH903" s="449" t="n">
        <f aca="false">IF(AND(L902&lt;L_rampe,Poussee&lt;Poids*SIN(M902)), g*SIN(M902), (-W902+Poussee)/m)</f>
        <v>-6.02396284740299</v>
      </c>
    </row>
    <row r="904" customFormat="false" ht="12" hidden="false" customHeight="false" outlineLevel="0" collapsed="false">
      <c r="A904" s="448" t="n">
        <f aca="false">IF(B903+0.01&lt;=T_ini+ROUNDUP(Temps_fin_propu,0), 0.01, IF(K903&gt;0, 0.1, 0.0001))</f>
        <v>0.0001</v>
      </c>
      <c r="B904" s="449" t="n">
        <f aca="false">B903+pas</f>
        <v>35.7183000000008</v>
      </c>
      <c r="C904" s="432"/>
      <c r="D904" s="450" t="n">
        <f aca="false">IF(AND(L903&lt;L_rampe,Poussee&lt;Poids*SIN(M903)),0,(-W903+Poussee)/m*COS(M903)-U903/m*SIN(M903))</f>
        <v>-0.823443132172281</v>
      </c>
      <c r="E904" s="451" t="n">
        <f aca="false">IF(AND(L903&lt;L_rampe,Poussee&lt;Poids*SIN(M903)),0,(-W903+Poussee)/m*SIN(M903)+U903/m*COS(M903)-Poids/m)</f>
        <v>-3.84254182408967</v>
      </c>
      <c r="F904" s="449" t="n">
        <f aca="false">SQRT(acc_x^2+acc_z^2)</f>
        <v>3.92978196110167</v>
      </c>
      <c r="G904" s="450" t="n">
        <f aca="false">G903+acc_x*pas</f>
        <v>18.8945908804505</v>
      </c>
      <c r="H904" s="451" t="n">
        <f aca="false">H903+acc_z*pas</f>
        <v>-136.92929629553</v>
      </c>
      <c r="I904" s="449" t="n">
        <f aca="false">SQRT(vit_x^2+vit_z^2)</f>
        <v>138.226762056154</v>
      </c>
      <c r="J904" s="450" t="n">
        <f aca="false">J903+0.5*(vit_x+G903)*pas*(K903&gt;=0)</f>
        <v>1017.12580762709</v>
      </c>
      <c r="K904" s="451" t="n">
        <f aca="false">K903+0.5*(vit_z+H903)*pas</f>
        <v>-14.9214820824703</v>
      </c>
      <c r="L904" s="449" t="n">
        <f aca="false">SQRT(pos_x^2+pos_z^2)</f>
        <v>1017.2352526179</v>
      </c>
      <c r="M904" s="450" t="n">
        <f aca="false">IF(AND(L903&gt;L_rampe,G904&gt;0),ATAN2(G904,H904),$M$4)</f>
        <v>-1.43367431440496</v>
      </c>
      <c r="N904" s="449" t="n">
        <f aca="false">DEGREES(Beta)</f>
        <v>-82.1434874117162</v>
      </c>
      <c r="O904" s="438"/>
      <c r="P904" s="452" t="n">
        <f aca="false">MATCH(t-pas/2-T_ini,CdP_t)</f>
        <v>23</v>
      </c>
      <c r="Q904" s="449" t="n">
        <f aca="false">(INDEX(CdP,2,i_P+1)-INDEX(CdP,2,i_P+0))/(INDEX(CdP,1,i_P+1)-INDEX(CdP,1,i_P+0))*(t-pas/2-T_ini-INDEX(CdP,1,i_P+0))+INDEX(CdP,2,i_P+0)</f>
        <v>0</v>
      </c>
      <c r="R904" s="450" t="n">
        <f aca="false">Poussee/(g*ISP)</f>
        <v>0</v>
      </c>
      <c r="S904" s="451" t="n">
        <f aca="false">S903-Débit*pas</f>
        <v>8.652</v>
      </c>
      <c r="T904" s="449" t="n">
        <f aca="false">m*g</f>
        <v>84.87612</v>
      </c>
      <c r="U904" s="453" t="n">
        <f aca="false">IF(pos_xz&lt;L_rampe,Poids*COS(Beta),0)</f>
        <v>0</v>
      </c>
      <c r="V904" s="450" t="n">
        <f aca="false">Rho_moyen*(20000-Alt_rampe-pos_z)/(20000+Alt_rampe+pos_z)</f>
        <v>1.2268292463084</v>
      </c>
      <c r="W904" s="449" t="n">
        <f aca="false">1/2*Rho*Sref*Cx*vit_xz^2</f>
        <v>52.1200264238818</v>
      </c>
      <c r="X904" s="438"/>
      <c r="Y904" s="454" t="str">
        <f aca="false">IF(AND(pos_z&lt;=0,K903&gt;0),"Impact balistique","") &amp; IF(AND(H905&lt;0,vit_z&gt;=0),"Apogée","") &amp; IF(AND(Poussee=0,Q903&gt;0),"Fin de propulsion","") &amp; IF(AND(L905&gt;L_rampe,pos_xz&lt;=L_rampe),"Sortie de rampe","")</f>
        <v/>
      </c>
      <c r="Z904" s="455" t="str">
        <f aca="false">IF(ABS(t-T_para)&lt;pas/2,"Para","")</f>
        <v/>
      </c>
      <c r="AA904" s="456" t="str">
        <f aca="false">IF(ABS(t-T_satellite)&lt;pas/2,"Satellite","")</f>
        <v/>
      </c>
      <c r="AB904" s="444"/>
      <c r="AC904" s="452" t="e">
        <f aca="false">IF(ABS(t-ROUND(t,0))&lt;0.001,t,NA())</f>
        <v>#N/A</v>
      </c>
      <c r="AD904" s="457" t="e">
        <f aca="false">IF(ABS(t-ROUND(t,0))&lt;0.001,pos_x,NA())</f>
        <v>#N/A</v>
      </c>
      <c r="AE904" s="458" t="e">
        <f aca="false">IF(t&lt;T_para, pos_z, NA())</f>
        <v>#N/A</v>
      </c>
      <c r="AF904" s="444"/>
      <c r="AG904" s="450" t="n">
        <f aca="false">IF(AND(L903&lt;L_rampe,Poussee&lt;Poids*SIN(M903)),0,(-W903+Poussee)/m-Poids*SIN(M903)/m)</f>
        <v>3.69391382283228</v>
      </c>
      <c r="AH904" s="449" t="n">
        <f aca="false">IF(AND(L903&lt;L_rampe,Poussee&lt;Poids*SIN(M903)), g*SIN(M903), (-W903+Poussee)/m)</f>
        <v>-6.02400329292413</v>
      </c>
    </row>
    <row r="905" customFormat="false" ht="12" hidden="false" customHeight="false" outlineLevel="0" collapsed="false">
      <c r="A905" s="448" t="n">
        <f aca="false">IF(B904+0.01&lt;=T_ini+ROUNDUP(Temps_fin_propu,0), 0.01, IF(K904&gt;0, 0.1, 0.0001))</f>
        <v>0.0001</v>
      </c>
      <c r="B905" s="449" t="n">
        <f aca="false">B904+pas</f>
        <v>35.7184000000008</v>
      </c>
      <c r="C905" s="432"/>
      <c r="D905" s="450" t="n">
        <f aca="false">IF(AND(L904&lt;L_rampe,Poussee&lt;Poids*SIN(M904)),0,(-W904+Poussee)/m*COS(M904)-U904/m*SIN(M904))</f>
        <v>-0.823442871613523</v>
      </c>
      <c r="E905" s="451" t="n">
        <f aca="false">IF(AND(L904&lt;L_rampe,Poussee&lt;Poids*SIN(M904)),0,(-W904+Poussee)/m*SIN(M904)+U904/m*COS(M904)-Poids/m)</f>
        <v>-3.84250095950625</v>
      </c>
      <c r="F905" s="449" t="n">
        <f aca="false">SQRT(acc_x^2+acc_z^2)</f>
        <v>3.92974194911289</v>
      </c>
      <c r="G905" s="450" t="n">
        <f aca="false">G904+acc_x*pas</f>
        <v>18.8945085361634</v>
      </c>
      <c r="H905" s="451" t="n">
        <f aca="false">H904+acc_z*pas</f>
        <v>-136.929680545626</v>
      </c>
      <c r="I905" s="449" t="n">
        <f aca="false">SQRT(vit_x^2+vit_z^2)</f>
        <v>138.227131443687</v>
      </c>
      <c r="J905" s="450" t="n">
        <f aca="false">J904+0.5*(vit_x+G904)*pas*(K904&gt;=0)</f>
        <v>1017.12580762709</v>
      </c>
      <c r="K905" s="451" t="n">
        <f aca="false">K904+0.5*(vit_z+H904)*pas</f>
        <v>-14.9351750313124</v>
      </c>
      <c r="L905" s="449" t="n">
        <f aca="false">SQRT(pos_x^2+pos_z^2)</f>
        <v>1017.2354535673</v>
      </c>
      <c r="M905" s="450" t="n">
        <f aca="false">IF(AND(L904&gt;L_rampe,G905&gt;0),ATAN2(G905,H905),$M$4)</f>
        <v>-1.43367528451516</v>
      </c>
      <c r="N905" s="449" t="n">
        <f aca="false">DEGREES(Beta)</f>
        <v>-82.1435429949362</v>
      </c>
      <c r="O905" s="438"/>
      <c r="P905" s="452" t="n">
        <f aca="false">MATCH(t-pas/2-T_ini,CdP_t)</f>
        <v>23</v>
      </c>
      <c r="Q905" s="449" t="n">
        <f aca="false">(INDEX(CdP,2,i_P+1)-INDEX(CdP,2,i_P+0))/(INDEX(CdP,1,i_P+1)-INDEX(CdP,1,i_P+0))*(t-pas/2-T_ini-INDEX(CdP,1,i_P+0))+INDEX(CdP,2,i_P+0)</f>
        <v>0</v>
      </c>
      <c r="R905" s="450" t="n">
        <f aca="false">Poussee/(g*ISP)</f>
        <v>0</v>
      </c>
      <c r="S905" s="451" t="n">
        <f aca="false">S904-Débit*pas</f>
        <v>8.652</v>
      </c>
      <c r="T905" s="449" t="n">
        <f aca="false">m*g</f>
        <v>84.87612</v>
      </c>
      <c r="U905" s="453" t="n">
        <f aca="false">IF(pos_xz&lt;L_rampe,Poids*COS(Beta),0)</f>
        <v>0</v>
      </c>
      <c r="V905" s="450" t="n">
        <f aca="false">Rho_moyen*(20000-Alt_rampe-pos_z)/(20000+Alt_rampe+pos_z)</f>
        <v>1.2268309262015</v>
      </c>
      <c r="W905" s="449" t="n">
        <f aca="false">1/2*Rho*Sref*Cx*vit_xz^2</f>
        <v>52.1203763562375</v>
      </c>
      <c r="X905" s="438"/>
      <c r="Y905" s="454" t="str">
        <f aca="false">IF(AND(pos_z&lt;=0,K904&gt;0),"Impact balistique","") &amp; IF(AND(H906&lt;0,vit_z&gt;=0),"Apogée","") &amp; IF(AND(Poussee=0,Q904&gt;0),"Fin de propulsion","") &amp; IF(AND(L906&gt;L_rampe,pos_xz&lt;=L_rampe),"Sortie de rampe","")</f>
        <v/>
      </c>
      <c r="Z905" s="455" t="str">
        <f aca="false">IF(ABS(t-T_para)&lt;pas/2,"Para","")</f>
        <v/>
      </c>
      <c r="AA905" s="456" t="str">
        <f aca="false">IF(ABS(t-T_satellite)&lt;pas/2,"Satellite","")</f>
        <v/>
      </c>
      <c r="AB905" s="444"/>
      <c r="AC905" s="452" t="e">
        <f aca="false">IF(ABS(t-ROUND(t,0))&lt;0.001,t,NA())</f>
        <v>#N/A</v>
      </c>
      <c r="AD905" s="457" t="e">
        <f aca="false">IF(ABS(t-ROUND(t,0))&lt;0.001,pos_x,NA())</f>
        <v>#N/A</v>
      </c>
      <c r="AE905" s="458" t="e">
        <f aca="false">IF(t&lt;T_para, pos_z, NA())</f>
        <v>#N/A</v>
      </c>
      <c r="AF905" s="444"/>
      <c r="AG905" s="450" t="n">
        <f aca="false">IF(AND(L904&lt;L_rampe,Poussee&lt;Poids*SIN(M904)),0,(-W904+Poussee)/m-Poids*SIN(M904)/m)</f>
        <v>3.69387467833546</v>
      </c>
      <c r="AH905" s="449" t="n">
        <f aca="false">IF(AND(L904&lt;L_rampe,Poussee&lt;Poids*SIN(M904)), g*SIN(M904), (-W904+Poussee)/m)</f>
        <v>-6.02404373831274</v>
      </c>
    </row>
    <row r="906" customFormat="false" ht="12" hidden="false" customHeight="false" outlineLevel="0" collapsed="false">
      <c r="A906" s="448" t="n">
        <f aca="false">IF(B905+0.01&lt;=T_ini+ROUNDUP(Temps_fin_propu,0), 0.01, IF(K905&gt;0, 0.1, 0.0001))</f>
        <v>0.0001</v>
      </c>
      <c r="B906" s="449" t="n">
        <f aca="false">B905+pas</f>
        <v>35.7185000000008</v>
      </c>
      <c r="C906" s="432"/>
      <c r="D906" s="450" t="n">
        <f aca="false">IF(AND(L905&lt;L_rampe,Poussee&lt;Poids*SIN(M905)),0,(-W905+Poussee)/m*COS(M905)-U905/m*SIN(M905))</f>
        <v>-0.823442611014309</v>
      </c>
      <c r="E906" s="451" t="n">
        <f aca="false">IF(AND(L905&lt;L_rampe,Poussee&lt;Poids*SIN(M905)),0,(-W905+Poussee)/m*SIN(M905)+U905/m*COS(M905)-Poids/m)</f>
        <v>-3.84246009505676</v>
      </c>
      <c r="F906" s="449" t="n">
        <f aca="false">SQRT(acc_x^2+acc_z^2)</f>
        <v>3.92970193726415</v>
      </c>
      <c r="G906" s="450" t="n">
        <f aca="false">G905+acc_x*pas</f>
        <v>18.8944261919023</v>
      </c>
      <c r="H906" s="451" t="n">
        <f aca="false">H905+acc_z*pas</f>
        <v>-136.930064791636</v>
      </c>
      <c r="I906" s="449" t="n">
        <f aca="false">SQRT(vit_x^2+vit_z^2)</f>
        <v>138.227500827306</v>
      </c>
      <c r="J906" s="450" t="n">
        <f aca="false">J905+0.5*(vit_x+G905)*pas*(K905&gt;=0)</f>
        <v>1017.12580762709</v>
      </c>
      <c r="K906" s="451" t="n">
        <f aca="false">K905+0.5*(vit_z+H905)*pas</f>
        <v>-14.9488680185792</v>
      </c>
      <c r="L906" s="449" t="n">
        <f aca="false">SQRT(pos_x^2+pos_z^2)</f>
        <v>1017.23565470155</v>
      </c>
      <c r="M906" s="450" t="n">
        <f aca="false">IF(AND(L905&gt;L_rampe,G906&gt;0),ATAN2(G906,H906),$M$4)</f>
        <v>-1.43367625461595</v>
      </c>
      <c r="N906" s="449" t="n">
        <f aca="false">DEGREES(Beta)</f>
        <v>-82.1435985776169</v>
      </c>
      <c r="O906" s="438"/>
      <c r="P906" s="452" t="n">
        <f aca="false">MATCH(t-pas/2-T_ini,CdP_t)</f>
        <v>23</v>
      </c>
      <c r="Q906" s="449" t="n">
        <f aca="false">(INDEX(CdP,2,i_P+1)-INDEX(CdP,2,i_P+0))/(INDEX(CdP,1,i_P+1)-INDEX(CdP,1,i_P+0))*(t-pas/2-T_ini-INDEX(CdP,1,i_P+0))+INDEX(CdP,2,i_P+0)</f>
        <v>0</v>
      </c>
      <c r="R906" s="450" t="n">
        <f aca="false">Poussee/(g*ISP)</f>
        <v>0</v>
      </c>
      <c r="S906" s="451" t="n">
        <f aca="false">S905-Débit*pas</f>
        <v>8.652</v>
      </c>
      <c r="T906" s="449" t="n">
        <f aca="false">m*g</f>
        <v>84.87612</v>
      </c>
      <c r="U906" s="453" t="n">
        <f aca="false">IF(pos_xz&lt;L_rampe,Poids*COS(Beta),0)</f>
        <v>0</v>
      </c>
      <c r="V906" s="450" t="n">
        <f aca="false">Rho_moyen*(20000-Alt_rampe-pos_z)/(20000+Alt_rampe+pos_z)</f>
        <v>1.22683260610161</v>
      </c>
      <c r="W906" s="449" t="n">
        <f aca="false">1/2*Rho*Sref*Cx*vit_xz^2</f>
        <v>52.1207262874465</v>
      </c>
      <c r="X906" s="438"/>
      <c r="Y906" s="454" t="str">
        <f aca="false">IF(AND(pos_z&lt;=0,K905&gt;0),"Impact balistique","") &amp; IF(AND(H907&lt;0,vit_z&gt;=0),"Apogée","") &amp; IF(AND(Poussee=0,Q905&gt;0),"Fin de propulsion","") &amp; IF(AND(L907&gt;L_rampe,pos_xz&lt;=L_rampe),"Sortie de rampe","")</f>
        <v/>
      </c>
      <c r="Z906" s="455" t="str">
        <f aca="false">IF(ABS(t-T_para)&lt;pas/2,"Para","")</f>
        <v/>
      </c>
      <c r="AA906" s="456" t="str">
        <f aca="false">IF(ABS(t-T_satellite)&lt;pas/2,"Satellite","")</f>
        <v/>
      </c>
      <c r="AB906" s="444"/>
      <c r="AC906" s="452" t="e">
        <f aca="false">IF(ABS(t-ROUND(t,0))&lt;0.001,t,NA())</f>
        <v>#N/A</v>
      </c>
      <c r="AD906" s="457" t="e">
        <f aca="false">IF(ABS(t-ROUND(t,0))&lt;0.001,pos_x,NA())</f>
        <v>#N/A</v>
      </c>
      <c r="AE906" s="458" t="e">
        <f aca="false">IF(t&lt;T_para, pos_z, NA())</f>
        <v>#N/A</v>
      </c>
      <c r="AF906" s="444"/>
      <c r="AG906" s="450" t="n">
        <f aca="false">IF(AND(L905&lt;L_rampe,Poussee&lt;Poids*SIN(M905)),0,(-W905+Poussee)/m-Poids*SIN(M905)/m)</f>
        <v>3.69383553394941</v>
      </c>
      <c r="AH906" s="449" t="n">
        <f aca="false">IF(AND(L905&lt;L_rampe,Poussee&lt;Poids*SIN(M905)), g*SIN(M905), (-W905+Poussee)/m)</f>
        <v>-6.02408418356883</v>
      </c>
    </row>
    <row r="907" customFormat="false" ht="12" hidden="false" customHeight="false" outlineLevel="0" collapsed="false">
      <c r="A907" s="448" t="n">
        <f aca="false">IF(B906+0.01&lt;=T_ini+ROUNDUP(Temps_fin_propu,0), 0.01, IF(K906&gt;0, 0.1, 0.0001))</f>
        <v>0.0001</v>
      </c>
      <c r="B907" s="449" t="n">
        <f aca="false">B906+pas</f>
        <v>35.7186000000008</v>
      </c>
      <c r="C907" s="432"/>
      <c r="D907" s="450" t="n">
        <f aca="false">IF(AND(L906&lt;L_rampe,Poussee&lt;Poids*SIN(M906)),0,(-W906+Poussee)/m*COS(M906)-U906/m*SIN(M906))</f>
        <v>-0.823442350374638</v>
      </c>
      <c r="E907" s="451" t="n">
        <f aca="false">IF(AND(L906&lt;L_rampe,Poussee&lt;Poids*SIN(M906)),0,(-W906+Poussee)/m*SIN(M906)+U906/m*COS(M906)-Poids/m)</f>
        <v>-3.84241923074118</v>
      </c>
      <c r="F907" s="449" t="n">
        <f aca="false">SQRT(acc_x^2+acc_z^2)</f>
        <v>3.92966192555545</v>
      </c>
      <c r="G907" s="450" t="n">
        <f aca="false">G906+acc_x*pas</f>
        <v>18.8943438476672</v>
      </c>
      <c r="H907" s="451" t="n">
        <f aca="false">H906+acc_z*pas</f>
        <v>-136.930449033559</v>
      </c>
      <c r="I907" s="449" t="n">
        <f aca="false">SQRT(vit_x^2+vit_z^2)</f>
        <v>138.22787020701</v>
      </c>
      <c r="J907" s="450" t="n">
        <f aca="false">J906+0.5*(vit_x+G906)*pas*(K906&gt;=0)</f>
        <v>1017.12580762709</v>
      </c>
      <c r="K907" s="451" t="n">
        <f aca="false">K906+0.5*(vit_z+H906)*pas</f>
        <v>-14.9625610442705</v>
      </c>
      <c r="L907" s="449" t="n">
        <f aca="false">SQRT(pos_x^2+pos_z^2)</f>
        <v>1017.23585602065</v>
      </c>
      <c r="M907" s="450" t="n">
        <f aca="false">IF(AND(L906&gt;L_rampe,G907&gt;0),ATAN2(G907,H907),$M$4)</f>
        <v>-1.43367722470732</v>
      </c>
      <c r="N907" s="449" t="n">
        <f aca="false">DEGREES(Beta)</f>
        <v>-82.1436541597582</v>
      </c>
      <c r="O907" s="438"/>
      <c r="P907" s="452" t="n">
        <f aca="false">MATCH(t-pas/2-T_ini,CdP_t)</f>
        <v>23</v>
      </c>
      <c r="Q907" s="449" t="n">
        <f aca="false">(INDEX(CdP,2,i_P+1)-INDEX(CdP,2,i_P+0))/(INDEX(CdP,1,i_P+1)-INDEX(CdP,1,i_P+0))*(t-pas/2-T_ini-INDEX(CdP,1,i_P+0))+INDEX(CdP,2,i_P+0)</f>
        <v>0</v>
      </c>
      <c r="R907" s="450" t="n">
        <f aca="false">Poussee/(g*ISP)</f>
        <v>0</v>
      </c>
      <c r="S907" s="451" t="n">
        <f aca="false">S906-Débit*pas</f>
        <v>8.652</v>
      </c>
      <c r="T907" s="449" t="n">
        <f aca="false">m*g</f>
        <v>84.87612</v>
      </c>
      <c r="U907" s="453" t="n">
        <f aca="false">IF(pos_xz&lt;L_rampe,Poids*COS(Beta),0)</f>
        <v>0</v>
      </c>
      <c r="V907" s="450" t="n">
        <f aca="false">Rho_moyen*(20000-Alt_rampe-pos_z)/(20000+Alt_rampe+pos_z)</f>
        <v>1.22683428600874</v>
      </c>
      <c r="W907" s="449" t="n">
        <f aca="false">1/2*Rho*Sref*Cx*vit_xz^2</f>
        <v>52.1210762175089</v>
      </c>
      <c r="X907" s="438"/>
      <c r="Y907" s="454" t="str">
        <f aca="false">IF(AND(pos_z&lt;=0,K906&gt;0),"Impact balistique","") &amp; IF(AND(H908&lt;0,vit_z&gt;=0),"Apogée","") &amp; IF(AND(Poussee=0,Q906&gt;0),"Fin de propulsion","") &amp; IF(AND(L908&gt;L_rampe,pos_xz&lt;=L_rampe),"Sortie de rampe","")</f>
        <v/>
      </c>
      <c r="Z907" s="455" t="str">
        <f aca="false">IF(ABS(t-T_para)&lt;pas/2,"Para","")</f>
        <v/>
      </c>
      <c r="AA907" s="456" t="str">
        <f aca="false">IF(ABS(t-T_satellite)&lt;pas/2,"Satellite","")</f>
        <v/>
      </c>
      <c r="AB907" s="444"/>
      <c r="AC907" s="452" t="e">
        <f aca="false">IF(ABS(t-ROUND(t,0))&lt;0.001,t,NA())</f>
        <v>#N/A</v>
      </c>
      <c r="AD907" s="457" t="e">
        <f aca="false">IF(ABS(t-ROUND(t,0))&lt;0.001,pos_x,NA())</f>
        <v>#N/A</v>
      </c>
      <c r="AE907" s="458" t="e">
        <f aca="false">IF(t&lt;T_para, pos_z, NA())</f>
        <v>#N/A</v>
      </c>
      <c r="AF907" s="444"/>
      <c r="AG907" s="450" t="n">
        <f aca="false">IF(AND(L906&lt;L_rampe,Poussee&lt;Poids*SIN(M906)),0,(-W906+Poussee)/m-Poids*SIN(M906)/m)</f>
        <v>3.69379638967411</v>
      </c>
      <c r="AH907" s="449" t="n">
        <f aca="false">IF(AND(L906&lt;L_rampe,Poussee&lt;Poids*SIN(M906)), g*SIN(M906), (-W906+Poussee)/m)</f>
        <v>-6.02412462869239</v>
      </c>
    </row>
    <row r="908" customFormat="false" ht="12" hidden="false" customHeight="false" outlineLevel="0" collapsed="false">
      <c r="A908" s="448" t="n">
        <f aca="false">IF(B907+0.01&lt;=T_ini+ROUNDUP(Temps_fin_propu,0), 0.01, IF(K907&gt;0, 0.1, 0.0001))</f>
        <v>0.0001</v>
      </c>
      <c r="B908" s="449" t="n">
        <f aca="false">B907+pas</f>
        <v>35.7187000000008</v>
      </c>
      <c r="C908" s="432"/>
      <c r="D908" s="450" t="n">
        <f aca="false">IF(AND(L907&lt;L_rampe,Poussee&lt;Poids*SIN(M907)),0,(-W907+Poussee)/m*COS(M907)-U907/m*SIN(M907))</f>
        <v>-0.823442089694512</v>
      </c>
      <c r="E908" s="451" t="n">
        <f aca="false">IF(AND(L907&lt;L_rampe,Poussee&lt;Poids*SIN(M907)),0,(-W907+Poussee)/m*SIN(M907)+U907/m*COS(M907)-Poids/m)</f>
        <v>-3.84237836655954</v>
      </c>
      <c r="F908" s="449" t="n">
        <f aca="false">SQRT(acc_x^2+acc_z^2)</f>
        <v>3.92962191398679</v>
      </c>
      <c r="G908" s="450" t="n">
        <f aca="false">G907+acc_x*pas</f>
        <v>18.8942615034583</v>
      </c>
      <c r="H908" s="451" t="n">
        <f aca="false">H907+acc_z*pas</f>
        <v>-136.930833271396</v>
      </c>
      <c r="I908" s="449" t="n">
        <f aca="false">SQRT(vit_x^2+vit_z^2)</f>
        <v>138.228239582799</v>
      </c>
      <c r="J908" s="450" t="n">
        <f aca="false">J907+0.5*(vit_x+G907)*pas*(K907&gt;=0)</f>
        <v>1017.12580762709</v>
      </c>
      <c r="K908" s="451" t="n">
        <f aca="false">K907+0.5*(vit_z+H907)*pas</f>
        <v>-14.9762541083857</v>
      </c>
      <c r="L908" s="449" t="n">
        <f aca="false">SQRT(pos_x^2+pos_z^2)</f>
        <v>1017.23605752459</v>
      </c>
      <c r="M908" s="450" t="n">
        <f aca="false">IF(AND(L907&gt;L_rampe,G908&gt;0),ATAN2(G908,H908),$M$4)</f>
        <v>-1.43367819478928</v>
      </c>
      <c r="N908" s="449" t="n">
        <f aca="false">DEGREES(Beta)</f>
        <v>-82.1437097413603</v>
      </c>
      <c r="O908" s="438"/>
      <c r="P908" s="452" t="n">
        <f aca="false">MATCH(t-pas/2-T_ini,CdP_t)</f>
        <v>23</v>
      </c>
      <c r="Q908" s="449" t="n">
        <f aca="false">(INDEX(CdP,2,i_P+1)-INDEX(CdP,2,i_P+0))/(INDEX(CdP,1,i_P+1)-INDEX(CdP,1,i_P+0))*(t-pas/2-T_ini-INDEX(CdP,1,i_P+0))+INDEX(CdP,2,i_P+0)</f>
        <v>0</v>
      </c>
      <c r="R908" s="450" t="n">
        <f aca="false">Poussee/(g*ISP)</f>
        <v>0</v>
      </c>
      <c r="S908" s="451" t="n">
        <f aca="false">S907-Débit*pas</f>
        <v>8.652</v>
      </c>
      <c r="T908" s="449" t="n">
        <f aca="false">m*g</f>
        <v>84.87612</v>
      </c>
      <c r="U908" s="453" t="n">
        <f aca="false">IF(pos_xz&lt;L_rampe,Poids*COS(Beta),0)</f>
        <v>0</v>
      </c>
      <c r="V908" s="450" t="n">
        <f aca="false">Rho_moyen*(20000-Alt_rampe-pos_z)/(20000+Alt_rampe+pos_z)</f>
        <v>1.22683596592289</v>
      </c>
      <c r="W908" s="449" t="n">
        <f aca="false">1/2*Rho*Sref*Cx*vit_xz^2</f>
        <v>52.1214261464246</v>
      </c>
      <c r="X908" s="438"/>
      <c r="Y908" s="454" t="str">
        <f aca="false">IF(AND(pos_z&lt;=0,K907&gt;0),"Impact balistique","") &amp; IF(AND(H909&lt;0,vit_z&gt;=0),"Apogée","") &amp; IF(AND(Poussee=0,Q907&gt;0),"Fin de propulsion","") &amp; IF(AND(L909&gt;L_rampe,pos_xz&lt;=L_rampe),"Sortie de rampe","")</f>
        <v/>
      </c>
      <c r="Z908" s="455" t="str">
        <f aca="false">IF(ABS(t-T_para)&lt;pas/2,"Para","")</f>
        <v/>
      </c>
      <c r="AA908" s="456" t="str">
        <f aca="false">IF(ABS(t-T_satellite)&lt;pas/2,"Satellite","")</f>
        <v/>
      </c>
      <c r="AB908" s="444"/>
      <c r="AC908" s="452" t="e">
        <f aca="false">IF(ABS(t-ROUND(t,0))&lt;0.001,t,NA())</f>
        <v>#N/A</v>
      </c>
      <c r="AD908" s="457" t="e">
        <f aca="false">IF(ABS(t-ROUND(t,0))&lt;0.001,pos_x,NA())</f>
        <v>#N/A</v>
      </c>
      <c r="AE908" s="458" t="e">
        <f aca="false">IF(t&lt;T_para, pos_z, NA())</f>
        <v>#N/A</v>
      </c>
      <c r="AF908" s="444"/>
      <c r="AG908" s="450" t="n">
        <f aca="false">IF(AND(L907&lt;L_rampe,Poussee&lt;Poids*SIN(M907)),0,(-W907+Poussee)/m-Poids*SIN(M907)/m)</f>
        <v>3.69375724550958</v>
      </c>
      <c r="AH908" s="449" t="n">
        <f aca="false">IF(AND(L907&lt;L_rampe,Poussee&lt;Poids*SIN(M907)), g*SIN(M907), (-W907+Poussee)/m)</f>
        <v>-6.02416507368341</v>
      </c>
    </row>
    <row r="909" customFormat="false" ht="12" hidden="false" customHeight="false" outlineLevel="0" collapsed="false">
      <c r="A909" s="448" t="n">
        <f aca="false">IF(B908+0.01&lt;=T_ini+ROUNDUP(Temps_fin_propu,0), 0.01, IF(K908&gt;0, 0.1, 0.0001))</f>
        <v>0.0001</v>
      </c>
      <c r="B909" s="449" t="n">
        <f aca="false">B908+pas</f>
        <v>35.7188000000008</v>
      </c>
      <c r="C909" s="432"/>
      <c r="D909" s="450" t="n">
        <f aca="false">IF(AND(L908&lt;L_rampe,Poussee&lt;Poids*SIN(M908)),0,(-W908+Poussee)/m*COS(M908)-U908/m*SIN(M908))</f>
        <v>-0.823441828973931</v>
      </c>
      <c r="E909" s="451" t="n">
        <f aca="false">IF(AND(L908&lt;L_rampe,Poussee&lt;Poids*SIN(M908)),0,(-W908+Poussee)/m*SIN(M908)+U908/m*COS(M908)-Poids/m)</f>
        <v>-3.84233750251182</v>
      </c>
      <c r="F909" s="449" t="n">
        <f aca="false">SQRT(acc_x^2+acc_z^2)</f>
        <v>3.92958190255817</v>
      </c>
      <c r="G909" s="450" t="n">
        <f aca="false">G908+acc_x*pas</f>
        <v>18.8941791592754</v>
      </c>
      <c r="H909" s="451" t="n">
        <f aca="false">H908+acc_z*pas</f>
        <v>-136.931217505146</v>
      </c>
      <c r="I909" s="449" t="n">
        <f aca="false">SQRT(vit_x^2+vit_z^2)</f>
        <v>138.228608954675</v>
      </c>
      <c r="J909" s="450" t="n">
        <f aca="false">J908+0.5*(vit_x+G908)*pas*(K908&gt;=0)</f>
        <v>1017.12580762709</v>
      </c>
      <c r="K909" s="451" t="n">
        <f aca="false">K908+0.5*(vit_z+H908)*pas</f>
        <v>-14.9899472109246</v>
      </c>
      <c r="L909" s="449" t="n">
        <f aca="false">SQRT(pos_x^2+pos_z^2)</f>
        <v>1017.23625921339</v>
      </c>
      <c r="M909" s="450" t="n">
        <f aca="false">IF(AND(L908&gt;L_rampe,G909&gt;0),ATAN2(G909,H909),$M$4)</f>
        <v>-1.43367916486183</v>
      </c>
      <c r="N909" s="449" t="n">
        <f aca="false">DEGREES(Beta)</f>
        <v>-82.1437653224231</v>
      </c>
      <c r="O909" s="438"/>
      <c r="P909" s="452" t="n">
        <f aca="false">MATCH(t-pas/2-T_ini,CdP_t)</f>
        <v>23</v>
      </c>
      <c r="Q909" s="449" t="n">
        <f aca="false">(INDEX(CdP,2,i_P+1)-INDEX(CdP,2,i_P+0))/(INDEX(CdP,1,i_P+1)-INDEX(CdP,1,i_P+0))*(t-pas/2-T_ini-INDEX(CdP,1,i_P+0))+INDEX(CdP,2,i_P+0)</f>
        <v>0</v>
      </c>
      <c r="R909" s="450" t="n">
        <f aca="false">Poussee/(g*ISP)</f>
        <v>0</v>
      </c>
      <c r="S909" s="451" t="n">
        <f aca="false">S908-Débit*pas</f>
        <v>8.652</v>
      </c>
      <c r="T909" s="449" t="n">
        <f aca="false">m*g</f>
        <v>84.87612</v>
      </c>
      <c r="U909" s="453" t="n">
        <f aca="false">IF(pos_xz&lt;L_rampe,Poids*COS(Beta),0)</f>
        <v>0</v>
      </c>
      <c r="V909" s="450" t="n">
        <f aca="false">Rho_moyen*(20000-Alt_rampe-pos_z)/(20000+Alt_rampe+pos_z)</f>
        <v>1.22683764584405</v>
      </c>
      <c r="W909" s="449" t="n">
        <f aca="false">1/2*Rho*Sref*Cx*vit_xz^2</f>
        <v>52.1217760741936</v>
      </c>
      <c r="X909" s="438"/>
      <c r="Y909" s="454" t="str">
        <f aca="false">IF(AND(pos_z&lt;=0,K908&gt;0),"Impact balistique","") &amp; IF(AND(H910&lt;0,vit_z&gt;=0),"Apogée","") &amp; IF(AND(Poussee=0,Q908&gt;0),"Fin de propulsion","") &amp; IF(AND(L910&gt;L_rampe,pos_xz&lt;=L_rampe),"Sortie de rampe","")</f>
        <v/>
      </c>
      <c r="Z909" s="455" t="str">
        <f aca="false">IF(ABS(t-T_para)&lt;pas/2,"Para","")</f>
        <v/>
      </c>
      <c r="AA909" s="456" t="str">
        <f aca="false">IF(ABS(t-T_satellite)&lt;pas/2,"Satellite","")</f>
        <v/>
      </c>
      <c r="AB909" s="444"/>
      <c r="AC909" s="452" t="e">
        <f aca="false">IF(ABS(t-ROUND(t,0))&lt;0.001,t,NA())</f>
        <v>#N/A</v>
      </c>
      <c r="AD909" s="457" t="e">
        <f aca="false">IF(ABS(t-ROUND(t,0))&lt;0.001,pos_x,NA())</f>
        <v>#N/A</v>
      </c>
      <c r="AE909" s="458" t="e">
        <f aca="false">IF(t&lt;T_para, pos_z, NA())</f>
        <v>#N/A</v>
      </c>
      <c r="AF909" s="444"/>
      <c r="AG909" s="450" t="n">
        <f aca="false">IF(AND(L908&lt;L_rampe,Poussee&lt;Poids*SIN(M908)),0,(-W908+Poussee)/m-Poids*SIN(M908)/m)</f>
        <v>3.69371810145581</v>
      </c>
      <c r="AH909" s="449" t="n">
        <f aca="false">IF(AND(L908&lt;L_rampe,Poussee&lt;Poids*SIN(M908)), g*SIN(M908), (-W908+Poussee)/m)</f>
        <v>-6.02420551854191</v>
      </c>
    </row>
    <row r="910" customFormat="false" ht="12" hidden="false" customHeight="false" outlineLevel="0" collapsed="false">
      <c r="A910" s="448" t="n">
        <f aca="false">IF(B909+0.01&lt;=T_ini+ROUNDUP(Temps_fin_propu,0), 0.01, IF(K909&gt;0, 0.1, 0.0001))</f>
        <v>0.0001</v>
      </c>
      <c r="B910" s="449" t="n">
        <f aca="false">B909+pas</f>
        <v>35.7189000000008</v>
      </c>
      <c r="C910" s="432"/>
      <c r="D910" s="450" t="n">
        <f aca="false">IF(AND(L909&lt;L_rampe,Poussee&lt;Poids*SIN(M909)),0,(-W909+Poussee)/m*COS(M909)-U909/m*SIN(M909))</f>
        <v>-0.823441568212897</v>
      </c>
      <c r="E910" s="451" t="n">
        <f aca="false">IF(AND(L909&lt;L_rampe,Poussee&lt;Poids*SIN(M909)),0,(-W909+Poussee)/m*SIN(M909)+U909/m*COS(M909)-Poids/m)</f>
        <v>-3.84229663859804</v>
      </c>
      <c r="F910" s="449" t="n">
        <f aca="false">SQRT(acc_x^2+acc_z^2)</f>
        <v>3.9295418912696</v>
      </c>
      <c r="G910" s="450" t="n">
        <f aca="false">G909+acc_x*pas</f>
        <v>18.8940968151185</v>
      </c>
      <c r="H910" s="451" t="n">
        <f aca="false">H909+acc_z*pas</f>
        <v>-136.93160173481</v>
      </c>
      <c r="I910" s="449" t="n">
        <f aca="false">SQRT(vit_x^2+vit_z^2)</f>
        <v>138.228978322635</v>
      </c>
      <c r="J910" s="450" t="n">
        <f aca="false">J909+0.5*(vit_x+G909)*pas*(K909&gt;=0)</f>
        <v>1017.12580762709</v>
      </c>
      <c r="K910" s="451" t="n">
        <f aca="false">K909+0.5*(vit_z+H909)*pas</f>
        <v>-15.0036403518866</v>
      </c>
      <c r="L910" s="449" t="n">
        <f aca="false">SQRT(pos_x^2+pos_z^2)</f>
        <v>1017.23646108703</v>
      </c>
      <c r="M910" s="450" t="n">
        <f aca="false">IF(AND(L909&gt;L_rampe,G910&gt;0),ATAN2(G910,H910),$M$4)</f>
        <v>-1.43368013492496</v>
      </c>
      <c r="N910" s="449" t="n">
        <f aca="false">DEGREES(Beta)</f>
        <v>-82.1438209029467</v>
      </c>
      <c r="O910" s="438"/>
      <c r="P910" s="452" t="n">
        <f aca="false">MATCH(t-pas/2-T_ini,CdP_t)</f>
        <v>23</v>
      </c>
      <c r="Q910" s="449" t="n">
        <f aca="false">(INDEX(CdP,2,i_P+1)-INDEX(CdP,2,i_P+0))/(INDEX(CdP,1,i_P+1)-INDEX(CdP,1,i_P+0))*(t-pas/2-T_ini-INDEX(CdP,1,i_P+0))+INDEX(CdP,2,i_P+0)</f>
        <v>0</v>
      </c>
      <c r="R910" s="450" t="n">
        <f aca="false">Poussee/(g*ISP)</f>
        <v>0</v>
      </c>
      <c r="S910" s="451" t="n">
        <f aca="false">S909-Débit*pas</f>
        <v>8.652</v>
      </c>
      <c r="T910" s="449" t="n">
        <f aca="false">m*g</f>
        <v>84.87612</v>
      </c>
      <c r="U910" s="453" t="n">
        <f aca="false">IF(pos_xz&lt;L_rampe,Poids*COS(Beta),0)</f>
        <v>0</v>
      </c>
      <c r="V910" s="450" t="n">
        <f aca="false">Rho_moyen*(20000-Alt_rampe-pos_z)/(20000+Alt_rampe+pos_z)</f>
        <v>1.22683932577223</v>
      </c>
      <c r="W910" s="449" t="n">
        <f aca="false">1/2*Rho*Sref*Cx*vit_xz^2</f>
        <v>52.1221260008159</v>
      </c>
      <c r="X910" s="438"/>
      <c r="Y910" s="454" t="str">
        <f aca="false">IF(AND(pos_z&lt;=0,K909&gt;0),"Impact balistique","") &amp; IF(AND(H911&lt;0,vit_z&gt;=0),"Apogée","") &amp; IF(AND(Poussee=0,Q909&gt;0),"Fin de propulsion","") &amp; IF(AND(L911&gt;L_rampe,pos_xz&lt;=L_rampe),"Sortie de rampe","")</f>
        <v/>
      </c>
      <c r="Z910" s="455" t="str">
        <f aca="false">IF(ABS(t-T_para)&lt;pas/2,"Para","")</f>
        <v/>
      </c>
      <c r="AA910" s="456" t="str">
        <f aca="false">IF(ABS(t-T_satellite)&lt;pas/2,"Satellite","")</f>
        <v/>
      </c>
      <c r="AB910" s="444"/>
      <c r="AC910" s="452" t="e">
        <f aca="false">IF(ABS(t-ROUND(t,0))&lt;0.001,t,NA())</f>
        <v>#N/A</v>
      </c>
      <c r="AD910" s="457" t="e">
        <f aca="false">IF(ABS(t-ROUND(t,0))&lt;0.001,pos_x,NA())</f>
        <v>#N/A</v>
      </c>
      <c r="AE910" s="458" t="e">
        <f aca="false">IF(t&lt;T_para, pos_z, NA())</f>
        <v>#N/A</v>
      </c>
      <c r="AF910" s="444"/>
      <c r="AG910" s="450" t="n">
        <f aca="false">IF(AND(L909&lt;L_rampe,Poussee&lt;Poids*SIN(M909)),0,(-W909+Poussee)/m-Poids*SIN(M909)/m)</f>
        <v>3.69367895751282</v>
      </c>
      <c r="AH910" s="449" t="n">
        <f aca="false">IF(AND(L909&lt;L_rampe,Poussee&lt;Poids*SIN(M909)), g*SIN(M909), (-W909+Poussee)/m)</f>
        <v>-6.02424596326787</v>
      </c>
    </row>
    <row r="911" customFormat="false" ht="12" hidden="false" customHeight="false" outlineLevel="0" collapsed="false">
      <c r="A911" s="448" t="n">
        <f aca="false">IF(B910+0.01&lt;=T_ini+ROUNDUP(Temps_fin_propu,0), 0.01, IF(K910&gt;0, 0.1, 0.0001))</f>
        <v>0.0001</v>
      </c>
      <c r="B911" s="449" t="n">
        <f aca="false">B910+pas</f>
        <v>35.7190000000008</v>
      </c>
      <c r="C911" s="432"/>
      <c r="D911" s="450" t="n">
        <f aca="false">IF(AND(L910&lt;L_rampe,Poussee&lt;Poids*SIN(M910)),0,(-W910+Poussee)/m*COS(M910)-U910/m*SIN(M910))</f>
        <v>-0.823441307411406</v>
      </c>
      <c r="E911" s="451" t="n">
        <f aca="false">IF(AND(L910&lt;L_rampe,Poussee&lt;Poids*SIN(M910)),0,(-W910+Poussee)/m*SIN(M910)+U910/m*COS(M910)-Poids/m)</f>
        <v>-3.84225577481819</v>
      </c>
      <c r="F911" s="449" t="n">
        <f aca="false">SQRT(acc_x^2+acc_z^2)</f>
        <v>3.92950188012108</v>
      </c>
      <c r="G911" s="450" t="n">
        <f aca="false">G910+acc_x*pas</f>
        <v>18.8940144709878</v>
      </c>
      <c r="H911" s="451" t="n">
        <f aca="false">H910+acc_z*pas</f>
        <v>-136.931985960387</v>
      </c>
      <c r="I911" s="449" t="n">
        <f aca="false">SQRT(vit_x^2+vit_z^2)</f>
        <v>138.229347686682</v>
      </c>
      <c r="J911" s="450" t="n">
        <f aca="false">J910+0.5*(vit_x+G910)*pas*(K910&gt;=0)</f>
        <v>1017.12580762709</v>
      </c>
      <c r="K911" s="451" t="n">
        <f aca="false">K910+0.5*(vit_z+H910)*pas</f>
        <v>-15.0173335312713</v>
      </c>
      <c r="L911" s="449" t="n">
        <f aca="false">SQRT(pos_x^2+pos_z^2)</f>
        <v>1017.23666314553</v>
      </c>
      <c r="M911" s="450" t="n">
        <f aca="false">IF(AND(L910&gt;L_rampe,G911&gt;0),ATAN2(G911,H911),$M$4)</f>
        <v>-1.43368110497868</v>
      </c>
      <c r="N911" s="449" t="n">
        <f aca="false">DEGREES(Beta)</f>
        <v>-82.143876482931</v>
      </c>
      <c r="O911" s="438"/>
      <c r="P911" s="452" t="n">
        <f aca="false">MATCH(t-pas/2-T_ini,CdP_t)</f>
        <v>23</v>
      </c>
      <c r="Q911" s="449" t="n">
        <f aca="false">(INDEX(CdP,2,i_P+1)-INDEX(CdP,2,i_P+0))/(INDEX(CdP,1,i_P+1)-INDEX(CdP,1,i_P+0))*(t-pas/2-T_ini-INDEX(CdP,1,i_P+0))+INDEX(CdP,2,i_P+0)</f>
        <v>0</v>
      </c>
      <c r="R911" s="450" t="n">
        <f aca="false">Poussee/(g*ISP)</f>
        <v>0</v>
      </c>
      <c r="S911" s="451" t="n">
        <f aca="false">S910-Débit*pas</f>
        <v>8.652</v>
      </c>
      <c r="T911" s="449" t="n">
        <f aca="false">m*g</f>
        <v>84.87612</v>
      </c>
      <c r="U911" s="453" t="n">
        <f aca="false">IF(pos_xz&lt;L_rampe,Poids*COS(Beta),0)</f>
        <v>0</v>
      </c>
      <c r="V911" s="450" t="n">
        <f aca="false">Rho_moyen*(20000-Alt_rampe-pos_z)/(20000+Alt_rampe+pos_z)</f>
        <v>1.22684100570742</v>
      </c>
      <c r="W911" s="449" t="n">
        <f aca="false">1/2*Rho*Sref*Cx*vit_xz^2</f>
        <v>52.1224759262914</v>
      </c>
      <c r="X911" s="438"/>
      <c r="Y911" s="454" t="str">
        <f aca="false">IF(AND(pos_z&lt;=0,K910&gt;0),"Impact balistique","") &amp; IF(AND(H912&lt;0,vit_z&gt;=0),"Apogée","") &amp; IF(AND(Poussee=0,Q910&gt;0),"Fin de propulsion","") &amp; IF(AND(L912&gt;L_rampe,pos_xz&lt;=L_rampe),"Sortie de rampe","")</f>
        <v/>
      </c>
      <c r="Z911" s="455" t="str">
        <f aca="false">IF(ABS(t-T_para)&lt;pas/2,"Para","")</f>
        <v/>
      </c>
      <c r="AA911" s="456" t="str">
        <f aca="false">IF(ABS(t-T_satellite)&lt;pas/2,"Satellite","")</f>
        <v/>
      </c>
      <c r="AB911" s="444"/>
      <c r="AC911" s="452" t="e">
        <f aca="false">IF(ABS(t-ROUND(t,0))&lt;0.001,t,NA())</f>
        <v>#N/A</v>
      </c>
      <c r="AD911" s="457" t="e">
        <f aca="false">IF(ABS(t-ROUND(t,0))&lt;0.001,pos_x,NA())</f>
        <v>#N/A</v>
      </c>
      <c r="AE911" s="458" t="e">
        <f aca="false">IF(t&lt;T_para, pos_z, NA())</f>
        <v>#N/A</v>
      </c>
      <c r="AF911" s="444"/>
      <c r="AG911" s="450" t="n">
        <f aca="false">IF(AND(L910&lt;L_rampe,Poussee&lt;Poids*SIN(M910)),0,(-W910+Poussee)/m-Poids*SIN(M910)/m)</f>
        <v>3.69363981368059</v>
      </c>
      <c r="AH911" s="449" t="n">
        <f aca="false">IF(AND(L910&lt;L_rampe,Poussee&lt;Poids*SIN(M910)), g*SIN(M910), (-W910+Poussee)/m)</f>
        <v>-6.02428640786129</v>
      </c>
    </row>
    <row r="912" customFormat="false" ht="12" hidden="false" customHeight="false" outlineLevel="0" collapsed="false">
      <c r="A912" s="448" t="n">
        <f aca="false">IF(B911+0.01&lt;=T_ini+ROUNDUP(Temps_fin_propu,0), 0.01, IF(K911&gt;0, 0.1, 0.0001))</f>
        <v>0.0001</v>
      </c>
      <c r="B912" s="449" t="n">
        <f aca="false">B911+pas</f>
        <v>35.7191000000008</v>
      </c>
      <c r="C912" s="432"/>
      <c r="D912" s="450" t="n">
        <f aca="false">IF(AND(L911&lt;L_rampe,Poussee&lt;Poids*SIN(M911)),0,(-W911+Poussee)/m*COS(M911)-U911/m*SIN(M911))</f>
        <v>-0.823441046569462</v>
      </c>
      <c r="E912" s="451" t="n">
        <f aca="false">IF(AND(L911&lt;L_rampe,Poussee&lt;Poids*SIN(M911)),0,(-W911+Poussee)/m*SIN(M911)+U911/m*COS(M911)-Poids/m)</f>
        <v>-3.84221491117228</v>
      </c>
      <c r="F912" s="449" t="n">
        <f aca="false">SQRT(acc_x^2+acc_z^2)</f>
        <v>3.92946186911261</v>
      </c>
      <c r="G912" s="450" t="n">
        <f aca="false">G911+acc_x*pas</f>
        <v>18.8939321268831</v>
      </c>
      <c r="H912" s="451" t="n">
        <f aca="false">H911+acc_z*pas</f>
        <v>-136.932370181878</v>
      </c>
      <c r="I912" s="449" t="n">
        <f aca="false">SQRT(vit_x^2+vit_z^2)</f>
        <v>138.229717046814</v>
      </c>
      <c r="J912" s="450" t="n">
        <f aca="false">J911+0.5*(vit_x+G911)*pas*(K911&gt;=0)</f>
        <v>1017.12580762709</v>
      </c>
      <c r="K912" s="451" t="n">
        <f aca="false">K911+0.5*(vit_z+H911)*pas</f>
        <v>-15.0310267490784</v>
      </c>
      <c r="L912" s="449" t="n">
        <f aca="false">SQRT(pos_x^2+pos_z^2)</f>
        <v>1017.23686538888</v>
      </c>
      <c r="M912" s="450" t="n">
        <f aca="false">IF(AND(L911&gt;L_rampe,G912&gt;0),ATAN2(G912,H912),$M$4)</f>
        <v>-1.433682075023</v>
      </c>
      <c r="N912" s="449" t="n">
        <f aca="false">DEGREES(Beta)</f>
        <v>-82.143932062376</v>
      </c>
      <c r="O912" s="438"/>
      <c r="P912" s="452" t="n">
        <f aca="false">MATCH(t-pas/2-T_ini,CdP_t)</f>
        <v>23</v>
      </c>
      <c r="Q912" s="449" t="n">
        <f aca="false">(INDEX(CdP,2,i_P+1)-INDEX(CdP,2,i_P+0))/(INDEX(CdP,1,i_P+1)-INDEX(CdP,1,i_P+0))*(t-pas/2-T_ini-INDEX(CdP,1,i_P+0))+INDEX(CdP,2,i_P+0)</f>
        <v>0</v>
      </c>
      <c r="R912" s="450" t="n">
        <f aca="false">Poussee/(g*ISP)</f>
        <v>0</v>
      </c>
      <c r="S912" s="451" t="n">
        <f aca="false">S911-Débit*pas</f>
        <v>8.652</v>
      </c>
      <c r="T912" s="449" t="n">
        <f aca="false">m*g</f>
        <v>84.87612</v>
      </c>
      <c r="U912" s="453" t="n">
        <f aca="false">IF(pos_xz&lt;L_rampe,Poids*COS(Beta),0)</f>
        <v>0</v>
      </c>
      <c r="V912" s="450" t="n">
        <f aca="false">Rho_moyen*(20000-Alt_rampe-pos_z)/(20000+Alt_rampe+pos_z)</f>
        <v>1.22684268564963</v>
      </c>
      <c r="W912" s="449" t="n">
        <f aca="false">1/2*Rho*Sref*Cx*vit_xz^2</f>
        <v>52.1228258506202</v>
      </c>
      <c r="X912" s="438"/>
      <c r="Y912" s="454" t="str">
        <f aca="false">IF(AND(pos_z&lt;=0,K911&gt;0),"Impact balistique","") &amp; IF(AND(H913&lt;0,vit_z&gt;=0),"Apogée","") &amp; IF(AND(Poussee=0,Q911&gt;0),"Fin de propulsion","") &amp; IF(AND(L913&gt;L_rampe,pos_xz&lt;=L_rampe),"Sortie de rampe","")</f>
        <v/>
      </c>
      <c r="Z912" s="455" t="str">
        <f aca="false">IF(ABS(t-T_para)&lt;pas/2,"Para","")</f>
        <v/>
      </c>
      <c r="AA912" s="456" t="str">
        <f aca="false">IF(ABS(t-T_satellite)&lt;pas/2,"Satellite","")</f>
        <v/>
      </c>
      <c r="AB912" s="444"/>
      <c r="AC912" s="452" t="e">
        <f aca="false">IF(ABS(t-ROUND(t,0))&lt;0.001,t,NA())</f>
        <v>#N/A</v>
      </c>
      <c r="AD912" s="457" t="e">
        <f aca="false">IF(ABS(t-ROUND(t,0))&lt;0.001,pos_x,NA())</f>
        <v>#N/A</v>
      </c>
      <c r="AE912" s="458" t="e">
        <f aca="false">IF(t&lt;T_para, pos_z, NA())</f>
        <v>#N/A</v>
      </c>
      <c r="AF912" s="444"/>
      <c r="AG912" s="450" t="n">
        <f aca="false">IF(AND(L911&lt;L_rampe,Poussee&lt;Poids*SIN(M911)),0,(-W911+Poussee)/m-Poids*SIN(M911)/m)</f>
        <v>3.69360066995914</v>
      </c>
      <c r="AH912" s="449" t="n">
        <f aca="false">IF(AND(L911&lt;L_rampe,Poussee&lt;Poids*SIN(M911)), g*SIN(M911), (-W911+Poussee)/m)</f>
        <v>-6.02432685232217</v>
      </c>
    </row>
    <row r="913" customFormat="false" ht="12" hidden="false" customHeight="false" outlineLevel="0" collapsed="false">
      <c r="A913" s="448" t="n">
        <f aca="false">IF(B912+0.01&lt;=T_ini+ROUNDUP(Temps_fin_propu,0), 0.01, IF(K912&gt;0, 0.1, 0.0001))</f>
        <v>0.0001</v>
      </c>
      <c r="B913" s="449" t="n">
        <f aca="false">B912+pas</f>
        <v>35.7192000000008</v>
      </c>
      <c r="C913" s="432"/>
      <c r="D913" s="450" t="n">
        <f aca="false">IF(AND(L912&lt;L_rampe,Poussee&lt;Poids*SIN(M912)),0,(-W912+Poussee)/m*COS(M912)-U912/m*SIN(M912))</f>
        <v>-0.823440785687066</v>
      </c>
      <c r="E913" s="451" t="n">
        <f aca="false">IF(AND(L912&lt;L_rampe,Poussee&lt;Poids*SIN(M912)),0,(-W912+Poussee)/m*SIN(M912)+U912/m*COS(M912)-Poids/m)</f>
        <v>-3.8421740476603</v>
      </c>
      <c r="F913" s="449" t="n">
        <f aca="false">SQRT(acc_x^2+acc_z^2)</f>
        <v>3.9294218582442</v>
      </c>
      <c r="G913" s="450" t="n">
        <f aca="false">G912+acc_x*pas</f>
        <v>18.8938497828046</v>
      </c>
      <c r="H913" s="451" t="n">
        <f aca="false">H912+acc_z*pas</f>
        <v>-136.932754399283</v>
      </c>
      <c r="I913" s="449" t="n">
        <f aca="false">SQRT(vit_x^2+vit_z^2)</f>
        <v>138.230086403032</v>
      </c>
      <c r="J913" s="450" t="n">
        <f aca="false">J912+0.5*(vit_x+G912)*pas*(K912&gt;=0)</f>
        <v>1017.12580762709</v>
      </c>
      <c r="K913" s="451" t="n">
        <f aca="false">K912+0.5*(vit_z+H912)*pas</f>
        <v>-15.0447200053075</v>
      </c>
      <c r="L913" s="449" t="n">
        <f aca="false">SQRT(pos_x^2+pos_z^2)</f>
        <v>1017.23706781708</v>
      </c>
      <c r="M913" s="450" t="n">
        <f aca="false">IF(AND(L912&gt;L_rampe,G913&gt;0),ATAN2(G913,H913),$M$4)</f>
        <v>-1.4336830450579</v>
      </c>
      <c r="N913" s="449" t="n">
        <f aca="false">DEGREES(Beta)</f>
        <v>-82.1439876412817</v>
      </c>
      <c r="O913" s="438"/>
      <c r="P913" s="452" t="n">
        <f aca="false">MATCH(t-pas/2-T_ini,CdP_t)</f>
        <v>23</v>
      </c>
      <c r="Q913" s="449" t="n">
        <f aca="false">(INDEX(CdP,2,i_P+1)-INDEX(CdP,2,i_P+0))/(INDEX(CdP,1,i_P+1)-INDEX(CdP,1,i_P+0))*(t-pas/2-T_ini-INDEX(CdP,1,i_P+0))+INDEX(CdP,2,i_P+0)</f>
        <v>0</v>
      </c>
      <c r="R913" s="450" t="n">
        <f aca="false">Poussee/(g*ISP)</f>
        <v>0</v>
      </c>
      <c r="S913" s="451" t="n">
        <f aca="false">S912-Débit*pas</f>
        <v>8.652</v>
      </c>
      <c r="T913" s="449" t="n">
        <f aca="false">m*g</f>
        <v>84.87612</v>
      </c>
      <c r="U913" s="453" t="n">
        <f aca="false">IF(pos_xz&lt;L_rampe,Poids*COS(Beta),0)</f>
        <v>0</v>
      </c>
      <c r="V913" s="450" t="n">
        <f aca="false">Rho_moyen*(20000-Alt_rampe-pos_z)/(20000+Alt_rampe+pos_z)</f>
        <v>1.22684436559885</v>
      </c>
      <c r="W913" s="449" t="n">
        <f aca="false">1/2*Rho*Sref*Cx*vit_xz^2</f>
        <v>52.1231757738022</v>
      </c>
      <c r="X913" s="438"/>
      <c r="Y913" s="454" t="str">
        <f aca="false">IF(AND(pos_z&lt;=0,K912&gt;0),"Impact balistique","") &amp; IF(AND(H914&lt;0,vit_z&gt;=0),"Apogée","") &amp; IF(AND(Poussee=0,Q912&gt;0),"Fin de propulsion","") &amp; IF(AND(L914&gt;L_rampe,pos_xz&lt;=L_rampe),"Sortie de rampe","")</f>
        <v/>
      </c>
      <c r="Z913" s="455" t="str">
        <f aca="false">IF(ABS(t-T_para)&lt;pas/2,"Para","")</f>
        <v/>
      </c>
      <c r="AA913" s="456" t="str">
        <f aca="false">IF(ABS(t-T_satellite)&lt;pas/2,"Satellite","")</f>
        <v/>
      </c>
      <c r="AB913" s="444"/>
      <c r="AC913" s="452" t="e">
        <f aca="false">IF(ABS(t-ROUND(t,0))&lt;0.001,t,NA())</f>
        <v>#N/A</v>
      </c>
      <c r="AD913" s="457" t="e">
        <f aca="false">IF(ABS(t-ROUND(t,0))&lt;0.001,pos_x,NA())</f>
        <v>#N/A</v>
      </c>
      <c r="AE913" s="458" t="e">
        <f aca="false">IF(t&lt;T_para, pos_z, NA())</f>
        <v>#N/A</v>
      </c>
      <c r="AF913" s="444"/>
      <c r="AG913" s="450" t="n">
        <f aca="false">IF(AND(L912&lt;L_rampe,Poussee&lt;Poids*SIN(M912)),0,(-W912+Poussee)/m-Poids*SIN(M912)/m)</f>
        <v>3.69356152634847</v>
      </c>
      <c r="AH913" s="449" t="n">
        <f aca="false">IF(AND(L912&lt;L_rampe,Poussee&lt;Poids*SIN(M912)), g*SIN(M912), (-W912+Poussee)/m)</f>
        <v>-6.02436729665051</v>
      </c>
    </row>
    <row r="914" customFormat="false" ht="12" hidden="false" customHeight="false" outlineLevel="0" collapsed="false">
      <c r="A914" s="448" t="n">
        <f aca="false">IF(B913+0.01&lt;=T_ini+ROUNDUP(Temps_fin_propu,0), 0.01, IF(K913&gt;0, 0.1, 0.0001))</f>
        <v>0.0001</v>
      </c>
      <c r="B914" s="449" t="n">
        <f aca="false">B913+pas</f>
        <v>35.7193000000008</v>
      </c>
      <c r="C914" s="432"/>
      <c r="D914" s="450" t="n">
        <f aca="false">IF(AND(L913&lt;L_rampe,Poussee&lt;Poids*SIN(M913)),0,(-W913+Poussee)/m*COS(M913)-U913/m*SIN(M913))</f>
        <v>-0.823440524764215</v>
      </c>
      <c r="E914" s="451" t="n">
        <f aca="false">IF(AND(L913&lt;L_rampe,Poussee&lt;Poids*SIN(M913)),0,(-W913+Poussee)/m*SIN(M913)+U913/m*COS(M913)-Poids/m)</f>
        <v>-3.84213318428227</v>
      </c>
      <c r="F914" s="449" t="n">
        <f aca="false">SQRT(acc_x^2+acc_z^2)</f>
        <v>3.92938184751584</v>
      </c>
      <c r="G914" s="450" t="n">
        <f aca="false">G913+acc_x*pas</f>
        <v>18.8937674387521</v>
      </c>
      <c r="H914" s="451" t="n">
        <f aca="false">H913+acc_z*pas</f>
        <v>-136.933138612601</v>
      </c>
      <c r="I914" s="449" t="n">
        <f aca="false">SQRT(vit_x^2+vit_z^2)</f>
        <v>138.230455755335</v>
      </c>
      <c r="J914" s="450" t="n">
        <f aca="false">J913+0.5*(vit_x+G913)*pas*(K913&gt;=0)</f>
        <v>1017.12580762709</v>
      </c>
      <c r="K914" s="451" t="n">
        <f aca="false">K913+0.5*(vit_z+H913)*pas</f>
        <v>-15.0584132999581</v>
      </c>
      <c r="L914" s="449" t="n">
        <f aca="false">SQRT(pos_x^2+pos_z^2)</f>
        <v>1017.23727043014</v>
      </c>
      <c r="M914" s="450" t="n">
        <f aca="false">IF(AND(L913&gt;L_rampe,G914&gt;0),ATAN2(G914,H914),$M$4)</f>
        <v>-1.43368401508339</v>
      </c>
      <c r="N914" s="449" t="n">
        <f aca="false">DEGREES(Beta)</f>
        <v>-82.1440432196483</v>
      </c>
      <c r="O914" s="438"/>
      <c r="P914" s="452" t="n">
        <f aca="false">MATCH(t-pas/2-T_ini,CdP_t)</f>
        <v>23</v>
      </c>
      <c r="Q914" s="449" t="n">
        <f aca="false">(INDEX(CdP,2,i_P+1)-INDEX(CdP,2,i_P+0))/(INDEX(CdP,1,i_P+1)-INDEX(CdP,1,i_P+0))*(t-pas/2-T_ini-INDEX(CdP,1,i_P+0))+INDEX(CdP,2,i_P+0)</f>
        <v>0</v>
      </c>
      <c r="R914" s="450" t="n">
        <f aca="false">Poussee/(g*ISP)</f>
        <v>0</v>
      </c>
      <c r="S914" s="451" t="n">
        <f aca="false">S913-Débit*pas</f>
        <v>8.652</v>
      </c>
      <c r="T914" s="449" t="n">
        <f aca="false">m*g</f>
        <v>84.87612</v>
      </c>
      <c r="U914" s="453" t="n">
        <f aca="false">IF(pos_xz&lt;L_rampe,Poids*COS(Beta),0)</f>
        <v>0</v>
      </c>
      <c r="V914" s="450" t="n">
        <f aca="false">Rho_moyen*(20000-Alt_rampe-pos_z)/(20000+Alt_rampe+pos_z)</f>
        <v>1.22684604555509</v>
      </c>
      <c r="W914" s="449" t="n">
        <f aca="false">1/2*Rho*Sref*Cx*vit_xz^2</f>
        <v>52.1235256958374</v>
      </c>
      <c r="X914" s="438"/>
      <c r="Y914" s="454" t="str">
        <f aca="false">IF(AND(pos_z&lt;=0,K913&gt;0),"Impact balistique","") &amp; IF(AND(H915&lt;0,vit_z&gt;=0),"Apogée","") &amp; IF(AND(Poussee=0,Q913&gt;0),"Fin de propulsion","") &amp; IF(AND(L915&gt;L_rampe,pos_xz&lt;=L_rampe),"Sortie de rampe","")</f>
        <v/>
      </c>
      <c r="Z914" s="455" t="str">
        <f aca="false">IF(ABS(t-T_para)&lt;pas/2,"Para","")</f>
        <v/>
      </c>
      <c r="AA914" s="456" t="str">
        <f aca="false">IF(ABS(t-T_satellite)&lt;pas/2,"Satellite","")</f>
        <v/>
      </c>
      <c r="AB914" s="444"/>
      <c r="AC914" s="452" t="e">
        <f aca="false">IF(ABS(t-ROUND(t,0))&lt;0.001,t,NA())</f>
        <v>#N/A</v>
      </c>
      <c r="AD914" s="457" t="e">
        <f aca="false">IF(ABS(t-ROUND(t,0))&lt;0.001,pos_x,NA())</f>
        <v>#N/A</v>
      </c>
      <c r="AE914" s="458" t="e">
        <f aca="false">IF(t&lt;T_para, pos_z, NA())</f>
        <v>#N/A</v>
      </c>
      <c r="AF914" s="444"/>
      <c r="AG914" s="450" t="n">
        <f aca="false">IF(AND(L913&lt;L_rampe,Poussee&lt;Poids*SIN(M913)),0,(-W913+Poussee)/m-Poids*SIN(M913)/m)</f>
        <v>3.69352238284859</v>
      </c>
      <c r="AH914" s="449" t="n">
        <f aca="false">IF(AND(L913&lt;L_rampe,Poussee&lt;Poids*SIN(M913)), g*SIN(M913), (-W913+Poussee)/m)</f>
        <v>-6.0244077408463</v>
      </c>
    </row>
    <row r="915" customFormat="false" ht="12" hidden="false" customHeight="false" outlineLevel="0" collapsed="false">
      <c r="A915" s="448" t="n">
        <f aca="false">IF(B914+0.01&lt;=T_ini+ROUNDUP(Temps_fin_propu,0), 0.01, IF(K914&gt;0, 0.1, 0.0001))</f>
        <v>0.0001</v>
      </c>
      <c r="B915" s="449" t="n">
        <f aca="false">B914+pas</f>
        <v>35.7194000000008</v>
      </c>
      <c r="C915" s="432"/>
      <c r="D915" s="450" t="n">
        <f aca="false">IF(AND(L914&lt;L_rampe,Poussee&lt;Poids*SIN(M914)),0,(-W914+Poussee)/m*COS(M914)-U914/m*SIN(M914))</f>
        <v>-0.823440263800911</v>
      </c>
      <c r="E915" s="451" t="n">
        <f aca="false">IF(AND(L914&lt;L_rampe,Poussee&lt;Poids*SIN(M914)),0,(-W914+Poussee)/m*SIN(M914)+U914/m*COS(M914)-Poids/m)</f>
        <v>-3.84209232103818</v>
      </c>
      <c r="F915" s="449" t="n">
        <f aca="false">SQRT(acc_x^2+acc_z^2)</f>
        <v>3.92934183692754</v>
      </c>
      <c r="G915" s="450" t="n">
        <f aca="false">G914+acc_x*pas</f>
        <v>18.8936850947257</v>
      </c>
      <c r="H915" s="451" t="n">
        <f aca="false">H914+acc_z*pas</f>
        <v>-136.933522821834</v>
      </c>
      <c r="I915" s="449" t="n">
        <f aca="false">SQRT(vit_x^2+vit_z^2)</f>
        <v>138.230825103724</v>
      </c>
      <c r="J915" s="450" t="n">
        <f aca="false">J914+0.5*(vit_x+G914)*pas*(K914&gt;=0)</f>
        <v>1017.12580762709</v>
      </c>
      <c r="K915" s="451" t="n">
        <f aca="false">K914+0.5*(vit_z+H914)*pas</f>
        <v>-15.0721066330298</v>
      </c>
      <c r="L915" s="449" t="n">
        <f aca="false">SQRT(pos_x^2+pos_z^2)</f>
        <v>1017.23747322806</v>
      </c>
      <c r="M915" s="450" t="n">
        <f aca="false">IF(AND(L914&gt;L_rampe,G915&gt;0),ATAN2(G915,H915),$M$4)</f>
        <v>-1.43368498509946</v>
      </c>
      <c r="N915" s="449" t="n">
        <f aca="false">DEGREES(Beta)</f>
        <v>-82.1440987974756</v>
      </c>
      <c r="O915" s="438"/>
      <c r="P915" s="452" t="n">
        <f aca="false">MATCH(t-pas/2-T_ini,CdP_t)</f>
        <v>23</v>
      </c>
      <c r="Q915" s="449" t="n">
        <f aca="false">(INDEX(CdP,2,i_P+1)-INDEX(CdP,2,i_P+0))/(INDEX(CdP,1,i_P+1)-INDEX(CdP,1,i_P+0))*(t-pas/2-T_ini-INDEX(CdP,1,i_P+0))+INDEX(CdP,2,i_P+0)</f>
        <v>0</v>
      </c>
      <c r="R915" s="450" t="n">
        <f aca="false">Poussee/(g*ISP)</f>
        <v>0</v>
      </c>
      <c r="S915" s="451" t="n">
        <f aca="false">S914-Débit*pas</f>
        <v>8.652</v>
      </c>
      <c r="T915" s="449" t="n">
        <f aca="false">m*g</f>
        <v>84.87612</v>
      </c>
      <c r="U915" s="453" t="n">
        <f aca="false">IF(pos_xz&lt;L_rampe,Poids*COS(Beta),0)</f>
        <v>0</v>
      </c>
      <c r="V915" s="450" t="n">
        <f aca="false">Rho_moyen*(20000-Alt_rampe-pos_z)/(20000+Alt_rampe+pos_z)</f>
        <v>1.22684772551835</v>
      </c>
      <c r="W915" s="449" t="n">
        <f aca="false">1/2*Rho*Sref*Cx*vit_xz^2</f>
        <v>52.1238756167258</v>
      </c>
      <c r="X915" s="438"/>
      <c r="Y915" s="454" t="str">
        <f aca="false">IF(AND(pos_z&lt;=0,K914&gt;0),"Impact balistique","") &amp; IF(AND(H916&lt;0,vit_z&gt;=0),"Apogée","") &amp; IF(AND(Poussee=0,Q914&gt;0),"Fin de propulsion","") &amp; IF(AND(L916&gt;L_rampe,pos_xz&lt;=L_rampe),"Sortie de rampe","")</f>
        <v/>
      </c>
      <c r="Z915" s="455" t="str">
        <f aca="false">IF(ABS(t-T_para)&lt;pas/2,"Para","")</f>
        <v/>
      </c>
      <c r="AA915" s="456" t="str">
        <f aca="false">IF(ABS(t-T_satellite)&lt;pas/2,"Satellite","")</f>
        <v/>
      </c>
      <c r="AB915" s="444"/>
      <c r="AC915" s="452" t="e">
        <f aca="false">IF(ABS(t-ROUND(t,0))&lt;0.001,t,NA())</f>
        <v>#N/A</v>
      </c>
      <c r="AD915" s="457" t="e">
        <f aca="false">IF(ABS(t-ROUND(t,0))&lt;0.001,pos_x,NA())</f>
        <v>#N/A</v>
      </c>
      <c r="AE915" s="458" t="e">
        <f aca="false">IF(t&lt;T_para, pos_z, NA())</f>
        <v>#N/A</v>
      </c>
      <c r="AF915" s="444"/>
      <c r="AG915" s="450" t="n">
        <f aca="false">IF(AND(L914&lt;L_rampe,Poussee&lt;Poids*SIN(M914)),0,(-W914+Poussee)/m-Poids*SIN(M914)/m)</f>
        <v>3.69348323945948</v>
      </c>
      <c r="AH915" s="449" t="n">
        <f aca="false">IF(AND(L914&lt;L_rampe,Poussee&lt;Poids*SIN(M914)), g*SIN(M914), (-W914+Poussee)/m)</f>
        <v>-6.02444818490955</v>
      </c>
    </row>
    <row r="916" customFormat="false" ht="12" hidden="false" customHeight="false" outlineLevel="0" collapsed="false">
      <c r="A916" s="448" t="n">
        <f aca="false">IF(B915+0.01&lt;=T_ini+ROUNDUP(Temps_fin_propu,0), 0.01, IF(K915&gt;0, 0.1, 0.0001))</f>
        <v>0.0001</v>
      </c>
      <c r="B916" s="449" t="n">
        <f aca="false">B915+pas</f>
        <v>35.7195000000008</v>
      </c>
      <c r="C916" s="432"/>
      <c r="D916" s="450" t="n">
        <f aca="false">IF(AND(L915&lt;L_rampe,Poussee&lt;Poids*SIN(M915)),0,(-W915+Poussee)/m*COS(M915)-U915/m*SIN(M915))</f>
        <v>-0.823440002797156</v>
      </c>
      <c r="E916" s="451" t="n">
        <f aca="false">IF(AND(L915&lt;L_rampe,Poussee&lt;Poids*SIN(M915)),0,(-W915+Poussee)/m*SIN(M915)+U915/m*COS(M915)-Poids/m)</f>
        <v>-3.84205145792804</v>
      </c>
      <c r="F916" s="449" t="n">
        <f aca="false">SQRT(acc_x^2+acc_z^2)</f>
        <v>3.9293018264793</v>
      </c>
      <c r="G916" s="450" t="n">
        <f aca="false">G915+acc_x*pas</f>
        <v>18.8936027507254</v>
      </c>
      <c r="H916" s="451" t="n">
        <f aca="false">H915+acc_z*pas</f>
        <v>-136.933907026979</v>
      </c>
      <c r="I916" s="449" t="n">
        <f aca="false">SQRT(vit_x^2+vit_z^2)</f>
        <v>138.231194448198</v>
      </c>
      <c r="J916" s="450" t="n">
        <f aca="false">J915+0.5*(vit_x+G915)*pas*(K915&gt;=0)</f>
        <v>1017.12580762709</v>
      </c>
      <c r="K916" s="451" t="n">
        <f aca="false">K915+0.5*(vit_z+H915)*pas</f>
        <v>-15.0858000045222</v>
      </c>
      <c r="L916" s="449" t="n">
        <f aca="false">SQRT(pos_x^2+pos_z^2)</f>
        <v>1017.23767621084</v>
      </c>
      <c r="M916" s="450" t="n">
        <f aca="false">IF(AND(L915&gt;L_rampe,G916&gt;0),ATAN2(G916,H916),$M$4)</f>
        <v>-1.43368595510613</v>
      </c>
      <c r="N916" s="449" t="n">
        <f aca="false">DEGREES(Beta)</f>
        <v>-82.1441543747636</v>
      </c>
      <c r="O916" s="438"/>
      <c r="P916" s="452" t="n">
        <f aca="false">MATCH(t-pas/2-T_ini,CdP_t)</f>
        <v>23</v>
      </c>
      <c r="Q916" s="449" t="n">
        <f aca="false">(INDEX(CdP,2,i_P+1)-INDEX(CdP,2,i_P+0))/(INDEX(CdP,1,i_P+1)-INDEX(CdP,1,i_P+0))*(t-pas/2-T_ini-INDEX(CdP,1,i_P+0))+INDEX(CdP,2,i_P+0)</f>
        <v>0</v>
      </c>
      <c r="R916" s="450" t="n">
        <f aca="false">Poussee/(g*ISP)</f>
        <v>0</v>
      </c>
      <c r="S916" s="451" t="n">
        <f aca="false">S915-Débit*pas</f>
        <v>8.652</v>
      </c>
      <c r="T916" s="449" t="n">
        <f aca="false">m*g</f>
        <v>84.87612</v>
      </c>
      <c r="U916" s="453" t="n">
        <f aca="false">IF(pos_xz&lt;L_rampe,Poids*COS(Beta),0)</f>
        <v>0</v>
      </c>
      <c r="V916" s="450" t="n">
        <f aca="false">Rho_moyen*(20000-Alt_rampe-pos_z)/(20000+Alt_rampe+pos_z)</f>
        <v>1.22684940548862</v>
      </c>
      <c r="W916" s="449" t="n">
        <f aca="false">1/2*Rho*Sref*Cx*vit_xz^2</f>
        <v>52.1242255364673</v>
      </c>
      <c r="X916" s="438"/>
      <c r="Y916" s="454" t="str">
        <f aca="false">IF(AND(pos_z&lt;=0,K915&gt;0),"Impact balistique","") &amp; IF(AND(H917&lt;0,vit_z&gt;=0),"Apogée","") &amp; IF(AND(Poussee=0,Q915&gt;0),"Fin de propulsion","") &amp; IF(AND(L917&gt;L_rampe,pos_xz&lt;=L_rampe),"Sortie de rampe","")</f>
        <v/>
      </c>
      <c r="Z916" s="455" t="str">
        <f aca="false">IF(ABS(t-T_para)&lt;pas/2,"Para","")</f>
        <v/>
      </c>
      <c r="AA916" s="456" t="str">
        <f aca="false">IF(ABS(t-T_satellite)&lt;pas/2,"Satellite","")</f>
        <v/>
      </c>
      <c r="AB916" s="444"/>
      <c r="AC916" s="452" t="e">
        <f aca="false">IF(ABS(t-ROUND(t,0))&lt;0.001,t,NA())</f>
        <v>#N/A</v>
      </c>
      <c r="AD916" s="457" t="e">
        <f aca="false">IF(ABS(t-ROUND(t,0))&lt;0.001,pos_x,NA())</f>
        <v>#N/A</v>
      </c>
      <c r="AE916" s="458" t="e">
        <f aca="false">IF(t&lt;T_para, pos_z, NA())</f>
        <v>#N/A</v>
      </c>
      <c r="AF916" s="444"/>
      <c r="AG916" s="450" t="n">
        <f aca="false">IF(AND(L915&lt;L_rampe,Poussee&lt;Poids*SIN(M915)),0,(-W915+Poussee)/m-Poids*SIN(M915)/m)</f>
        <v>3.69344409618116</v>
      </c>
      <c r="AH916" s="449" t="n">
        <f aca="false">IF(AND(L915&lt;L_rampe,Poussee&lt;Poids*SIN(M915)), g*SIN(M915), (-W915+Poussee)/m)</f>
        <v>-6.02448862884024</v>
      </c>
    </row>
    <row r="917" customFormat="false" ht="12" hidden="false" customHeight="false" outlineLevel="0" collapsed="false">
      <c r="A917" s="448" t="n">
        <f aca="false">IF(B916+0.01&lt;=T_ini+ROUNDUP(Temps_fin_propu,0), 0.01, IF(K916&gt;0, 0.1, 0.0001))</f>
        <v>0.0001</v>
      </c>
      <c r="B917" s="449" t="n">
        <f aca="false">B916+pas</f>
        <v>35.7196000000008</v>
      </c>
      <c r="C917" s="432"/>
      <c r="D917" s="450" t="n">
        <f aca="false">IF(AND(L916&lt;L_rampe,Poussee&lt;Poids*SIN(M916)),0,(-W916+Poussee)/m*COS(M916)-U916/m*SIN(M916))</f>
        <v>-0.823439741752947</v>
      </c>
      <c r="E917" s="451" t="n">
        <f aca="false">IF(AND(L916&lt;L_rampe,Poussee&lt;Poids*SIN(M916)),0,(-W916+Poussee)/m*SIN(M916)+U916/m*COS(M916)-Poids/m)</f>
        <v>-3.84201059495185</v>
      </c>
      <c r="F917" s="449" t="n">
        <f aca="false">SQRT(acc_x^2+acc_z^2)</f>
        <v>3.92926181617113</v>
      </c>
      <c r="G917" s="450" t="n">
        <f aca="false">G916+acc_x*pas</f>
        <v>18.8935204067513</v>
      </c>
      <c r="H917" s="451" t="n">
        <f aca="false">H916+acc_z*pas</f>
        <v>-136.934291228039</v>
      </c>
      <c r="I917" s="449" t="n">
        <f aca="false">SQRT(vit_x^2+vit_z^2)</f>
        <v>138.231563788759</v>
      </c>
      <c r="J917" s="450" t="n">
        <f aca="false">J916+0.5*(vit_x+G916)*pas*(K916&gt;=0)</f>
        <v>1017.12580762709</v>
      </c>
      <c r="K917" s="451" t="n">
        <f aca="false">K916+0.5*(vit_z+H916)*pas</f>
        <v>-15.099493414435</v>
      </c>
      <c r="L917" s="449" t="n">
        <f aca="false">SQRT(pos_x^2+pos_z^2)</f>
        <v>1017.23787937848</v>
      </c>
      <c r="M917" s="450" t="n">
        <f aca="false">IF(AND(L916&gt;L_rampe,G917&gt;0),ATAN2(G917,H917),$M$4)</f>
        <v>-1.43368692510338</v>
      </c>
      <c r="N917" s="449" t="n">
        <f aca="false">DEGREES(Beta)</f>
        <v>-82.1442099515125</v>
      </c>
      <c r="O917" s="438"/>
      <c r="P917" s="452" t="n">
        <f aca="false">MATCH(t-pas/2-T_ini,CdP_t)</f>
        <v>23</v>
      </c>
      <c r="Q917" s="449" t="n">
        <f aca="false">(INDEX(CdP,2,i_P+1)-INDEX(CdP,2,i_P+0))/(INDEX(CdP,1,i_P+1)-INDEX(CdP,1,i_P+0))*(t-pas/2-T_ini-INDEX(CdP,1,i_P+0))+INDEX(CdP,2,i_P+0)</f>
        <v>0</v>
      </c>
      <c r="R917" s="450" t="n">
        <f aca="false">Poussee/(g*ISP)</f>
        <v>0</v>
      </c>
      <c r="S917" s="451" t="n">
        <f aca="false">S916-Débit*pas</f>
        <v>8.652</v>
      </c>
      <c r="T917" s="449" t="n">
        <f aca="false">m*g</f>
        <v>84.87612</v>
      </c>
      <c r="U917" s="453" t="n">
        <f aca="false">IF(pos_xz&lt;L_rampe,Poids*COS(Beta),0)</f>
        <v>0</v>
      </c>
      <c r="V917" s="450" t="n">
        <f aca="false">Rho_moyen*(20000-Alt_rampe-pos_z)/(20000+Alt_rampe+pos_z)</f>
        <v>1.22685108546591</v>
      </c>
      <c r="W917" s="449" t="n">
        <f aca="false">1/2*Rho*Sref*Cx*vit_xz^2</f>
        <v>52.124575455062</v>
      </c>
      <c r="X917" s="438"/>
      <c r="Y917" s="454" t="str">
        <f aca="false">IF(AND(pos_z&lt;=0,K916&gt;0),"Impact balistique","") &amp; IF(AND(H918&lt;0,vit_z&gt;=0),"Apogée","") &amp; IF(AND(Poussee=0,Q916&gt;0),"Fin de propulsion","") &amp; IF(AND(L918&gt;L_rampe,pos_xz&lt;=L_rampe),"Sortie de rampe","")</f>
        <v/>
      </c>
      <c r="Z917" s="455" t="str">
        <f aca="false">IF(ABS(t-T_para)&lt;pas/2,"Para","")</f>
        <v/>
      </c>
      <c r="AA917" s="456" t="str">
        <f aca="false">IF(ABS(t-T_satellite)&lt;pas/2,"Satellite","")</f>
        <v/>
      </c>
      <c r="AB917" s="444"/>
      <c r="AC917" s="452" t="e">
        <f aca="false">IF(ABS(t-ROUND(t,0))&lt;0.001,t,NA())</f>
        <v>#N/A</v>
      </c>
      <c r="AD917" s="457" t="e">
        <f aca="false">IF(ABS(t-ROUND(t,0))&lt;0.001,pos_x,NA())</f>
        <v>#N/A</v>
      </c>
      <c r="AE917" s="458" t="e">
        <f aca="false">IF(t&lt;T_para, pos_z, NA())</f>
        <v>#N/A</v>
      </c>
      <c r="AF917" s="444"/>
      <c r="AG917" s="450" t="n">
        <f aca="false">IF(AND(L916&lt;L_rampe,Poussee&lt;Poids*SIN(M916)),0,(-W916+Poussee)/m-Poids*SIN(M916)/m)</f>
        <v>3.69340495301363</v>
      </c>
      <c r="AH917" s="449" t="n">
        <f aca="false">IF(AND(L916&lt;L_rampe,Poussee&lt;Poids*SIN(M916)), g*SIN(M916), (-W916+Poussee)/m)</f>
        <v>-6.02452907263839</v>
      </c>
    </row>
    <row r="918" customFormat="false" ht="12" hidden="false" customHeight="false" outlineLevel="0" collapsed="false">
      <c r="A918" s="448" t="n">
        <f aca="false">IF(B917+0.01&lt;=T_ini+ROUNDUP(Temps_fin_propu,0), 0.01, IF(K917&gt;0, 0.1, 0.0001))</f>
        <v>0.0001</v>
      </c>
      <c r="B918" s="449" t="n">
        <f aca="false">B917+pas</f>
        <v>35.7197000000009</v>
      </c>
      <c r="C918" s="432"/>
      <c r="D918" s="450" t="n">
        <f aca="false">IF(AND(L917&lt;L_rampe,Poussee&lt;Poids*SIN(M917)),0,(-W917+Poussee)/m*COS(M917)-U917/m*SIN(M917))</f>
        <v>-0.823439480668287</v>
      </c>
      <c r="E918" s="451" t="n">
        <f aca="false">IF(AND(L917&lt;L_rampe,Poussee&lt;Poids*SIN(M917)),0,(-W917+Poussee)/m*SIN(M917)+U917/m*COS(M917)-Poids/m)</f>
        <v>-3.84196973210961</v>
      </c>
      <c r="F918" s="449" t="n">
        <f aca="false">SQRT(acc_x^2+acc_z^2)</f>
        <v>3.92922180600302</v>
      </c>
      <c r="G918" s="450" t="n">
        <f aca="false">G917+acc_x*pas</f>
        <v>18.8934380628032</v>
      </c>
      <c r="H918" s="451" t="n">
        <f aca="false">H917+acc_z*pas</f>
        <v>-136.934675425012</v>
      </c>
      <c r="I918" s="449" t="n">
        <f aca="false">SQRT(vit_x^2+vit_z^2)</f>
        <v>138.231933125405</v>
      </c>
      <c r="J918" s="450" t="n">
        <f aca="false">J917+0.5*(vit_x+G917)*pas*(K917&gt;=0)</f>
        <v>1017.12580762709</v>
      </c>
      <c r="K918" s="451" t="n">
        <f aca="false">K917+0.5*(vit_z+H917)*pas</f>
        <v>-15.1131868627676</v>
      </c>
      <c r="L918" s="449" t="n">
        <f aca="false">SQRT(pos_x^2+pos_z^2)</f>
        <v>1017.23808273098</v>
      </c>
      <c r="M918" s="450" t="n">
        <f aca="false">IF(AND(L917&gt;L_rampe,G918&gt;0),ATAN2(G918,H918),$M$4)</f>
        <v>-1.43368789509123</v>
      </c>
      <c r="N918" s="449" t="n">
        <f aca="false">DEGREES(Beta)</f>
        <v>-82.1442655277221</v>
      </c>
      <c r="O918" s="438"/>
      <c r="P918" s="452" t="n">
        <f aca="false">MATCH(t-pas/2-T_ini,CdP_t)</f>
        <v>23</v>
      </c>
      <c r="Q918" s="449" t="n">
        <f aca="false">(INDEX(CdP,2,i_P+1)-INDEX(CdP,2,i_P+0))/(INDEX(CdP,1,i_P+1)-INDEX(CdP,1,i_P+0))*(t-pas/2-T_ini-INDEX(CdP,1,i_P+0))+INDEX(CdP,2,i_P+0)</f>
        <v>0</v>
      </c>
      <c r="R918" s="450" t="n">
        <f aca="false">Poussee/(g*ISP)</f>
        <v>0</v>
      </c>
      <c r="S918" s="451" t="n">
        <f aca="false">S917-Débit*pas</f>
        <v>8.652</v>
      </c>
      <c r="T918" s="449" t="n">
        <f aca="false">m*g</f>
        <v>84.87612</v>
      </c>
      <c r="U918" s="453" t="n">
        <f aca="false">IF(pos_xz&lt;L_rampe,Poids*COS(Beta),0)</f>
        <v>0</v>
      </c>
      <c r="V918" s="450" t="n">
        <f aca="false">Rho_moyen*(20000-Alt_rampe-pos_z)/(20000+Alt_rampe+pos_z)</f>
        <v>1.22685276545021</v>
      </c>
      <c r="W918" s="449" t="n">
        <f aca="false">1/2*Rho*Sref*Cx*vit_xz^2</f>
        <v>52.1249253725098</v>
      </c>
      <c r="X918" s="438"/>
      <c r="Y918" s="454" t="str">
        <f aca="false">IF(AND(pos_z&lt;=0,K917&gt;0),"Impact balistique","") &amp; IF(AND(H919&lt;0,vit_z&gt;=0),"Apogée","") &amp; IF(AND(Poussee=0,Q917&gt;0),"Fin de propulsion","") &amp; IF(AND(L919&gt;L_rampe,pos_xz&lt;=L_rampe),"Sortie de rampe","")</f>
        <v/>
      </c>
      <c r="Z918" s="455" t="str">
        <f aca="false">IF(ABS(t-T_para)&lt;pas/2,"Para","")</f>
        <v/>
      </c>
      <c r="AA918" s="456" t="str">
        <f aca="false">IF(ABS(t-T_satellite)&lt;pas/2,"Satellite","")</f>
        <v/>
      </c>
      <c r="AB918" s="444"/>
      <c r="AC918" s="452" t="e">
        <f aca="false">IF(ABS(t-ROUND(t,0))&lt;0.001,t,NA())</f>
        <v>#N/A</v>
      </c>
      <c r="AD918" s="457" t="e">
        <f aca="false">IF(ABS(t-ROUND(t,0))&lt;0.001,pos_x,NA())</f>
        <v>#N/A</v>
      </c>
      <c r="AE918" s="458" t="e">
        <f aca="false">IF(t&lt;T_para, pos_z, NA())</f>
        <v>#N/A</v>
      </c>
      <c r="AF918" s="444"/>
      <c r="AG918" s="450" t="n">
        <f aca="false">IF(AND(L917&lt;L_rampe,Poussee&lt;Poids*SIN(M917)),0,(-W917+Poussee)/m-Poids*SIN(M917)/m)</f>
        <v>3.69336580995689</v>
      </c>
      <c r="AH918" s="449" t="n">
        <f aca="false">IF(AND(L917&lt;L_rampe,Poussee&lt;Poids*SIN(M917)), g*SIN(M917), (-W917+Poussee)/m)</f>
        <v>-6.02456951630398</v>
      </c>
    </row>
    <row r="919" customFormat="false" ht="12" hidden="false" customHeight="false" outlineLevel="0" collapsed="false">
      <c r="A919" s="448" t="n">
        <f aca="false">IF(B918+0.01&lt;=T_ini+ROUNDUP(Temps_fin_propu,0), 0.01, IF(K918&gt;0, 0.1, 0.0001))</f>
        <v>0.0001</v>
      </c>
      <c r="B919" s="449" t="n">
        <f aca="false">B918+pas</f>
        <v>35.7198000000009</v>
      </c>
      <c r="C919" s="432"/>
      <c r="D919" s="450" t="n">
        <f aca="false">IF(AND(L918&lt;L_rampe,Poussee&lt;Poids*SIN(M918)),0,(-W918+Poussee)/m*COS(M918)-U918/m*SIN(M918))</f>
        <v>-0.823439219543176</v>
      </c>
      <c r="E919" s="451" t="n">
        <f aca="false">IF(AND(L918&lt;L_rampe,Poussee&lt;Poids*SIN(M918)),0,(-W918+Poussee)/m*SIN(M918)+U918/m*COS(M918)-Poids/m)</f>
        <v>-3.84192886940132</v>
      </c>
      <c r="F919" s="449" t="n">
        <f aca="false">SQRT(acc_x^2+acc_z^2)</f>
        <v>3.92918179597498</v>
      </c>
      <c r="G919" s="450" t="n">
        <f aca="false">G918+acc_x*pas</f>
        <v>18.8933557188812</v>
      </c>
      <c r="H919" s="451" t="n">
        <f aca="false">H918+acc_z*pas</f>
        <v>-136.935059617899</v>
      </c>
      <c r="I919" s="449" t="n">
        <f aca="false">SQRT(vit_x^2+vit_z^2)</f>
        <v>138.232302458137</v>
      </c>
      <c r="J919" s="450" t="n">
        <f aca="false">J918+0.5*(vit_x+G918)*pas*(K918&gt;=0)</f>
        <v>1017.12580762709</v>
      </c>
      <c r="K919" s="451" t="n">
        <f aca="false">K918+0.5*(vit_z+H918)*pas</f>
        <v>-15.1268803495198</v>
      </c>
      <c r="L919" s="449" t="n">
        <f aca="false">SQRT(pos_x^2+pos_z^2)</f>
        <v>1017.23828626835</v>
      </c>
      <c r="M919" s="450" t="n">
        <f aca="false">IF(AND(L918&gt;L_rampe,G919&gt;0),ATAN2(G919,H919),$M$4)</f>
        <v>-1.43368886506966</v>
      </c>
      <c r="N919" s="449" t="n">
        <f aca="false">DEGREES(Beta)</f>
        <v>-82.1443211033926</v>
      </c>
      <c r="O919" s="438"/>
      <c r="P919" s="452" t="n">
        <f aca="false">MATCH(t-pas/2-T_ini,CdP_t)</f>
        <v>23</v>
      </c>
      <c r="Q919" s="449" t="n">
        <f aca="false">(INDEX(CdP,2,i_P+1)-INDEX(CdP,2,i_P+0))/(INDEX(CdP,1,i_P+1)-INDEX(CdP,1,i_P+0))*(t-pas/2-T_ini-INDEX(CdP,1,i_P+0))+INDEX(CdP,2,i_P+0)</f>
        <v>0</v>
      </c>
      <c r="R919" s="450" t="n">
        <f aca="false">Poussee/(g*ISP)</f>
        <v>0</v>
      </c>
      <c r="S919" s="451" t="n">
        <f aca="false">S918-Débit*pas</f>
        <v>8.652</v>
      </c>
      <c r="T919" s="449" t="n">
        <f aca="false">m*g</f>
        <v>84.87612</v>
      </c>
      <c r="U919" s="453" t="n">
        <f aca="false">IF(pos_xz&lt;L_rampe,Poids*COS(Beta),0)</f>
        <v>0</v>
      </c>
      <c r="V919" s="450" t="n">
        <f aca="false">Rho_moyen*(20000-Alt_rampe-pos_z)/(20000+Alt_rampe+pos_z)</f>
        <v>1.22685444544153</v>
      </c>
      <c r="W919" s="449" t="n">
        <f aca="false">1/2*Rho*Sref*Cx*vit_xz^2</f>
        <v>52.1252752888107</v>
      </c>
      <c r="X919" s="438"/>
      <c r="Y919" s="454" t="str">
        <f aca="false">IF(AND(pos_z&lt;=0,K918&gt;0),"Impact balistique","") &amp; IF(AND(H920&lt;0,vit_z&gt;=0),"Apogée","") &amp; IF(AND(Poussee=0,Q918&gt;0),"Fin de propulsion","") &amp; IF(AND(L920&gt;L_rampe,pos_xz&lt;=L_rampe),"Sortie de rampe","")</f>
        <v/>
      </c>
      <c r="Z919" s="455" t="str">
        <f aca="false">IF(ABS(t-T_para)&lt;pas/2,"Para","")</f>
        <v/>
      </c>
      <c r="AA919" s="456" t="str">
        <f aca="false">IF(ABS(t-T_satellite)&lt;pas/2,"Satellite","")</f>
        <v/>
      </c>
      <c r="AB919" s="444"/>
      <c r="AC919" s="452" t="e">
        <f aca="false">IF(ABS(t-ROUND(t,0))&lt;0.001,t,NA())</f>
        <v>#N/A</v>
      </c>
      <c r="AD919" s="457" t="e">
        <f aca="false">IF(ABS(t-ROUND(t,0))&lt;0.001,pos_x,NA())</f>
        <v>#N/A</v>
      </c>
      <c r="AE919" s="458" t="e">
        <f aca="false">IF(t&lt;T_para, pos_z, NA())</f>
        <v>#N/A</v>
      </c>
      <c r="AF919" s="444"/>
      <c r="AG919" s="450" t="n">
        <f aca="false">IF(AND(L918&lt;L_rampe,Poussee&lt;Poids*SIN(M918)),0,(-W918+Poussee)/m-Poids*SIN(M918)/m)</f>
        <v>3.69332666701094</v>
      </c>
      <c r="AH919" s="449" t="n">
        <f aca="false">IF(AND(L918&lt;L_rampe,Poussee&lt;Poids*SIN(M918)), g*SIN(M918), (-W918+Poussee)/m)</f>
        <v>-6.02460995983701</v>
      </c>
    </row>
    <row r="920" customFormat="false" ht="12" hidden="false" customHeight="false" outlineLevel="0" collapsed="false">
      <c r="A920" s="448" t="n">
        <f aca="false">IF(B919+0.01&lt;=T_ini+ROUNDUP(Temps_fin_propu,0), 0.01, IF(K919&gt;0, 0.1, 0.0001))</f>
        <v>0.0001</v>
      </c>
      <c r="B920" s="449" t="n">
        <f aca="false">B919+pas</f>
        <v>35.7199000000009</v>
      </c>
      <c r="C920" s="432"/>
      <c r="D920" s="450" t="n">
        <f aca="false">IF(AND(L919&lt;L_rampe,Poussee&lt;Poids*SIN(M919)),0,(-W919+Poussee)/m*COS(M919)-U919/m*SIN(M919))</f>
        <v>-0.823438958377612</v>
      </c>
      <c r="E920" s="451" t="n">
        <f aca="false">IF(AND(L919&lt;L_rampe,Poussee&lt;Poids*SIN(M919)),0,(-W919+Poussee)/m*SIN(M919)+U919/m*COS(M919)-Poids/m)</f>
        <v>-3.84188800682699</v>
      </c>
      <c r="F920" s="449" t="n">
        <f aca="false">SQRT(acc_x^2+acc_z^2)</f>
        <v>3.92914178608701</v>
      </c>
      <c r="G920" s="450" t="n">
        <f aca="false">G919+acc_x*pas</f>
        <v>18.8932733749854</v>
      </c>
      <c r="H920" s="451" t="n">
        <f aca="false">H919+acc_z*pas</f>
        <v>-136.9354438067</v>
      </c>
      <c r="I920" s="449" t="n">
        <f aca="false">SQRT(vit_x^2+vit_z^2)</f>
        <v>138.232671786954</v>
      </c>
      <c r="J920" s="450" t="n">
        <f aca="false">J919+0.5*(vit_x+G919)*pas*(K919&gt;=0)</f>
        <v>1017.12580762709</v>
      </c>
      <c r="K920" s="451" t="n">
        <f aca="false">K919+0.5*(vit_z+H919)*pas</f>
        <v>-15.140573874691</v>
      </c>
      <c r="L920" s="449" t="n">
        <f aca="false">SQRT(pos_x^2+pos_z^2)</f>
        <v>1017.23848999058</v>
      </c>
      <c r="M920" s="450" t="n">
        <f aca="false">IF(AND(L919&gt;L_rampe,G920&gt;0),ATAN2(G920,H920),$M$4)</f>
        <v>-1.43368983503868</v>
      </c>
      <c r="N920" s="449" t="n">
        <f aca="false">DEGREES(Beta)</f>
        <v>-82.1443766785238</v>
      </c>
      <c r="O920" s="438"/>
      <c r="P920" s="452" t="n">
        <f aca="false">MATCH(t-pas/2-T_ini,CdP_t)</f>
        <v>23</v>
      </c>
      <c r="Q920" s="449" t="n">
        <f aca="false">(INDEX(CdP,2,i_P+1)-INDEX(CdP,2,i_P+0))/(INDEX(CdP,1,i_P+1)-INDEX(CdP,1,i_P+0))*(t-pas/2-T_ini-INDEX(CdP,1,i_P+0))+INDEX(CdP,2,i_P+0)</f>
        <v>0</v>
      </c>
      <c r="R920" s="450" t="n">
        <f aca="false">Poussee/(g*ISP)</f>
        <v>0</v>
      </c>
      <c r="S920" s="451" t="n">
        <f aca="false">S919-Débit*pas</f>
        <v>8.652</v>
      </c>
      <c r="T920" s="449" t="n">
        <f aca="false">m*g</f>
        <v>84.87612</v>
      </c>
      <c r="U920" s="453" t="n">
        <f aca="false">IF(pos_xz&lt;L_rampe,Poids*COS(Beta),0)</f>
        <v>0</v>
      </c>
      <c r="V920" s="450" t="n">
        <f aca="false">Rho_moyen*(20000-Alt_rampe-pos_z)/(20000+Alt_rampe+pos_z)</f>
        <v>1.22685612543987</v>
      </c>
      <c r="W920" s="449" t="n">
        <f aca="false">1/2*Rho*Sref*Cx*vit_xz^2</f>
        <v>52.1256252039647</v>
      </c>
      <c r="X920" s="438"/>
      <c r="Y920" s="454" t="str">
        <f aca="false">IF(AND(pos_z&lt;=0,K919&gt;0),"Impact balistique","") &amp; IF(AND(H921&lt;0,vit_z&gt;=0),"Apogée","") &amp; IF(AND(Poussee=0,Q919&gt;0),"Fin de propulsion","") &amp; IF(AND(L921&gt;L_rampe,pos_xz&lt;=L_rampe),"Sortie de rampe","")</f>
        <v/>
      </c>
      <c r="Z920" s="455" t="str">
        <f aca="false">IF(ABS(t-T_para)&lt;pas/2,"Para","")</f>
        <v/>
      </c>
      <c r="AA920" s="456" t="str">
        <f aca="false">IF(ABS(t-T_satellite)&lt;pas/2,"Satellite","")</f>
        <v/>
      </c>
      <c r="AB920" s="444"/>
      <c r="AC920" s="452" t="e">
        <f aca="false">IF(ABS(t-ROUND(t,0))&lt;0.001,t,NA())</f>
        <v>#N/A</v>
      </c>
      <c r="AD920" s="457" t="e">
        <f aca="false">IF(ABS(t-ROUND(t,0))&lt;0.001,pos_x,NA())</f>
        <v>#N/A</v>
      </c>
      <c r="AE920" s="458" t="e">
        <f aca="false">IF(t&lt;T_para, pos_z, NA())</f>
        <v>#N/A</v>
      </c>
      <c r="AF920" s="444"/>
      <c r="AG920" s="450" t="n">
        <f aca="false">IF(AND(L919&lt;L_rampe,Poussee&lt;Poids*SIN(M919)),0,(-W919+Poussee)/m-Poids*SIN(M919)/m)</f>
        <v>3.6932875241758</v>
      </c>
      <c r="AH920" s="449" t="n">
        <f aca="false">IF(AND(L919&lt;L_rampe,Poussee&lt;Poids*SIN(M919)), g*SIN(M919), (-W919+Poussee)/m)</f>
        <v>-6.02465040323748</v>
      </c>
    </row>
    <row r="921" customFormat="false" ht="12" hidden="false" customHeight="false" outlineLevel="0" collapsed="false">
      <c r="A921" s="448" t="n">
        <f aca="false">IF(B920+0.01&lt;=T_ini+ROUNDUP(Temps_fin_propu,0), 0.01, IF(K920&gt;0, 0.1, 0.0001))</f>
        <v>0.0001</v>
      </c>
      <c r="B921" s="449" t="n">
        <f aca="false">B920+pas</f>
        <v>35.7200000000009</v>
      </c>
      <c r="C921" s="432"/>
      <c r="D921" s="450" t="n">
        <f aca="false">IF(AND(L920&lt;L_rampe,Poussee&lt;Poids*SIN(M920)),0,(-W920+Poussee)/m*COS(M920)-U920/m*SIN(M920))</f>
        <v>-0.823438697171599</v>
      </c>
      <c r="E921" s="451" t="n">
        <f aca="false">IF(AND(L920&lt;L_rampe,Poussee&lt;Poids*SIN(M920)),0,(-W920+Poussee)/m*SIN(M920)+U920/m*COS(M920)-Poids/m)</f>
        <v>-3.84184714438661</v>
      </c>
      <c r="F921" s="449" t="n">
        <f aca="false">SQRT(acc_x^2+acc_z^2)</f>
        <v>3.92910177633912</v>
      </c>
      <c r="G921" s="450" t="n">
        <f aca="false">G920+acc_x*pas</f>
        <v>18.8931910311157</v>
      </c>
      <c r="H921" s="451" t="n">
        <f aca="false">H920+acc_z*pas</f>
        <v>-136.935827991414</v>
      </c>
      <c r="I921" s="449" t="n">
        <f aca="false">SQRT(vit_x^2+vit_z^2)</f>
        <v>138.233041111857</v>
      </c>
      <c r="J921" s="450" t="n">
        <f aca="false">J920+0.5*(vit_x+G920)*pas*(K920&gt;=0)</f>
        <v>1017.12580762709</v>
      </c>
      <c r="K921" s="451" t="n">
        <f aca="false">K920+0.5*(vit_z+H920)*pas</f>
        <v>-15.1542674382809</v>
      </c>
      <c r="L921" s="449" t="n">
        <f aca="false">SQRT(pos_x^2+pos_z^2)</f>
        <v>1017.23869389768</v>
      </c>
      <c r="M921" s="450" t="n">
        <f aca="false">IF(AND(L920&gt;L_rampe,G921&gt;0),ATAN2(G921,H921),$M$4)</f>
        <v>-1.4336908049983</v>
      </c>
      <c r="N921" s="449" t="n">
        <f aca="false">DEGREES(Beta)</f>
        <v>-82.1444322531159</v>
      </c>
      <c r="O921" s="438"/>
      <c r="P921" s="452" t="n">
        <f aca="false">MATCH(t-pas/2-T_ini,CdP_t)</f>
        <v>23</v>
      </c>
      <c r="Q921" s="449" t="n">
        <f aca="false">(INDEX(CdP,2,i_P+1)-INDEX(CdP,2,i_P+0))/(INDEX(CdP,1,i_P+1)-INDEX(CdP,1,i_P+0))*(t-pas/2-T_ini-INDEX(CdP,1,i_P+0))+INDEX(CdP,2,i_P+0)</f>
        <v>0</v>
      </c>
      <c r="R921" s="450" t="n">
        <f aca="false">Poussee/(g*ISP)</f>
        <v>0</v>
      </c>
      <c r="S921" s="451" t="n">
        <f aca="false">S920-Débit*pas</f>
        <v>8.652</v>
      </c>
      <c r="T921" s="449" t="n">
        <f aca="false">m*g</f>
        <v>84.87612</v>
      </c>
      <c r="U921" s="453" t="n">
        <f aca="false">IF(pos_xz&lt;L_rampe,Poids*COS(Beta),0)</f>
        <v>0</v>
      </c>
      <c r="V921" s="450" t="n">
        <f aca="false">Rho_moyen*(20000-Alt_rampe-pos_z)/(20000+Alt_rampe+pos_z)</f>
        <v>1.22685780544522</v>
      </c>
      <c r="W921" s="449" t="n">
        <f aca="false">1/2*Rho*Sref*Cx*vit_xz^2</f>
        <v>52.1259751179717</v>
      </c>
      <c r="X921" s="438"/>
      <c r="Y921" s="454" t="str">
        <f aca="false">IF(AND(pos_z&lt;=0,K920&gt;0),"Impact balistique","") &amp; IF(AND(H922&lt;0,vit_z&gt;=0),"Apogée","") &amp; IF(AND(Poussee=0,Q920&gt;0),"Fin de propulsion","") &amp; IF(AND(L922&gt;L_rampe,pos_xz&lt;=L_rampe),"Sortie de rampe","")</f>
        <v/>
      </c>
      <c r="Z921" s="455" t="str">
        <f aca="false">IF(ABS(t-T_para)&lt;pas/2,"Para","")</f>
        <v/>
      </c>
      <c r="AA921" s="456" t="str">
        <f aca="false">IF(ABS(t-T_satellite)&lt;pas/2,"Satellite","")</f>
        <v/>
      </c>
      <c r="AB921" s="444"/>
      <c r="AC921" s="452" t="e">
        <f aca="false">IF(ABS(t-ROUND(t,0))&lt;0.001,t,NA())</f>
        <v>#N/A</v>
      </c>
      <c r="AD921" s="457" t="e">
        <f aca="false">IF(ABS(t-ROUND(t,0))&lt;0.001,pos_x,NA())</f>
        <v>#N/A</v>
      </c>
      <c r="AE921" s="458" t="e">
        <f aca="false">IF(t&lt;T_para, pos_z, NA())</f>
        <v>#N/A</v>
      </c>
      <c r="AF921" s="444"/>
      <c r="AG921" s="450" t="n">
        <f aca="false">IF(AND(L920&lt;L_rampe,Poussee&lt;Poids*SIN(M920)),0,(-W920+Poussee)/m-Poids*SIN(M920)/m)</f>
        <v>3.69324838145145</v>
      </c>
      <c r="AH921" s="449" t="n">
        <f aca="false">IF(AND(L920&lt;L_rampe,Poussee&lt;Poids*SIN(M920)), g*SIN(M920), (-W920+Poussee)/m)</f>
        <v>-6.0246908465054</v>
      </c>
    </row>
    <row r="922" customFormat="false" ht="12" hidden="false" customHeight="false" outlineLevel="0" collapsed="false">
      <c r="A922" s="448" t="n">
        <f aca="false">IF(B921+0.01&lt;=T_ini+ROUNDUP(Temps_fin_propu,0), 0.01, IF(K921&gt;0, 0.1, 0.0001))</f>
        <v>0.0001</v>
      </c>
      <c r="B922" s="449" t="n">
        <f aca="false">B921+pas</f>
        <v>35.7201000000009</v>
      </c>
      <c r="C922" s="432"/>
      <c r="D922" s="450" t="n">
        <f aca="false">IF(AND(L921&lt;L_rampe,Poussee&lt;Poids*SIN(M921)),0,(-W921+Poussee)/m*COS(M921)-U921/m*SIN(M921))</f>
        <v>-0.823438435925135</v>
      </c>
      <c r="E922" s="451" t="n">
        <f aca="false">IF(AND(L921&lt;L_rampe,Poussee&lt;Poids*SIN(M921)),0,(-W921+Poussee)/m*SIN(M921)+U921/m*COS(M921)-Poids/m)</f>
        <v>-3.8418062820802</v>
      </c>
      <c r="F922" s="449" t="n">
        <f aca="false">SQRT(acc_x^2+acc_z^2)</f>
        <v>3.9290617667313</v>
      </c>
      <c r="G922" s="450" t="n">
        <f aca="false">G921+acc_x*pas</f>
        <v>18.8931086872721</v>
      </c>
      <c r="H922" s="451" t="n">
        <f aca="false">H921+acc_z*pas</f>
        <v>-136.936212172042</v>
      </c>
      <c r="I922" s="449" t="n">
        <f aca="false">SQRT(vit_x^2+vit_z^2)</f>
        <v>138.233410432846</v>
      </c>
      <c r="J922" s="450" t="n">
        <f aca="false">J921+0.5*(vit_x+G921)*pas*(K921&gt;=0)</f>
        <v>1017.12580762709</v>
      </c>
      <c r="K922" s="451" t="n">
        <f aca="false">K921+0.5*(vit_z+H921)*pas</f>
        <v>-15.1679610402891</v>
      </c>
      <c r="L922" s="449" t="n">
        <f aca="false">SQRT(pos_x^2+pos_z^2)</f>
        <v>1017.23889798964</v>
      </c>
      <c r="M922" s="450" t="n">
        <f aca="false">IF(AND(L921&gt;L_rampe,G922&gt;0),ATAN2(G922,H922),$M$4)</f>
        <v>-1.4336917749485</v>
      </c>
      <c r="N922" s="449" t="n">
        <f aca="false">DEGREES(Beta)</f>
        <v>-82.1444878271688</v>
      </c>
      <c r="O922" s="438"/>
      <c r="P922" s="452" t="n">
        <f aca="false">MATCH(t-pas/2-T_ini,CdP_t)</f>
        <v>23</v>
      </c>
      <c r="Q922" s="449" t="n">
        <f aca="false">(INDEX(CdP,2,i_P+1)-INDEX(CdP,2,i_P+0))/(INDEX(CdP,1,i_P+1)-INDEX(CdP,1,i_P+0))*(t-pas/2-T_ini-INDEX(CdP,1,i_P+0))+INDEX(CdP,2,i_P+0)</f>
        <v>0</v>
      </c>
      <c r="R922" s="450" t="n">
        <f aca="false">Poussee/(g*ISP)</f>
        <v>0</v>
      </c>
      <c r="S922" s="451" t="n">
        <f aca="false">S921-Débit*pas</f>
        <v>8.652</v>
      </c>
      <c r="T922" s="449" t="n">
        <f aca="false">m*g</f>
        <v>84.87612</v>
      </c>
      <c r="U922" s="453" t="n">
        <f aca="false">IF(pos_xz&lt;L_rampe,Poids*COS(Beta),0)</f>
        <v>0</v>
      </c>
      <c r="V922" s="450" t="n">
        <f aca="false">Rho_moyen*(20000-Alt_rampe-pos_z)/(20000+Alt_rampe+pos_z)</f>
        <v>1.22685948545758</v>
      </c>
      <c r="W922" s="449" t="n">
        <f aca="false">1/2*Rho*Sref*Cx*vit_xz^2</f>
        <v>52.1263250308318</v>
      </c>
      <c r="X922" s="438"/>
      <c r="Y922" s="454" t="str">
        <f aca="false">IF(AND(pos_z&lt;=0,K921&gt;0),"Impact balistique","") &amp; IF(AND(H923&lt;0,vit_z&gt;=0),"Apogée","") &amp; IF(AND(Poussee=0,Q921&gt;0),"Fin de propulsion","") &amp; IF(AND(L923&gt;L_rampe,pos_xz&lt;=L_rampe),"Sortie de rampe","")</f>
        <v/>
      </c>
      <c r="Z922" s="455" t="str">
        <f aca="false">IF(ABS(t-T_para)&lt;pas/2,"Para","")</f>
        <v/>
      </c>
      <c r="AA922" s="456" t="str">
        <f aca="false">IF(ABS(t-T_satellite)&lt;pas/2,"Satellite","")</f>
        <v/>
      </c>
      <c r="AB922" s="444"/>
      <c r="AC922" s="452" t="e">
        <f aca="false">IF(ABS(t-ROUND(t,0))&lt;0.001,t,NA())</f>
        <v>#N/A</v>
      </c>
      <c r="AD922" s="457" t="e">
        <f aca="false">IF(ABS(t-ROUND(t,0))&lt;0.001,pos_x,NA())</f>
        <v>#N/A</v>
      </c>
      <c r="AE922" s="458" t="e">
        <f aca="false">IF(t&lt;T_para, pos_z, NA())</f>
        <v>#N/A</v>
      </c>
      <c r="AF922" s="444"/>
      <c r="AG922" s="450" t="n">
        <f aca="false">IF(AND(L921&lt;L_rampe,Poussee&lt;Poids*SIN(M921)),0,(-W921+Poussee)/m-Poids*SIN(M921)/m)</f>
        <v>3.69320923883791</v>
      </c>
      <c r="AH922" s="449" t="n">
        <f aca="false">IF(AND(L921&lt;L_rampe,Poussee&lt;Poids*SIN(M921)), g*SIN(M921), (-W921+Poussee)/m)</f>
        <v>-6.02473128964075</v>
      </c>
    </row>
    <row r="923" customFormat="false" ht="12" hidden="false" customHeight="false" outlineLevel="0" collapsed="false">
      <c r="A923" s="448" t="n">
        <f aca="false">IF(B922+0.01&lt;=T_ini+ROUNDUP(Temps_fin_propu,0), 0.01, IF(K922&gt;0, 0.1, 0.0001))</f>
        <v>0.0001</v>
      </c>
      <c r="B923" s="449" t="n">
        <f aca="false">B922+pas</f>
        <v>35.7202000000009</v>
      </c>
      <c r="C923" s="432"/>
      <c r="D923" s="450" t="n">
        <f aca="false">IF(AND(L922&lt;L_rampe,Poussee&lt;Poids*SIN(M922)),0,(-W922+Poussee)/m*COS(M922)-U922/m*SIN(M922))</f>
        <v>-0.823438174638221</v>
      </c>
      <c r="E923" s="451" t="n">
        <f aca="false">IF(AND(L922&lt;L_rampe,Poussee&lt;Poids*SIN(M922)),0,(-W922+Poussee)/m*SIN(M922)+U922/m*COS(M922)-Poids/m)</f>
        <v>-3.84176541990774</v>
      </c>
      <c r="F923" s="449" t="n">
        <f aca="false">SQRT(acc_x^2+acc_z^2)</f>
        <v>3.92902175726356</v>
      </c>
      <c r="G923" s="450" t="n">
        <f aca="false">G922+acc_x*pas</f>
        <v>18.8930263434546</v>
      </c>
      <c r="H923" s="451" t="n">
        <f aca="false">H922+acc_z*pas</f>
        <v>-136.936596348584</v>
      </c>
      <c r="I923" s="449" t="n">
        <f aca="false">SQRT(vit_x^2+vit_z^2)</f>
        <v>138.233779749921</v>
      </c>
      <c r="J923" s="450" t="n">
        <f aca="false">J922+0.5*(vit_x+G922)*pas*(K922&gt;=0)</f>
        <v>1017.12580762709</v>
      </c>
      <c r="K923" s="451" t="n">
        <f aca="false">K922+0.5*(vit_z+H922)*pas</f>
        <v>-15.1816546807151</v>
      </c>
      <c r="L923" s="449" t="n">
        <f aca="false">SQRT(pos_x^2+pos_z^2)</f>
        <v>1017.23910226647</v>
      </c>
      <c r="M923" s="450" t="n">
        <f aca="false">IF(AND(L922&gt;L_rampe,G923&gt;0),ATAN2(G923,H923),$M$4)</f>
        <v>-1.43369274488929</v>
      </c>
      <c r="N923" s="449" t="n">
        <f aca="false">DEGREES(Beta)</f>
        <v>-82.1445434006826</v>
      </c>
      <c r="O923" s="438"/>
      <c r="P923" s="452" t="n">
        <f aca="false">MATCH(t-pas/2-T_ini,CdP_t)</f>
        <v>23</v>
      </c>
      <c r="Q923" s="449" t="n">
        <f aca="false">(INDEX(CdP,2,i_P+1)-INDEX(CdP,2,i_P+0))/(INDEX(CdP,1,i_P+1)-INDEX(CdP,1,i_P+0))*(t-pas/2-T_ini-INDEX(CdP,1,i_P+0))+INDEX(CdP,2,i_P+0)</f>
        <v>0</v>
      </c>
      <c r="R923" s="450" t="n">
        <f aca="false">Poussee/(g*ISP)</f>
        <v>0</v>
      </c>
      <c r="S923" s="451" t="n">
        <f aca="false">S922-Débit*pas</f>
        <v>8.652</v>
      </c>
      <c r="T923" s="449" t="n">
        <f aca="false">m*g</f>
        <v>84.87612</v>
      </c>
      <c r="U923" s="453" t="n">
        <f aca="false">IF(pos_xz&lt;L_rampe,Poids*COS(Beta),0)</f>
        <v>0</v>
      </c>
      <c r="V923" s="450" t="n">
        <f aca="false">Rho_moyen*(20000-Alt_rampe-pos_z)/(20000+Alt_rampe+pos_z)</f>
        <v>1.22686116547697</v>
      </c>
      <c r="W923" s="449" t="n">
        <f aca="false">1/2*Rho*Sref*Cx*vit_xz^2</f>
        <v>52.1266749425449</v>
      </c>
      <c r="X923" s="438"/>
      <c r="Y923" s="454" t="str">
        <f aca="false">IF(AND(pos_z&lt;=0,K922&gt;0),"Impact balistique","") &amp; IF(AND(H924&lt;0,vit_z&gt;=0),"Apogée","") &amp; IF(AND(Poussee=0,Q922&gt;0),"Fin de propulsion","") &amp; IF(AND(L924&gt;L_rampe,pos_xz&lt;=L_rampe),"Sortie de rampe","")</f>
        <v/>
      </c>
      <c r="Z923" s="455" t="str">
        <f aca="false">IF(ABS(t-T_para)&lt;pas/2,"Para","")</f>
        <v/>
      </c>
      <c r="AA923" s="456" t="str">
        <f aca="false">IF(ABS(t-T_satellite)&lt;pas/2,"Satellite","")</f>
        <v/>
      </c>
      <c r="AB923" s="444"/>
      <c r="AC923" s="452" t="e">
        <f aca="false">IF(ABS(t-ROUND(t,0))&lt;0.001,t,NA())</f>
        <v>#N/A</v>
      </c>
      <c r="AD923" s="457" t="e">
        <f aca="false">IF(ABS(t-ROUND(t,0))&lt;0.001,pos_x,NA())</f>
        <v>#N/A</v>
      </c>
      <c r="AE923" s="458" t="e">
        <f aca="false">IF(t&lt;T_para, pos_z, NA())</f>
        <v>#N/A</v>
      </c>
      <c r="AF923" s="444"/>
      <c r="AG923" s="450" t="n">
        <f aca="false">IF(AND(L922&lt;L_rampe,Poussee&lt;Poids*SIN(M922)),0,(-W922+Poussee)/m-Poids*SIN(M922)/m)</f>
        <v>3.69317009633517</v>
      </c>
      <c r="AH923" s="449" t="n">
        <f aca="false">IF(AND(L922&lt;L_rampe,Poussee&lt;Poids*SIN(M922)), g*SIN(M922), (-W922+Poussee)/m)</f>
        <v>-6.02477173264353</v>
      </c>
    </row>
    <row r="924" customFormat="false" ht="12" hidden="false" customHeight="false" outlineLevel="0" collapsed="false">
      <c r="A924" s="448" t="n">
        <f aca="false">IF(B923+0.01&lt;=T_ini+ROUNDUP(Temps_fin_propu,0), 0.01, IF(K923&gt;0, 0.1, 0.0001))</f>
        <v>0.0001</v>
      </c>
      <c r="B924" s="449" t="n">
        <f aca="false">B923+pas</f>
        <v>35.7203000000009</v>
      </c>
      <c r="C924" s="432"/>
      <c r="D924" s="450" t="n">
        <f aca="false">IF(AND(L923&lt;L_rampe,Poussee&lt;Poids*SIN(M923)),0,(-W923+Poussee)/m*COS(M923)-U923/m*SIN(M923))</f>
        <v>-0.823437913310857</v>
      </c>
      <c r="E924" s="451" t="n">
        <f aca="false">IF(AND(L923&lt;L_rampe,Poussee&lt;Poids*SIN(M923)),0,(-W923+Poussee)/m*SIN(M923)+U923/m*COS(M923)-Poids/m)</f>
        <v>-3.84172455786926</v>
      </c>
      <c r="F924" s="449" t="n">
        <f aca="false">SQRT(acc_x^2+acc_z^2)</f>
        <v>3.92898174793591</v>
      </c>
      <c r="G924" s="450" t="n">
        <f aca="false">G923+acc_x*pas</f>
        <v>18.8929439996633</v>
      </c>
      <c r="H924" s="451" t="n">
        <f aca="false">H923+acc_z*pas</f>
        <v>-136.93698052104</v>
      </c>
      <c r="I924" s="449" t="n">
        <f aca="false">SQRT(vit_x^2+vit_z^2)</f>
        <v>138.234149063081</v>
      </c>
      <c r="J924" s="450" t="n">
        <f aca="false">J923+0.5*(vit_x+G923)*pas*(K923&gt;=0)</f>
        <v>1017.12580762709</v>
      </c>
      <c r="K924" s="451" t="n">
        <f aca="false">K923+0.5*(vit_z+H923)*pas</f>
        <v>-15.1953483595586</v>
      </c>
      <c r="L924" s="449" t="n">
        <f aca="false">SQRT(pos_x^2+pos_z^2)</f>
        <v>1017.23930672818</v>
      </c>
      <c r="M924" s="450" t="n">
        <f aca="false">IF(AND(L923&gt;L_rampe,G924&gt;0),ATAN2(G924,H924),$M$4)</f>
        <v>-1.43369371482067</v>
      </c>
      <c r="N924" s="449" t="n">
        <f aca="false">DEGREES(Beta)</f>
        <v>-82.1445989736571</v>
      </c>
      <c r="O924" s="438"/>
      <c r="P924" s="452" t="n">
        <f aca="false">MATCH(t-pas/2-T_ini,CdP_t)</f>
        <v>23</v>
      </c>
      <c r="Q924" s="449" t="n">
        <f aca="false">(INDEX(CdP,2,i_P+1)-INDEX(CdP,2,i_P+0))/(INDEX(CdP,1,i_P+1)-INDEX(CdP,1,i_P+0))*(t-pas/2-T_ini-INDEX(CdP,1,i_P+0))+INDEX(CdP,2,i_P+0)</f>
        <v>0</v>
      </c>
      <c r="R924" s="450" t="n">
        <f aca="false">Poussee/(g*ISP)</f>
        <v>0</v>
      </c>
      <c r="S924" s="451" t="n">
        <f aca="false">S923-Débit*pas</f>
        <v>8.652</v>
      </c>
      <c r="T924" s="449" t="n">
        <f aca="false">m*g</f>
        <v>84.87612</v>
      </c>
      <c r="U924" s="453" t="n">
        <f aca="false">IF(pos_xz&lt;L_rampe,Poids*COS(Beta),0)</f>
        <v>0</v>
      </c>
      <c r="V924" s="450" t="n">
        <f aca="false">Rho_moyen*(20000-Alt_rampe-pos_z)/(20000+Alt_rampe+pos_z)</f>
        <v>1.22686284550336</v>
      </c>
      <c r="W924" s="449" t="n">
        <f aca="false">1/2*Rho*Sref*Cx*vit_xz^2</f>
        <v>52.1270248531109</v>
      </c>
      <c r="X924" s="438"/>
      <c r="Y924" s="454" t="str">
        <f aca="false">IF(AND(pos_z&lt;=0,K923&gt;0),"Impact balistique","") &amp; IF(AND(H925&lt;0,vit_z&gt;=0),"Apogée","") &amp; IF(AND(Poussee=0,Q923&gt;0),"Fin de propulsion","") &amp; IF(AND(L925&gt;L_rampe,pos_xz&lt;=L_rampe),"Sortie de rampe","")</f>
        <v/>
      </c>
      <c r="Z924" s="455" t="str">
        <f aca="false">IF(ABS(t-T_para)&lt;pas/2,"Para","")</f>
        <v/>
      </c>
      <c r="AA924" s="456" t="str">
        <f aca="false">IF(ABS(t-T_satellite)&lt;pas/2,"Satellite","")</f>
        <v/>
      </c>
      <c r="AB924" s="444"/>
      <c r="AC924" s="452" t="e">
        <f aca="false">IF(ABS(t-ROUND(t,0))&lt;0.001,t,NA())</f>
        <v>#N/A</v>
      </c>
      <c r="AD924" s="457" t="e">
        <f aca="false">IF(ABS(t-ROUND(t,0))&lt;0.001,pos_x,NA())</f>
        <v>#N/A</v>
      </c>
      <c r="AE924" s="458" t="e">
        <f aca="false">IF(t&lt;T_para, pos_z, NA())</f>
        <v>#N/A</v>
      </c>
      <c r="AF924" s="444"/>
      <c r="AG924" s="450" t="n">
        <f aca="false">IF(AND(L923&lt;L_rampe,Poussee&lt;Poids*SIN(M923)),0,(-W923+Poussee)/m-Poids*SIN(M923)/m)</f>
        <v>3.69313095394325</v>
      </c>
      <c r="AH924" s="449" t="n">
        <f aca="false">IF(AND(L923&lt;L_rampe,Poussee&lt;Poids*SIN(M923)), g*SIN(M923), (-W923+Poussee)/m)</f>
        <v>-6.02481217551374</v>
      </c>
    </row>
    <row r="925" customFormat="false" ht="12" hidden="false" customHeight="false" outlineLevel="0" collapsed="false">
      <c r="A925" s="448" t="n">
        <f aca="false">IF(B924+0.01&lt;=T_ini+ROUNDUP(Temps_fin_propu,0), 0.01, IF(K924&gt;0, 0.1, 0.0001))</f>
        <v>0.0001</v>
      </c>
      <c r="B925" s="449" t="n">
        <f aca="false">B924+pas</f>
        <v>35.7204000000009</v>
      </c>
      <c r="C925" s="432"/>
      <c r="D925" s="450" t="n">
        <f aca="false">IF(AND(L924&lt;L_rampe,Poussee&lt;Poids*SIN(M924)),0,(-W924+Poussee)/m*COS(M924)-U924/m*SIN(M924))</f>
        <v>-0.823437651943042</v>
      </c>
      <c r="E925" s="451" t="n">
        <f aca="false">IF(AND(L924&lt;L_rampe,Poussee&lt;Poids*SIN(M924)),0,(-W924+Poussee)/m*SIN(M924)+U924/m*COS(M924)-Poids/m)</f>
        <v>-3.84168369596475</v>
      </c>
      <c r="F925" s="449" t="n">
        <f aca="false">SQRT(acc_x^2+acc_z^2)</f>
        <v>3.92894173874834</v>
      </c>
      <c r="G925" s="450" t="n">
        <f aca="false">G924+acc_x*pas</f>
        <v>18.8928616558981</v>
      </c>
      <c r="H925" s="451" t="n">
        <f aca="false">H924+acc_z*pas</f>
        <v>-136.93736468941</v>
      </c>
      <c r="I925" s="449" t="n">
        <f aca="false">SQRT(vit_x^2+vit_z^2)</f>
        <v>138.234518372327</v>
      </c>
      <c r="J925" s="450" t="n">
        <f aca="false">J924+0.5*(vit_x+G924)*pas*(K924&gt;=0)</f>
        <v>1017.12580762709</v>
      </c>
      <c r="K925" s="451" t="n">
        <f aca="false">K924+0.5*(vit_z+H924)*pas</f>
        <v>-15.2090420768191</v>
      </c>
      <c r="L925" s="449" t="n">
        <f aca="false">SQRT(pos_x^2+pos_z^2)</f>
        <v>1017.23951137476</v>
      </c>
      <c r="M925" s="450" t="n">
        <f aca="false">IF(AND(L924&gt;L_rampe,G925&gt;0),ATAN2(G925,H925),$M$4)</f>
        <v>-1.43369468474264</v>
      </c>
      <c r="N925" s="449" t="n">
        <f aca="false">DEGREES(Beta)</f>
        <v>-82.1446545460926</v>
      </c>
      <c r="O925" s="438"/>
      <c r="P925" s="452" t="n">
        <f aca="false">MATCH(t-pas/2-T_ini,CdP_t)</f>
        <v>23</v>
      </c>
      <c r="Q925" s="449" t="n">
        <f aca="false">(INDEX(CdP,2,i_P+1)-INDEX(CdP,2,i_P+0))/(INDEX(CdP,1,i_P+1)-INDEX(CdP,1,i_P+0))*(t-pas/2-T_ini-INDEX(CdP,1,i_P+0))+INDEX(CdP,2,i_P+0)</f>
        <v>0</v>
      </c>
      <c r="R925" s="450" t="n">
        <f aca="false">Poussee/(g*ISP)</f>
        <v>0</v>
      </c>
      <c r="S925" s="451" t="n">
        <f aca="false">S924-Débit*pas</f>
        <v>8.652</v>
      </c>
      <c r="T925" s="449" t="n">
        <f aca="false">m*g</f>
        <v>84.87612</v>
      </c>
      <c r="U925" s="453" t="n">
        <f aca="false">IF(pos_xz&lt;L_rampe,Poids*COS(Beta),0)</f>
        <v>0</v>
      </c>
      <c r="V925" s="450" t="n">
        <f aca="false">Rho_moyen*(20000-Alt_rampe-pos_z)/(20000+Alt_rampe+pos_z)</f>
        <v>1.22686452553678</v>
      </c>
      <c r="W925" s="449" t="n">
        <f aca="false">1/2*Rho*Sref*Cx*vit_xz^2</f>
        <v>52.12737476253</v>
      </c>
      <c r="X925" s="438"/>
      <c r="Y925" s="454" t="str">
        <f aca="false">IF(AND(pos_z&lt;=0,K924&gt;0),"Impact balistique","") &amp; IF(AND(H926&lt;0,vit_z&gt;=0),"Apogée","") &amp; IF(AND(Poussee=0,Q924&gt;0),"Fin de propulsion","") &amp; IF(AND(L926&gt;L_rampe,pos_xz&lt;=L_rampe),"Sortie de rampe","")</f>
        <v/>
      </c>
      <c r="Z925" s="455" t="str">
        <f aca="false">IF(ABS(t-T_para)&lt;pas/2,"Para","")</f>
        <v/>
      </c>
      <c r="AA925" s="456" t="str">
        <f aca="false">IF(ABS(t-T_satellite)&lt;pas/2,"Satellite","")</f>
        <v/>
      </c>
      <c r="AB925" s="444"/>
      <c r="AC925" s="452" t="e">
        <f aca="false">IF(ABS(t-ROUND(t,0))&lt;0.001,t,NA())</f>
        <v>#N/A</v>
      </c>
      <c r="AD925" s="457" t="e">
        <f aca="false">IF(ABS(t-ROUND(t,0))&lt;0.001,pos_x,NA())</f>
        <v>#N/A</v>
      </c>
      <c r="AE925" s="458" t="e">
        <f aca="false">IF(t&lt;T_para, pos_z, NA())</f>
        <v>#N/A</v>
      </c>
      <c r="AF925" s="444"/>
      <c r="AG925" s="450" t="n">
        <f aca="false">IF(AND(L924&lt;L_rampe,Poussee&lt;Poids*SIN(M924)),0,(-W924+Poussee)/m-Poids*SIN(M924)/m)</f>
        <v>3.69309181166213</v>
      </c>
      <c r="AH925" s="449" t="n">
        <f aca="false">IF(AND(L924&lt;L_rampe,Poussee&lt;Poids*SIN(M924)), g*SIN(M924), (-W924+Poussee)/m)</f>
        <v>-6.02485261825138</v>
      </c>
    </row>
    <row r="926" customFormat="false" ht="12" hidden="false" customHeight="false" outlineLevel="0" collapsed="false">
      <c r="A926" s="448" t="n">
        <f aca="false">IF(B925+0.01&lt;=T_ini+ROUNDUP(Temps_fin_propu,0), 0.01, IF(K925&gt;0, 0.1, 0.0001))</f>
        <v>0.0001</v>
      </c>
      <c r="B926" s="449" t="n">
        <f aca="false">B925+pas</f>
        <v>35.7205000000009</v>
      </c>
      <c r="C926" s="432"/>
      <c r="D926" s="450" t="n">
        <f aca="false">IF(AND(L925&lt;L_rampe,Poussee&lt;Poids*SIN(M925)),0,(-W925+Poussee)/m*COS(M925)-U925/m*SIN(M925))</f>
        <v>-0.823437390534781</v>
      </c>
      <c r="E926" s="451" t="n">
        <f aca="false">IF(AND(L925&lt;L_rampe,Poussee&lt;Poids*SIN(M925)),0,(-W925+Poussee)/m*SIN(M925)+U925/m*COS(M925)-Poids/m)</f>
        <v>-3.8416428341942</v>
      </c>
      <c r="F926" s="449" t="n">
        <f aca="false">SQRT(acc_x^2+acc_z^2)</f>
        <v>3.92890172970085</v>
      </c>
      <c r="G926" s="450" t="n">
        <f aca="false">G925+acc_x*pas</f>
        <v>18.892779312159</v>
      </c>
      <c r="H926" s="451" t="n">
        <f aca="false">H925+acc_z*pas</f>
        <v>-136.937748853693</v>
      </c>
      <c r="I926" s="449" t="n">
        <f aca="false">SQRT(vit_x^2+vit_z^2)</f>
        <v>138.234887677659</v>
      </c>
      <c r="J926" s="450" t="n">
        <f aca="false">J925+0.5*(vit_x+G925)*pas*(K925&gt;=0)</f>
        <v>1017.12580762709</v>
      </c>
      <c r="K926" s="451" t="n">
        <f aca="false">K925+0.5*(vit_z+H925)*pas</f>
        <v>-15.2227358324963</v>
      </c>
      <c r="L926" s="449" t="n">
        <f aca="false">SQRT(pos_x^2+pos_z^2)</f>
        <v>1017.23971620621</v>
      </c>
      <c r="M926" s="450" t="n">
        <f aca="false">IF(AND(L925&gt;L_rampe,G926&gt;0),ATAN2(G926,H926),$M$4)</f>
        <v>-1.4336956546552</v>
      </c>
      <c r="N926" s="449" t="n">
        <f aca="false">DEGREES(Beta)</f>
        <v>-82.1447101179888</v>
      </c>
      <c r="O926" s="438"/>
      <c r="P926" s="452" t="n">
        <f aca="false">MATCH(t-pas/2-T_ini,CdP_t)</f>
        <v>23</v>
      </c>
      <c r="Q926" s="449" t="n">
        <f aca="false">(INDEX(CdP,2,i_P+1)-INDEX(CdP,2,i_P+0))/(INDEX(CdP,1,i_P+1)-INDEX(CdP,1,i_P+0))*(t-pas/2-T_ini-INDEX(CdP,1,i_P+0))+INDEX(CdP,2,i_P+0)</f>
        <v>0</v>
      </c>
      <c r="R926" s="450" t="n">
        <f aca="false">Poussee/(g*ISP)</f>
        <v>0</v>
      </c>
      <c r="S926" s="451" t="n">
        <f aca="false">S925-Débit*pas</f>
        <v>8.652</v>
      </c>
      <c r="T926" s="449" t="n">
        <f aca="false">m*g</f>
        <v>84.87612</v>
      </c>
      <c r="U926" s="453" t="n">
        <f aca="false">IF(pos_xz&lt;L_rampe,Poids*COS(Beta),0)</f>
        <v>0</v>
      </c>
      <c r="V926" s="450" t="n">
        <f aca="false">Rho_moyen*(20000-Alt_rampe-pos_z)/(20000+Alt_rampe+pos_z)</f>
        <v>1.22686620557721</v>
      </c>
      <c r="W926" s="449" t="n">
        <f aca="false">1/2*Rho*Sref*Cx*vit_xz^2</f>
        <v>52.127724670802</v>
      </c>
      <c r="X926" s="438"/>
      <c r="Y926" s="454" t="str">
        <f aca="false">IF(AND(pos_z&lt;=0,K925&gt;0),"Impact balistique","") &amp; IF(AND(H927&lt;0,vit_z&gt;=0),"Apogée","") &amp; IF(AND(Poussee=0,Q925&gt;0),"Fin de propulsion","") &amp; IF(AND(L927&gt;L_rampe,pos_xz&lt;=L_rampe),"Sortie de rampe","")</f>
        <v/>
      </c>
      <c r="Z926" s="455" t="str">
        <f aca="false">IF(ABS(t-T_para)&lt;pas/2,"Para","")</f>
        <v/>
      </c>
      <c r="AA926" s="456" t="str">
        <f aca="false">IF(ABS(t-T_satellite)&lt;pas/2,"Satellite","")</f>
        <v/>
      </c>
      <c r="AB926" s="444"/>
      <c r="AC926" s="452" t="e">
        <f aca="false">IF(ABS(t-ROUND(t,0))&lt;0.001,t,NA())</f>
        <v>#N/A</v>
      </c>
      <c r="AD926" s="457" t="e">
        <f aca="false">IF(ABS(t-ROUND(t,0))&lt;0.001,pos_x,NA())</f>
        <v>#N/A</v>
      </c>
      <c r="AE926" s="458" t="e">
        <f aca="false">IF(t&lt;T_para, pos_z, NA())</f>
        <v>#N/A</v>
      </c>
      <c r="AF926" s="444"/>
      <c r="AG926" s="450" t="n">
        <f aca="false">IF(AND(L925&lt;L_rampe,Poussee&lt;Poids*SIN(M925)),0,(-W925+Poussee)/m-Poids*SIN(M925)/m)</f>
        <v>3.69305266949183</v>
      </c>
      <c r="AH926" s="449" t="n">
        <f aca="false">IF(AND(L925&lt;L_rampe,Poussee&lt;Poids*SIN(M925)), g*SIN(M925), (-W925+Poussee)/m)</f>
        <v>-6.02489306085645</v>
      </c>
    </row>
    <row r="927" customFormat="false" ht="12" hidden="false" customHeight="false" outlineLevel="0" collapsed="false">
      <c r="A927" s="448" t="n">
        <f aca="false">IF(B926+0.01&lt;=T_ini+ROUNDUP(Temps_fin_propu,0), 0.01, IF(K926&gt;0, 0.1, 0.0001))</f>
        <v>0.0001</v>
      </c>
      <c r="B927" s="449" t="n">
        <f aca="false">B926+pas</f>
        <v>35.7206000000009</v>
      </c>
      <c r="C927" s="432"/>
      <c r="D927" s="450" t="n">
        <f aca="false">IF(AND(L926&lt;L_rampe,Poussee&lt;Poids*SIN(M926)),0,(-W926+Poussee)/m*COS(M926)-U926/m*SIN(M926))</f>
        <v>-0.823437129086069</v>
      </c>
      <c r="E927" s="451" t="n">
        <f aca="false">IF(AND(L926&lt;L_rampe,Poussee&lt;Poids*SIN(M926)),0,(-W926+Poussee)/m*SIN(M926)+U926/m*COS(M926)-Poids/m)</f>
        <v>-3.84160197255762</v>
      </c>
      <c r="F927" s="449" t="n">
        <f aca="false">SQRT(acc_x^2+acc_z^2)</f>
        <v>3.92886172079346</v>
      </c>
      <c r="G927" s="450" t="n">
        <f aca="false">G926+acc_x*pas</f>
        <v>18.8926969684461</v>
      </c>
      <c r="H927" s="451" t="n">
        <f aca="false">H926+acc_z*pas</f>
        <v>-136.93813301389</v>
      </c>
      <c r="I927" s="449" t="n">
        <f aca="false">SQRT(vit_x^2+vit_z^2)</f>
        <v>138.235256979077</v>
      </c>
      <c r="J927" s="450" t="n">
        <f aca="false">J926+0.5*(vit_x+G926)*pas*(K926&gt;=0)</f>
        <v>1017.12580762709</v>
      </c>
      <c r="K927" s="451" t="n">
        <f aca="false">K926+0.5*(vit_z+H926)*pas</f>
        <v>-15.2364296265897</v>
      </c>
      <c r="L927" s="449" t="n">
        <f aca="false">SQRT(pos_x^2+pos_z^2)</f>
        <v>1017.23992122253</v>
      </c>
      <c r="M927" s="450" t="n">
        <f aca="false">IF(AND(L926&gt;L_rampe,G927&gt;0),ATAN2(G927,H927),$M$4)</f>
        <v>-1.43369662455836</v>
      </c>
      <c r="N927" s="449" t="n">
        <f aca="false">DEGREES(Beta)</f>
        <v>-82.144765689346</v>
      </c>
      <c r="O927" s="438"/>
      <c r="P927" s="452" t="n">
        <f aca="false">MATCH(t-pas/2-T_ini,CdP_t)</f>
        <v>23</v>
      </c>
      <c r="Q927" s="449" t="n">
        <f aca="false">(INDEX(CdP,2,i_P+1)-INDEX(CdP,2,i_P+0))/(INDEX(CdP,1,i_P+1)-INDEX(CdP,1,i_P+0))*(t-pas/2-T_ini-INDEX(CdP,1,i_P+0))+INDEX(CdP,2,i_P+0)</f>
        <v>0</v>
      </c>
      <c r="R927" s="450" t="n">
        <f aca="false">Poussee/(g*ISP)</f>
        <v>0</v>
      </c>
      <c r="S927" s="451" t="n">
        <f aca="false">S926-Débit*pas</f>
        <v>8.652</v>
      </c>
      <c r="T927" s="449" t="n">
        <f aca="false">m*g</f>
        <v>84.87612</v>
      </c>
      <c r="U927" s="453" t="n">
        <f aca="false">IF(pos_xz&lt;L_rampe,Poids*COS(Beta),0)</f>
        <v>0</v>
      </c>
      <c r="V927" s="450" t="n">
        <f aca="false">Rho_moyen*(20000-Alt_rampe-pos_z)/(20000+Alt_rampe+pos_z)</f>
        <v>1.22686788562465</v>
      </c>
      <c r="W927" s="449" t="n">
        <f aca="false">1/2*Rho*Sref*Cx*vit_xz^2</f>
        <v>52.1280745779269</v>
      </c>
      <c r="X927" s="438"/>
      <c r="Y927" s="454" t="str">
        <f aca="false">IF(AND(pos_z&lt;=0,K926&gt;0),"Impact balistique","") &amp; IF(AND(H928&lt;0,vit_z&gt;=0),"Apogée","") &amp; IF(AND(Poussee=0,Q926&gt;0),"Fin de propulsion","") &amp; IF(AND(L928&gt;L_rampe,pos_xz&lt;=L_rampe),"Sortie de rampe","")</f>
        <v/>
      </c>
      <c r="Z927" s="455" t="str">
        <f aca="false">IF(ABS(t-T_para)&lt;pas/2,"Para","")</f>
        <v/>
      </c>
      <c r="AA927" s="456" t="str">
        <f aca="false">IF(ABS(t-T_satellite)&lt;pas/2,"Satellite","")</f>
        <v/>
      </c>
      <c r="AB927" s="444"/>
      <c r="AC927" s="452" t="e">
        <f aca="false">IF(ABS(t-ROUND(t,0))&lt;0.001,t,NA())</f>
        <v>#N/A</v>
      </c>
      <c r="AD927" s="457" t="e">
        <f aca="false">IF(ABS(t-ROUND(t,0))&lt;0.001,pos_x,NA())</f>
        <v>#N/A</v>
      </c>
      <c r="AE927" s="458" t="e">
        <f aca="false">IF(t&lt;T_para, pos_z, NA())</f>
        <v>#N/A</v>
      </c>
      <c r="AF927" s="444"/>
      <c r="AG927" s="450" t="n">
        <f aca="false">IF(AND(L926&lt;L_rampe,Poussee&lt;Poids*SIN(M926)),0,(-W926+Poussee)/m-Poids*SIN(M926)/m)</f>
        <v>3.69301352743235</v>
      </c>
      <c r="AH927" s="449" t="n">
        <f aca="false">IF(AND(L926&lt;L_rampe,Poussee&lt;Poids*SIN(M926)), g*SIN(M926), (-W926+Poussee)/m)</f>
        <v>-6.02493350332894</v>
      </c>
    </row>
    <row r="928" customFormat="false" ht="12" hidden="false" customHeight="false" outlineLevel="0" collapsed="false">
      <c r="A928" s="448" t="n">
        <f aca="false">IF(B927+0.01&lt;=T_ini+ROUNDUP(Temps_fin_propu,0), 0.01, IF(K927&gt;0, 0.1, 0.0001))</f>
        <v>0.0001</v>
      </c>
      <c r="B928" s="449" t="n">
        <f aca="false">B927+pas</f>
        <v>35.7207000000009</v>
      </c>
      <c r="C928" s="432"/>
      <c r="D928" s="450" t="n">
        <f aca="false">IF(AND(L927&lt;L_rampe,Poussee&lt;Poids*SIN(M927)),0,(-W927+Poussee)/m*COS(M927)-U927/m*SIN(M927))</f>
        <v>-0.823436867596909</v>
      </c>
      <c r="E928" s="451" t="n">
        <f aca="false">IF(AND(L927&lt;L_rampe,Poussee&lt;Poids*SIN(M927)),0,(-W927+Poussee)/m*SIN(M927)+U927/m*COS(M927)-Poids/m)</f>
        <v>-3.84156111105503</v>
      </c>
      <c r="F928" s="449" t="n">
        <f aca="false">SQRT(acc_x^2+acc_z^2)</f>
        <v>3.92882171202616</v>
      </c>
      <c r="G928" s="450" t="n">
        <f aca="false">G927+acc_x*pas</f>
        <v>18.8926146247594</v>
      </c>
      <c r="H928" s="451" t="n">
        <f aca="false">H927+acc_z*pas</f>
        <v>-136.938517170002</v>
      </c>
      <c r="I928" s="449" t="n">
        <f aca="false">SQRT(vit_x^2+vit_z^2)</f>
        <v>138.235626276581</v>
      </c>
      <c r="J928" s="450" t="n">
        <f aca="false">J927+0.5*(vit_x+G927)*pas*(K927&gt;=0)</f>
        <v>1017.12580762709</v>
      </c>
      <c r="K928" s="451" t="n">
        <f aca="false">K927+0.5*(vit_z+H927)*pas</f>
        <v>-15.2501234590989</v>
      </c>
      <c r="L928" s="449" t="n">
        <f aca="false">SQRT(pos_x^2+pos_z^2)</f>
        <v>1017.24012642374</v>
      </c>
      <c r="M928" s="450" t="n">
        <f aca="false">IF(AND(L927&gt;L_rampe,G928&gt;0),ATAN2(G928,H928),$M$4)</f>
        <v>-1.4336975944521</v>
      </c>
      <c r="N928" s="449" t="n">
        <f aca="false">DEGREES(Beta)</f>
        <v>-82.144821260164</v>
      </c>
      <c r="O928" s="438"/>
      <c r="P928" s="452" t="n">
        <f aca="false">MATCH(t-pas/2-T_ini,CdP_t)</f>
        <v>23</v>
      </c>
      <c r="Q928" s="449" t="n">
        <f aca="false">(INDEX(CdP,2,i_P+1)-INDEX(CdP,2,i_P+0))/(INDEX(CdP,1,i_P+1)-INDEX(CdP,1,i_P+0))*(t-pas/2-T_ini-INDEX(CdP,1,i_P+0))+INDEX(CdP,2,i_P+0)</f>
        <v>0</v>
      </c>
      <c r="R928" s="450" t="n">
        <f aca="false">Poussee/(g*ISP)</f>
        <v>0</v>
      </c>
      <c r="S928" s="451" t="n">
        <f aca="false">S927-Débit*pas</f>
        <v>8.652</v>
      </c>
      <c r="T928" s="449" t="n">
        <f aca="false">m*g</f>
        <v>84.87612</v>
      </c>
      <c r="U928" s="453" t="n">
        <f aca="false">IF(pos_xz&lt;L_rampe,Poids*COS(Beta),0)</f>
        <v>0</v>
      </c>
      <c r="V928" s="450" t="n">
        <f aca="false">Rho_moyen*(20000-Alt_rampe-pos_z)/(20000+Alt_rampe+pos_z)</f>
        <v>1.22686956567911</v>
      </c>
      <c r="W928" s="449" t="n">
        <f aca="false">1/2*Rho*Sref*Cx*vit_xz^2</f>
        <v>52.1284244839048</v>
      </c>
      <c r="X928" s="438"/>
      <c r="Y928" s="454" t="str">
        <f aca="false">IF(AND(pos_z&lt;=0,K927&gt;0),"Impact balistique","") &amp; IF(AND(H929&lt;0,vit_z&gt;=0),"Apogée","") &amp; IF(AND(Poussee=0,Q927&gt;0),"Fin de propulsion","") &amp; IF(AND(L929&gt;L_rampe,pos_xz&lt;=L_rampe),"Sortie de rampe","")</f>
        <v/>
      </c>
      <c r="Z928" s="455" t="str">
        <f aca="false">IF(ABS(t-T_para)&lt;pas/2,"Para","")</f>
        <v/>
      </c>
      <c r="AA928" s="456" t="str">
        <f aca="false">IF(ABS(t-T_satellite)&lt;pas/2,"Satellite","")</f>
        <v/>
      </c>
      <c r="AB928" s="444"/>
      <c r="AC928" s="452" t="e">
        <f aca="false">IF(ABS(t-ROUND(t,0))&lt;0.001,t,NA())</f>
        <v>#N/A</v>
      </c>
      <c r="AD928" s="457" t="e">
        <f aca="false">IF(ABS(t-ROUND(t,0))&lt;0.001,pos_x,NA())</f>
        <v>#N/A</v>
      </c>
      <c r="AE928" s="458" t="e">
        <f aca="false">IF(t&lt;T_para, pos_z, NA())</f>
        <v>#N/A</v>
      </c>
      <c r="AF928" s="444"/>
      <c r="AG928" s="450" t="n">
        <f aca="false">IF(AND(L927&lt;L_rampe,Poussee&lt;Poids*SIN(M927)),0,(-W927+Poussee)/m-Poids*SIN(M927)/m)</f>
        <v>3.69297438548369</v>
      </c>
      <c r="AH928" s="449" t="n">
        <f aca="false">IF(AND(L927&lt;L_rampe,Poussee&lt;Poids*SIN(M927)), g*SIN(M927), (-W927+Poussee)/m)</f>
        <v>-6.02497394566886</v>
      </c>
    </row>
    <row r="929" customFormat="false" ht="12" hidden="false" customHeight="false" outlineLevel="0" collapsed="false">
      <c r="A929" s="448" t="n">
        <f aca="false">IF(B928+0.01&lt;=T_ini+ROUNDUP(Temps_fin_propu,0), 0.01, IF(K928&gt;0, 0.1, 0.0001))</f>
        <v>0.0001</v>
      </c>
      <c r="B929" s="449" t="n">
        <f aca="false">B928+pas</f>
        <v>35.7208000000009</v>
      </c>
      <c r="C929" s="432"/>
      <c r="D929" s="450" t="n">
        <f aca="false">IF(AND(L928&lt;L_rampe,Poussee&lt;Poids*SIN(M928)),0,(-W928+Poussee)/m*COS(M928)-U928/m*SIN(M928))</f>
        <v>-0.823436606067302</v>
      </c>
      <c r="E929" s="451" t="n">
        <f aca="false">IF(AND(L928&lt;L_rampe,Poussee&lt;Poids*SIN(M928)),0,(-W928+Poussee)/m*SIN(M928)+U928/m*COS(M928)-Poids/m)</f>
        <v>-3.84152024968641</v>
      </c>
      <c r="F929" s="449" t="n">
        <f aca="false">SQRT(acc_x^2+acc_z^2)</f>
        <v>3.92878170339895</v>
      </c>
      <c r="G929" s="450" t="n">
        <f aca="false">G928+acc_x*pas</f>
        <v>18.8925322810988</v>
      </c>
      <c r="H929" s="451" t="n">
        <f aca="false">H928+acc_z*pas</f>
        <v>-136.938901322026</v>
      </c>
      <c r="I929" s="449" t="n">
        <f aca="false">SQRT(vit_x^2+vit_z^2)</f>
        <v>138.23599557017</v>
      </c>
      <c r="J929" s="450" t="n">
        <f aca="false">J928+0.5*(vit_x+G928)*pas*(K928&gt;=0)</f>
        <v>1017.12580762709</v>
      </c>
      <c r="K929" s="451" t="n">
        <f aca="false">K928+0.5*(vit_z+H928)*pas</f>
        <v>-15.2638173300235</v>
      </c>
      <c r="L929" s="449" t="n">
        <f aca="false">SQRT(pos_x^2+pos_z^2)</f>
        <v>1017.24033180982</v>
      </c>
      <c r="M929" s="450" t="n">
        <f aca="false">IF(AND(L928&gt;L_rampe,G929&gt;0),ATAN2(G929,H929),$M$4)</f>
        <v>-1.43369856433643</v>
      </c>
      <c r="N929" s="449" t="n">
        <f aca="false">DEGREES(Beta)</f>
        <v>-82.1448768304429</v>
      </c>
      <c r="O929" s="438"/>
      <c r="P929" s="452" t="n">
        <f aca="false">MATCH(t-pas/2-T_ini,CdP_t)</f>
        <v>23</v>
      </c>
      <c r="Q929" s="449" t="n">
        <f aca="false">(INDEX(CdP,2,i_P+1)-INDEX(CdP,2,i_P+0))/(INDEX(CdP,1,i_P+1)-INDEX(CdP,1,i_P+0))*(t-pas/2-T_ini-INDEX(CdP,1,i_P+0))+INDEX(CdP,2,i_P+0)</f>
        <v>0</v>
      </c>
      <c r="R929" s="450" t="n">
        <f aca="false">Poussee/(g*ISP)</f>
        <v>0</v>
      </c>
      <c r="S929" s="451" t="n">
        <f aca="false">S928-Débit*pas</f>
        <v>8.652</v>
      </c>
      <c r="T929" s="449" t="n">
        <f aca="false">m*g</f>
        <v>84.87612</v>
      </c>
      <c r="U929" s="453" t="n">
        <f aca="false">IF(pos_xz&lt;L_rampe,Poids*COS(Beta),0)</f>
        <v>0</v>
      </c>
      <c r="V929" s="450" t="n">
        <f aca="false">Rho_moyen*(20000-Alt_rampe-pos_z)/(20000+Alt_rampe+pos_z)</f>
        <v>1.22687124574059</v>
      </c>
      <c r="W929" s="449" t="n">
        <f aca="false">1/2*Rho*Sref*Cx*vit_xz^2</f>
        <v>52.1287743887355</v>
      </c>
      <c r="X929" s="438"/>
      <c r="Y929" s="454" t="str">
        <f aca="false">IF(AND(pos_z&lt;=0,K928&gt;0),"Impact balistique","") &amp; IF(AND(H930&lt;0,vit_z&gt;=0),"Apogée","") &amp; IF(AND(Poussee=0,Q928&gt;0),"Fin de propulsion","") &amp; IF(AND(L930&gt;L_rampe,pos_xz&lt;=L_rampe),"Sortie de rampe","")</f>
        <v/>
      </c>
      <c r="Z929" s="455" t="str">
        <f aca="false">IF(ABS(t-T_para)&lt;pas/2,"Para","")</f>
        <v/>
      </c>
      <c r="AA929" s="456" t="str">
        <f aca="false">IF(ABS(t-T_satellite)&lt;pas/2,"Satellite","")</f>
        <v/>
      </c>
      <c r="AB929" s="444"/>
      <c r="AC929" s="452" t="e">
        <f aca="false">IF(ABS(t-ROUND(t,0))&lt;0.001,t,NA())</f>
        <v>#N/A</v>
      </c>
      <c r="AD929" s="457" t="e">
        <f aca="false">IF(ABS(t-ROUND(t,0))&lt;0.001,pos_x,NA())</f>
        <v>#N/A</v>
      </c>
      <c r="AE929" s="458" t="e">
        <f aca="false">IF(t&lt;T_para, pos_z, NA())</f>
        <v>#N/A</v>
      </c>
      <c r="AF929" s="444"/>
      <c r="AG929" s="450" t="n">
        <f aca="false">IF(AND(L928&lt;L_rampe,Poussee&lt;Poids*SIN(M928)),0,(-W928+Poussee)/m-Poids*SIN(M928)/m)</f>
        <v>3.69293524364585</v>
      </c>
      <c r="AH929" s="449" t="n">
        <f aca="false">IF(AND(L928&lt;L_rampe,Poussee&lt;Poids*SIN(M928)), g*SIN(M928), (-W928+Poussee)/m)</f>
        <v>-6.02501438787619</v>
      </c>
    </row>
    <row r="930" customFormat="false" ht="12" hidden="false" customHeight="false" outlineLevel="0" collapsed="false">
      <c r="A930" s="448" t="n">
        <f aca="false">IF(B929+0.01&lt;=T_ini+ROUNDUP(Temps_fin_propu,0), 0.01, IF(K929&gt;0, 0.1, 0.0001))</f>
        <v>0.0001</v>
      </c>
      <c r="B930" s="449" t="n">
        <f aca="false">B929+pas</f>
        <v>35.7209000000009</v>
      </c>
      <c r="C930" s="432"/>
      <c r="D930" s="450" t="n">
        <f aca="false">IF(AND(L929&lt;L_rampe,Poussee&lt;Poids*SIN(M929)),0,(-W929+Poussee)/m*COS(M929)-U929/m*SIN(M929))</f>
        <v>-0.823436344497246</v>
      </c>
      <c r="E930" s="451" t="n">
        <f aca="false">IF(AND(L929&lt;L_rampe,Poussee&lt;Poids*SIN(M929)),0,(-W929+Poussee)/m*SIN(M929)+U929/m*COS(M929)-Poids/m)</f>
        <v>-3.84147938845176</v>
      </c>
      <c r="F930" s="449" t="n">
        <f aca="false">SQRT(acc_x^2+acc_z^2)</f>
        <v>3.92874169491184</v>
      </c>
      <c r="G930" s="450" t="n">
        <f aca="false">G929+acc_x*pas</f>
        <v>18.8924499374643</v>
      </c>
      <c r="H930" s="451" t="n">
        <f aca="false">H929+acc_z*pas</f>
        <v>-136.939285469965</v>
      </c>
      <c r="I930" s="449" t="n">
        <f aca="false">SQRT(vit_x^2+vit_z^2)</f>
        <v>138.236364859845</v>
      </c>
      <c r="J930" s="450" t="n">
        <f aca="false">J929+0.5*(vit_x+G929)*pas*(K929&gt;=0)</f>
        <v>1017.12580762709</v>
      </c>
      <c r="K930" s="451" t="n">
        <f aca="false">K929+0.5*(vit_z+H929)*pas</f>
        <v>-15.2775112393631</v>
      </c>
      <c r="L930" s="449" t="n">
        <f aca="false">SQRT(pos_x^2+pos_z^2)</f>
        <v>1017.24053738078</v>
      </c>
      <c r="M930" s="450" t="n">
        <f aca="false">IF(AND(L929&gt;L_rampe,G930&gt;0),ATAN2(G930,H930),$M$4)</f>
        <v>-1.43369953421136</v>
      </c>
      <c r="N930" s="449" t="n">
        <f aca="false">DEGREES(Beta)</f>
        <v>-82.1449324001827</v>
      </c>
      <c r="O930" s="438"/>
      <c r="P930" s="452" t="n">
        <f aca="false">MATCH(t-pas/2-T_ini,CdP_t)</f>
        <v>23</v>
      </c>
      <c r="Q930" s="449" t="n">
        <f aca="false">(INDEX(CdP,2,i_P+1)-INDEX(CdP,2,i_P+0))/(INDEX(CdP,1,i_P+1)-INDEX(CdP,1,i_P+0))*(t-pas/2-T_ini-INDEX(CdP,1,i_P+0))+INDEX(CdP,2,i_P+0)</f>
        <v>0</v>
      </c>
      <c r="R930" s="450" t="n">
        <f aca="false">Poussee/(g*ISP)</f>
        <v>0</v>
      </c>
      <c r="S930" s="451" t="n">
        <f aca="false">S929-Débit*pas</f>
        <v>8.652</v>
      </c>
      <c r="T930" s="449" t="n">
        <f aca="false">m*g</f>
        <v>84.87612</v>
      </c>
      <c r="U930" s="453" t="n">
        <f aca="false">IF(pos_xz&lt;L_rampe,Poids*COS(Beta),0)</f>
        <v>0</v>
      </c>
      <c r="V930" s="450" t="n">
        <f aca="false">Rho_moyen*(20000-Alt_rampe-pos_z)/(20000+Alt_rampe+pos_z)</f>
        <v>1.22687292580908</v>
      </c>
      <c r="W930" s="449" t="n">
        <f aca="false">1/2*Rho*Sref*Cx*vit_xz^2</f>
        <v>52.1291242924191</v>
      </c>
      <c r="X930" s="438"/>
      <c r="Y930" s="454" t="str">
        <f aca="false">IF(AND(pos_z&lt;=0,K929&gt;0),"Impact balistique","") &amp; IF(AND(H931&lt;0,vit_z&gt;=0),"Apogée","") &amp; IF(AND(Poussee=0,Q929&gt;0),"Fin de propulsion","") &amp; IF(AND(L931&gt;L_rampe,pos_xz&lt;=L_rampe),"Sortie de rampe","")</f>
        <v/>
      </c>
      <c r="Z930" s="455" t="str">
        <f aca="false">IF(ABS(t-T_para)&lt;pas/2,"Para","")</f>
        <v/>
      </c>
      <c r="AA930" s="456" t="str">
        <f aca="false">IF(ABS(t-T_satellite)&lt;pas/2,"Satellite","")</f>
        <v/>
      </c>
      <c r="AB930" s="444"/>
      <c r="AC930" s="452" t="e">
        <f aca="false">IF(ABS(t-ROUND(t,0))&lt;0.001,t,NA())</f>
        <v>#N/A</v>
      </c>
      <c r="AD930" s="457" t="e">
        <f aca="false">IF(ABS(t-ROUND(t,0))&lt;0.001,pos_x,NA())</f>
        <v>#N/A</v>
      </c>
      <c r="AE930" s="458" t="e">
        <f aca="false">IF(t&lt;T_para, pos_z, NA())</f>
        <v>#N/A</v>
      </c>
      <c r="AF930" s="444"/>
      <c r="AG930" s="450" t="n">
        <f aca="false">IF(AND(L929&lt;L_rampe,Poussee&lt;Poids*SIN(M929)),0,(-W929+Poussee)/m-Poids*SIN(M929)/m)</f>
        <v>3.69289610191884</v>
      </c>
      <c r="AH930" s="449" t="n">
        <f aca="false">IF(AND(L929&lt;L_rampe,Poussee&lt;Poids*SIN(M929)), g*SIN(M929), (-W929+Poussee)/m)</f>
        <v>-6.02505482995094</v>
      </c>
    </row>
    <row r="931" customFormat="false" ht="12" hidden="false" customHeight="false" outlineLevel="0" collapsed="false">
      <c r="A931" s="448" t="n">
        <f aca="false">IF(B930+0.01&lt;=T_ini+ROUNDUP(Temps_fin_propu,0), 0.01, IF(K930&gt;0, 0.1, 0.0001))</f>
        <v>0.0001</v>
      </c>
      <c r="B931" s="449" t="n">
        <f aca="false">B930+pas</f>
        <v>35.7210000000009</v>
      </c>
      <c r="C931" s="432"/>
      <c r="D931" s="450" t="n">
        <f aca="false">IF(AND(L930&lt;L_rampe,Poussee&lt;Poids*SIN(M930)),0,(-W930+Poussee)/m*COS(M930)-U930/m*SIN(M930))</f>
        <v>-0.823436082886742</v>
      </c>
      <c r="E931" s="451" t="n">
        <f aca="false">IF(AND(L930&lt;L_rampe,Poussee&lt;Poids*SIN(M930)),0,(-W930+Poussee)/m*SIN(M930)+U930/m*COS(M930)-Poids/m)</f>
        <v>-3.84143852735111</v>
      </c>
      <c r="F931" s="449" t="n">
        <f aca="false">SQRT(acc_x^2+acc_z^2)</f>
        <v>3.92870168656482</v>
      </c>
      <c r="G931" s="450" t="n">
        <f aca="false">G930+acc_x*pas</f>
        <v>18.892367593856</v>
      </c>
      <c r="H931" s="451" t="n">
        <f aca="false">H930+acc_z*pas</f>
        <v>-136.939669613818</v>
      </c>
      <c r="I931" s="449" t="n">
        <f aca="false">SQRT(vit_x^2+vit_z^2)</f>
        <v>138.236734145606</v>
      </c>
      <c r="J931" s="450" t="n">
        <f aca="false">J930+0.5*(vit_x+G930)*pas*(K930&gt;=0)</f>
        <v>1017.12580762709</v>
      </c>
      <c r="K931" s="451" t="n">
        <f aca="false">K930+0.5*(vit_z+H930)*pas</f>
        <v>-15.2912051871172</v>
      </c>
      <c r="L931" s="449" t="n">
        <f aca="false">SQRT(pos_x^2+pos_z^2)</f>
        <v>1017.24074313662</v>
      </c>
      <c r="M931" s="450" t="n">
        <f aca="false">IF(AND(L930&gt;L_rampe,G931&gt;0),ATAN2(G931,H931),$M$4)</f>
        <v>-1.43370050407687</v>
      </c>
      <c r="N931" s="449" t="n">
        <f aca="false">DEGREES(Beta)</f>
        <v>-82.1449879693834</v>
      </c>
      <c r="O931" s="438"/>
      <c r="P931" s="452" t="n">
        <f aca="false">MATCH(t-pas/2-T_ini,CdP_t)</f>
        <v>23</v>
      </c>
      <c r="Q931" s="449" t="n">
        <f aca="false">(INDEX(CdP,2,i_P+1)-INDEX(CdP,2,i_P+0))/(INDEX(CdP,1,i_P+1)-INDEX(CdP,1,i_P+0))*(t-pas/2-T_ini-INDEX(CdP,1,i_P+0))+INDEX(CdP,2,i_P+0)</f>
        <v>0</v>
      </c>
      <c r="R931" s="450" t="n">
        <f aca="false">Poussee/(g*ISP)</f>
        <v>0</v>
      </c>
      <c r="S931" s="451" t="n">
        <f aca="false">S930-Débit*pas</f>
        <v>8.652</v>
      </c>
      <c r="T931" s="449" t="n">
        <f aca="false">m*g</f>
        <v>84.87612</v>
      </c>
      <c r="U931" s="453" t="n">
        <f aca="false">IF(pos_xz&lt;L_rampe,Poids*COS(Beta),0)</f>
        <v>0</v>
      </c>
      <c r="V931" s="450" t="n">
        <f aca="false">Rho_moyen*(20000-Alt_rampe-pos_z)/(20000+Alt_rampe+pos_z)</f>
        <v>1.22687460588458</v>
      </c>
      <c r="W931" s="449" t="n">
        <f aca="false">1/2*Rho*Sref*Cx*vit_xz^2</f>
        <v>52.1294741949555</v>
      </c>
      <c r="X931" s="438"/>
      <c r="Y931" s="454" t="str">
        <f aca="false">IF(AND(pos_z&lt;=0,K930&gt;0),"Impact balistique","") &amp; IF(AND(H932&lt;0,vit_z&gt;=0),"Apogée","") &amp; IF(AND(Poussee=0,Q930&gt;0),"Fin de propulsion","") &amp; IF(AND(L932&gt;L_rampe,pos_xz&lt;=L_rampe),"Sortie de rampe","")</f>
        <v/>
      </c>
      <c r="Z931" s="455" t="str">
        <f aca="false">IF(ABS(t-T_para)&lt;pas/2,"Para","")</f>
        <v/>
      </c>
      <c r="AA931" s="456" t="str">
        <f aca="false">IF(ABS(t-T_satellite)&lt;pas/2,"Satellite","")</f>
        <v/>
      </c>
      <c r="AB931" s="444"/>
      <c r="AC931" s="452" t="e">
        <f aca="false">IF(ABS(t-ROUND(t,0))&lt;0.001,t,NA())</f>
        <v>#N/A</v>
      </c>
      <c r="AD931" s="457" t="e">
        <f aca="false">IF(ABS(t-ROUND(t,0))&lt;0.001,pos_x,NA())</f>
        <v>#N/A</v>
      </c>
      <c r="AE931" s="458" t="e">
        <f aca="false">IF(t&lt;T_para, pos_z, NA())</f>
        <v>#N/A</v>
      </c>
      <c r="AF931" s="444"/>
      <c r="AG931" s="450" t="n">
        <f aca="false">IF(AND(L930&lt;L_rampe,Poussee&lt;Poids*SIN(M930)),0,(-W930+Poussee)/m-Poids*SIN(M930)/m)</f>
        <v>3.69285696030265</v>
      </c>
      <c r="AH931" s="449" t="n">
        <f aca="false">IF(AND(L930&lt;L_rampe,Poussee&lt;Poids*SIN(M930)), g*SIN(M930), (-W930+Poussee)/m)</f>
        <v>-6.0250952718931</v>
      </c>
    </row>
    <row r="932" customFormat="false" ht="12" hidden="false" customHeight="false" outlineLevel="0" collapsed="false">
      <c r="A932" s="448" t="n">
        <f aca="false">IF(B931+0.01&lt;=T_ini+ROUNDUP(Temps_fin_propu,0), 0.01, IF(K931&gt;0, 0.1, 0.0001))</f>
        <v>0.0001</v>
      </c>
      <c r="B932" s="449" t="n">
        <f aca="false">B931+pas</f>
        <v>35.7211000000009</v>
      </c>
      <c r="C932" s="432"/>
      <c r="D932" s="450" t="n">
        <f aca="false">IF(AND(L931&lt;L_rampe,Poussee&lt;Poids*SIN(M931)),0,(-W931+Poussee)/m*COS(M931)-U931/m*SIN(M931))</f>
        <v>-0.823435821235792</v>
      </c>
      <c r="E932" s="451" t="n">
        <f aca="false">IF(AND(L931&lt;L_rampe,Poussee&lt;Poids*SIN(M931)),0,(-W931+Poussee)/m*SIN(M931)+U931/m*COS(M931)-Poids/m)</f>
        <v>-3.84139766638444</v>
      </c>
      <c r="F932" s="449" t="n">
        <f aca="false">SQRT(acc_x^2+acc_z^2)</f>
        <v>3.92866167835792</v>
      </c>
      <c r="G932" s="450" t="n">
        <f aca="false">G931+acc_x*pas</f>
        <v>18.8922852502739</v>
      </c>
      <c r="H932" s="451" t="n">
        <f aca="false">H931+acc_z*pas</f>
        <v>-136.940053753585</v>
      </c>
      <c r="I932" s="449" t="n">
        <f aca="false">SQRT(vit_x^2+vit_z^2)</f>
        <v>138.237103427453</v>
      </c>
      <c r="J932" s="450" t="n">
        <f aca="false">J931+0.5*(vit_x+G931)*pas*(K931&gt;=0)</f>
        <v>1017.12580762709</v>
      </c>
      <c r="K932" s="451" t="n">
        <f aca="false">K931+0.5*(vit_z+H931)*pas</f>
        <v>-15.3048991732856</v>
      </c>
      <c r="L932" s="449" t="n">
        <f aca="false">SQRT(pos_x^2+pos_z^2)</f>
        <v>1017.24094907734</v>
      </c>
      <c r="M932" s="450" t="n">
        <f aca="false">IF(AND(L931&gt;L_rampe,G932&gt;0),ATAN2(G932,H932),$M$4)</f>
        <v>-1.43370147393298</v>
      </c>
      <c r="N932" s="449" t="n">
        <f aca="false">DEGREES(Beta)</f>
        <v>-82.145043538045</v>
      </c>
      <c r="O932" s="438"/>
      <c r="P932" s="452" t="n">
        <f aca="false">MATCH(t-pas/2-T_ini,CdP_t)</f>
        <v>23</v>
      </c>
      <c r="Q932" s="449" t="n">
        <f aca="false">(INDEX(CdP,2,i_P+1)-INDEX(CdP,2,i_P+0))/(INDEX(CdP,1,i_P+1)-INDEX(CdP,1,i_P+0))*(t-pas/2-T_ini-INDEX(CdP,1,i_P+0))+INDEX(CdP,2,i_P+0)</f>
        <v>0</v>
      </c>
      <c r="R932" s="450" t="n">
        <f aca="false">Poussee/(g*ISP)</f>
        <v>0</v>
      </c>
      <c r="S932" s="451" t="n">
        <f aca="false">S931-Débit*pas</f>
        <v>8.652</v>
      </c>
      <c r="T932" s="449" t="n">
        <f aca="false">m*g</f>
        <v>84.87612</v>
      </c>
      <c r="U932" s="453" t="n">
        <f aca="false">IF(pos_xz&lt;L_rampe,Poids*COS(Beta),0)</f>
        <v>0</v>
      </c>
      <c r="V932" s="450" t="n">
        <f aca="false">Rho_moyen*(20000-Alt_rampe-pos_z)/(20000+Alt_rampe+pos_z)</f>
        <v>1.22687628596711</v>
      </c>
      <c r="W932" s="449" t="n">
        <f aca="false">1/2*Rho*Sref*Cx*vit_xz^2</f>
        <v>52.1298240963448</v>
      </c>
      <c r="X932" s="438"/>
      <c r="Y932" s="454" t="str">
        <f aca="false">IF(AND(pos_z&lt;=0,K931&gt;0),"Impact balistique","") &amp; IF(AND(H933&lt;0,vit_z&gt;=0),"Apogée","") &amp; IF(AND(Poussee=0,Q931&gt;0),"Fin de propulsion","") &amp; IF(AND(L933&gt;L_rampe,pos_xz&lt;=L_rampe),"Sortie de rampe","")</f>
        <v/>
      </c>
      <c r="Z932" s="455" t="str">
        <f aca="false">IF(ABS(t-T_para)&lt;pas/2,"Para","")</f>
        <v/>
      </c>
      <c r="AA932" s="456" t="str">
        <f aca="false">IF(ABS(t-T_satellite)&lt;pas/2,"Satellite","")</f>
        <v/>
      </c>
      <c r="AB932" s="444"/>
      <c r="AC932" s="452" t="e">
        <f aca="false">IF(ABS(t-ROUND(t,0))&lt;0.001,t,NA())</f>
        <v>#N/A</v>
      </c>
      <c r="AD932" s="457" t="e">
        <f aca="false">IF(ABS(t-ROUND(t,0))&lt;0.001,pos_x,NA())</f>
        <v>#N/A</v>
      </c>
      <c r="AE932" s="458" t="e">
        <f aca="false">IF(t&lt;T_para, pos_z, NA())</f>
        <v>#N/A</v>
      </c>
      <c r="AF932" s="444"/>
      <c r="AG932" s="450" t="n">
        <f aca="false">IF(AND(L931&lt;L_rampe,Poussee&lt;Poids*SIN(M931)),0,(-W931+Poussee)/m-Poids*SIN(M931)/m)</f>
        <v>3.69281781879731</v>
      </c>
      <c r="AH932" s="449" t="n">
        <f aca="false">IF(AND(L931&lt;L_rampe,Poussee&lt;Poids*SIN(M931)), g*SIN(M931), (-W931+Poussee)/m)</f>
        <v>-6.02513571370267</v>
      </c>
    </row>
    <row r="933" customFormat="false" ht="12" hidden="false" customHeight="false" outlineLevel="0" collapsed="false">
      <c r="A933" s="448" t="n">
        <f aca="false">IF(B932+0.01&lt;=T_ini+ROUNDUP(Temps_fin_propu,0), 0.01, IF(K932&gt;0, 0.1, 0.0001))</f>
        <v>0.0001</v>
      </c>
      <c r="B933" s="449" t="n">
        <f aca="false">B932+pas</f>
        <v>35.7212000000009</v>
      </c>
      <c r="C933" s="432"/>
      <c r="D933" s="450" t="n">
        <f aca="false">IF(AND(L932&lt;L_rampe,Poussee&lt;Poids*SIN(M932)),0,(-W932+Poussee)/m*COS(M932)-U932/m*SIN(M932))</f>
        <v>-0.823435559544395</v>
      </c>
      <c r="E933" s="451" t="n">
        <f aca="false">IF(AND(L932&lt;L_rampe,Poussee&lt;Poids*SIN(M932)),0,(-W932+Poussee)/m*SIN(M932)+U932/m*COS(M932)-Poids/m)</f>
        <v>-3.84135680555175</v>
      </c>
      <c r="F933" s="449" t="n">
        <f aca="false">SQRT(acc_x^2+acc_z^2)</f>
        <v>3.92862167029111</v>
      </c>
      <c r="G933" s="450" t="n">
        <f aca="false">G932+acc_x*pas</f>
        <v>18.892202906718</v>
      </c>
      <c r="H933" s="451" t="n">
        <f aca="false">H932+acc_z*pas</f>
        <v>-136.940437889265</v>
      </c>
      <c r="I933" s="449" t="n">
        <f aca="false">SQRT(vit_x^2+vit_z^2)</f>
        <v>138.237472705386</v>
      </c>
      <c r="J933" s="450" t="n">
        <f aca="false">J932+0.5*(vit_x+G932)*pas*(K932&gt;=0)</f>
        <v>1017.12580762709</v>
      </c>
      <c r="K933" s="451" t="n">
        <f aca="false">K932+0.5*(vit_z+H932)*pas</f>
        <v>-15.3185931978678</v>
      </c>
      <c r="L933" s="449" t="n">
        <f aca="false">SQRT(pos_x^2+pos_z^2)</f>
        <v>1017.24115520294</v>
      </c>
      <c r="M933" s="450" t="n">
        <f aca="false">IF(AND(L932&gt;L_rampe,G933&gt;0),ATAN2(G933,H933),$M$4)</f>
        <v>-1.43370244377968</v>
      </c>
      <c r="N933" s="449" t="n">
        <f aca="false">DEGREES(Beta)</f>
        <v>-82.1450991061676</v>
      </c>
      <c r="O933" s="438"/>
      <c r="P933" s="452" t="n">
        <f aca="false">MATCH(t-pas/2-T_ini,CdP_t)</f>
        <v>23</v>
      </c>
      <c r="Q933" s="449" t="n">
        <f aca="false">(INDEX(CdP,2,i_P+1)-INDEX(CdP,2,i_P+0))/(INDEX(CdP,1,i_P+1)-INDEX(CdP,1,i_P+0))*(t-pas/2-T_ini-INDEX(CdP,1,i_P+0))+INDEX(CdP,2,i_P+0)</f>
        <v>0</v>
      </c>
      <c r="R933" s="450" t="n">
        <f aca="false">Poussee/(g*ISP)</f>
        <v>0</v>
      </c>
      <c r="S933" s="451" t="n">
        <f aca="false">S932-Débit*pas</f>
        <v>8.652</v>
      </c>
      <c r="T933" s="449" t="n">
        <f aca="false">m*g</f>
        <v>84.87612</v>
      </c>
      <c r="U933" s="453" t="n">
        <f aca="false">IF(pos_xz&lt;L_rampe,Poids*COS(Beta),0)</f>
        <v>0</v>
      </c>
      <c r="V933" s="450" t="n">
        <f aca="false">Rho_moyen*(20000-Alt_rampe-pos_z)/(20000+Alt_rampe+pos_z)</f>
        <v>1.22687796605664</v>
      </c>
      <c r="W933" s="449" t="n">
        <f aca="false">1/2*Rho*Sref*Cx*vit_xz^2</f>
        <v>52.1301739965869</v>
      </c>
      <c r="X933" s="438"/>
      <c r="Y933" s="454" t="str">
        <f aca="false">IF(AND(pos_z&lt;=0,K932&gt;0),"Impact balistique","") &amp; IF(AND(H934&lt;0,vit_z&gt;=0),"Apogée","") &amp; IF(AND(Poussee=0,Q932&gt;0),"Fin de propulsion","") &amp; IF(AND(L934&gt;L_rampe,pos_xz&lt;=L_rampe),"Sortie de rampe","")</f>
        <v/>
      </c>
      <c r="Z933" s="455" t="str">
        <f aca="false">IF(ABS(t-T_para)&lt;pas/2,"Para","")</f>
        <v/>
      </c>
      <c r="AA933" s="456" t="str">
        <f aca="false">IF(ABS(t-T_satellite)&lt;pas/2,"Satellite","")</f>
        <v/>
      </c>
      <c r="AB933" s="444"/>
      <c r="AC933" s="452" t="e">
        <f aca="false">IF(ABS(t-ROUND(t,0))&lt;0.001,t,NA())</f>
        <v>#N/A</v>
      </c>
      <c r="AD933" s="457" t="e">
        <f aca="false">IF(ABS(t-ROUND(t,0))&lt;0.001,pos_x,NA())</f>
        <v>#N/A</v>
      </c>
      <c r="AE933" s="458" t="e">
        <f aca="false">IF(t&lt;T_para, pos_z, NA())</f>
        <v>#N/A</v>
      </c>
      <c r="AF933" s="444"/>
      <c r="AG933" s="450" t="n">
        <f aca="false">IF(AND(L932&lt;L_rampe,Poussee&lt;Poids*SIN(M932)),0,(-W932+Poussee)/m-Poids*SIN(M932)/m)</f>
        <v>3.69277867740279</v>
      </c>
      <c r="AH933" s="449" t="n">
        <f aca="false">IF(AND(L932&lt;L_rampe,Poussee&lt;Poids*SIN(M932)), g*SIN(M932), (-W932+Poussee)/m)</f>
        <v>-6.02517615537966</v>
      </c>
    </row>
    <row r="934" customFormat="false" ht="12" hidden="false" customHeight="false" outlineLevel="0" collapsed="false">
      <c r="A934" s="448" t="n">
        <f aca="false">IF(B933+0.01&lt;=T_ini+ROUNDUP(Temps_fin_propu,0), 0.01, IF(K933&gt;0, 0.1, 0.0001))</f>
        <v>0.0001</v>
      </c>
      <c r="B934" s="449" t="n">
        <f aca="false">B933+pas</f>
        <v>35.7213000000009</v>
      </c>
      <c r="C934" s="432"/>
      <c r="D934" s="450" t="n">
        <f aca="false">IF(AND(L933&lt;L_rampe,Poussee&lt;Poids*SIN(M933)),0,(-W933+Poussee)/m*COS(M933)-U933/m*SIN(M933))</f>
        <v>-0.823435297812551</v>
      </c>
      <c r="E934" s="451" t="n">
        <f aca="false">IF(AND(L933&lt;L_rampe,Poussee&lt;Poids*SIN(M933)),0,(-W933+Poussee)/m*SIN(M933)+U933/m*COS(M933)-Poids/m)</f>
        <v>-3.84131594485305</v>
      </c>
      <c r="F934" s="449" t="n">
        <f aca="false">SQRT(acc_x^2+acc_z^2)</f>
        <v>3.92858166236441</v>
      </c>
      <c r="G934" s="450" t="n">
        <f aca="false">G933+acc_x*pas</f>
        <v>18.8921205631882</v>
      </c>
      <c r="H934" s="451" t="n">
        <f aca="false">H933+acc_z*pas</f>
        <v>-136.94082202086</v>
      </c>
      <c r="I934" s="449" t="n">
        <f aca="false">SQRT(vit_x^2+vit_z^2)</f>
        <v>138.237841979405</v>
      </c>
      <c r="J934" s="450" t="n">
        <f aca="false">J933+0.5*(vit_x+G933)*pas*(K933&gt;=0)</f>
        <v>1017.12580762709</v>
      </c>
      <c r="K934" s="451" t="n">
        <f aca="false">K933+0.5*(vit_z+H933)*pas</f>
        <v>-15.3322872608633</v>
      </c>
      <c r="L934" s="449" t="n">
        <f aca="false">SQRT(pos_x^2+pos_z^2)</f>
        <v>1017.24136151344</v>
      </c>
      <c r="M934" s="450" t="n">
        <f aca="false">IF(AND(L933&gt;L_rampe,G934&gt;0),ATAN2(G934,H934),$M$4)</f>
        <v>-1.43370341361696</v>
      </c>
      <c r="N934" s="449" t="n">
        <f aca="false">DEGREES(Beta)</f>
        <v>-82.145154673751</v>
      </c>
      <c r="O934" s="438"/>
      <c r="P934" s="452" t="n">
        <f aca="false">MATCH(t-pas/2-T_ini,CdP_t)</f>
        <v>23</v>
      </c>
      <c r="Q934" s="449" t="n">
        <f aca="false">(INDEX(CdP,2,i_P+1)-INDEX(CdP,2,i_P+0))/(INDEX(CdP,1,i_P+1)-INDEX(CdP,1,i_P+0))*(t-pas/2-T_ini-INDEX(CdP,1,i_P+0))+INDEX(CdP,2,i_P+0)</f>
        <v>0</v>
      </c>
      <c r="R934" s="450" t="n">
        <f aca="false">Poussee/(g*ISP)</f>
        <v>0</v>
      </c>
      <c r="S934" s="451" t="n">
        <f aca="false">S933-Débit*pas</f>
        <v>8.652</v>
      </c>
      <c r="T934" s="449" t="n">
        <f aca="false">m*g</f>
        <v>84.87612</v>
      </c>
      <c r="U934" s="453" t="n">
        <f aca="false">IF(pos_xz&lt;L_rampe,Poids*COS(Beta),0)</f>
        <v>0</v>
      </c>
      <c r="V934" s="450" t="n">
        <f aca="false">Rho_moyen*(20000-Alt_rampe-pos_z)/(20000+Alt_rampe+pos_z)</f>
        <v>1.22687964615319</v>
      </c>
      <c r="W934" s="449" t="n">
        <f aca="false">1/2*Rho*Sref*Cx*vit_xz^2</f>
        <v>52.1305238956818</v>
      </c>
      <c r="X934" s="438"/>
      <c r="Y934" s="454" t="str">
        <f aca="false">IF(AND(pos_z&lt;=0,K933&gt;0),"Impact balistique","") &amp; IF(AND(H935&lt;0,vit_z&gt;=0),"Apogée","") &amp; IF(AND(Poussee=0,Q933&gt;0),"Fin de propulsion","") &amp; IF(AND(L935&gt;L_rampe,pos_xz&lt;=L_rampe),"Sortie de rampe","")</f>
        <v/>
      </c>
      <c r="Z934" s="455" t="str">
        <f aca="false">IF(ABS(t-T_para)&lt;pas/2,"Para","")</f>
        <v/>
      </c>
      <c r="AA934" s="456" t="str">
        <f aca="false">IF(ABS(t-T_satellite)&lt;pas/2,"Satellite","")</f>
        <v/>
      </c>
      <c r="AB934" s="444"/>
      <c r="AC934" s="452" t="e">
        <f aca="false">IF(ABS(t-ROUND(t,0))&lt;0.001,t,NA())</f>
        <v>#N/A</v>
      </c>
      <c r="AD934" s="457" t="e">
        <f aca="false">IF(ABS(t-ROUND(t,0))&lt;0.001,pos_x,NA())</f>
        <v>#N/A</v>
      </c>
      <c r="AE934" s="458" t="e">
        <f aca="false">IF(t&lt;T_para, pos_z, NA())</f>
        <v>#N/A</v>
      </c>
      <c r="AF934" s="444"/>
      <c r="AG934" s="450" t="n">
        <f aca="false">IF(AND(L933&lt;L_rampe,Poussee&lt;Poids*SIN(M933)),0,(-W933+Poussee)/m-Poids*SIN(M933)/m)</f>
        <v>3.69273953611912</v>
      </c>
      <c r="AH934" s="449" t="n">
        <f aca="false">IF(AND(L933&lt;L_rampe,Poussee&lt;Poids*SIN(M933)), g*SIN(M933), (-W933+Poussee)/m)</f>
        <v>-6.02521659692405</v>
      </c>
    </row>
    <row r="935" customFormat="false" ht="12" hidden="false" customHeight="false" outlineLevel="0" collapsed="false">
      <c r="A935" s="448" t="n">
        <f aca="false">IF(B934+0.01&lt;=T_ini+ROUNDUP(Temps_fin_propu,0), 0.01, IF(K934&gt;0, 0.1, 0.0001))</f>
        <v>0.0001</v>
      </c>
      <c r="B935" s="449" t="n">
        <f aca="false">B934+pas</f>
        <v>35.7214000000009</v>
      </c>
      <c r="C935" s="432"/>
      <c r="D935" s="450" t="n">
        <f aca="false">IF(AND(L934&lt;L_rampe,Poussee&lt;Poids*SIN(M934)),0,(-W934+Poussee)/m*COS(M934)-U934/m*SIN(M934))</f>
        <v>-0.823435036040263</v>
      </c>
      <c r="E935" s="451" t="n">
        <f aca="false">IF(AND(L934&lt;L_rampe,Poussee&lt;Poids*SIN(M934)),0,(-W934+Poussee)/m*SIN(M934)+U934/m*COS(M934)-Poids/m)</f>
        <v>-3.84127508428835</v>
      </c>
      <c r="F935" s="449" t="n">
        <f aca="false">SQRT(acc_x^2+acc_z^2)</f>
        <v>3.92854165457783</v>
      </c>
      <c r="G935" s="450" t="n">
        <f aca="false">G934+acc_x*pas</f>
        <v>18.8920382196846</v>
      </c>
      <c r="H935" s="451" t="n">
        <f aca="false">H934+acc_z*pas</f>
        <v>-136.941206148368</v>
      </c>
      <c r="I935" s="449" t="n">
        <f aca="false">SQRT(vit_x^2+vit_z^2)</f>
        <v>138.238211249509</v>
      </c>
      <c r="J935" s="450" t="n">
        <f aca="false">J934+0.5*(vit_x+G934)*pas*(K934&gt;=0)</f>
        <v>1017.12580762709</v>
      </c>
      <c r="K935" s="451" t="n">
        <f aca="false">K934+0.5*(vit_z+H934)*pas</f>
        <v>-15.3459813622717</v>
      </c>
      <c r="L935" s="449" t="n">
        <f aca="false">SQRT(pos_x^2+pos_z^2)</f>
        <v>1017.24156800881</v>
      </c>
      <c r="M935" s="450" t="n">
        <f aca="false">IF(AND(L934&gt;L_rampe,G935&gt;0),ATAN2(G935,H935),$M$4)</f>
        <v>-1.43370438344484</v>
      </c>
      <c r="N935" s="449" t="n">
        <f aca="false">DEGREES(Beta)</f>
        <v>-82.1452102407954</v>
      </c>
      <c r="O935" s="438"/>
      <c r="P935" s="452" t="n">
        <f aca="false">MATCH(t-pas/2-T_ini,CdP_t)</f>
        <v>23</v>
      </c>
      <c r="Q935" s="449" t="n">
        <f aca="false">(INDEX(CdP,2,i_P+1)-INDEX(CdP,2,i_P+0))/(INDEX(CdP,1,i_P+1)-INDEX(CdP,1,i_P+0))*(t-pas/2-T_ini-INDEX(CdP,1,i_P+0))+INDEX(CdP,2,i_P+0)</f>
        <v>0</v>
      </c>
      <c r="R935" s="450" t="n">
        <f aca="false">Poussee/(g*ISP)</f>
        <v>0</v>
      </c>
      <c r="S935" s="451" t="n">
        <f aca="false">S934-Débit*pas</f>
        <v>8.652</v>
      </c>
      <c r="T935" s="449" t="n">
        <f aca="false">m*g</f>
        <v>84.87612</v>
      </c>
      <c r="U935" s="453" t="n">
        <f aca="false">IF(pos_xz&lt;L_rampe,Poids*COS(Beta),0)</f>
        <v>0</v>
      </c>
      <c r="V935" s="450" t="n">
        <f aca="false">Rho_moyen*(20000-Alt_rampe-pos_z)/(20000+Alt_rampe+pos_z)</f>
        <v>1.22688132625676</v>
      </c>
      <c r="W935" s="449" t="n">
        <f aca="false">1/2*Rho*Sref*Cx*vit_xz^2</f>
        <v>52.1308737936294</v>
      </c>
      <c r="X935" s="438"/>
      <c r="Y935" s="454" t="str">
        <f aca="false">IF(AND(pos_z&lt;=0,K934&gt;0),"Impact balistique","") &amp; IF(AND(H936&lt;0,vit_z&gt;=0),"Apogée","") &amp; IF(AND(Poussee=0,Q934&gt;0),"Fin de propulsion","") &amp; IF(AND(L936&gt;L_rampe,pos_xz&lt;=L_rampe),"Sortie de rampe","")</f>
        <v/>
      </c>
      <c r="Z935" s="455" t="str">
        <f aca="false">IF(ABS(t-T_para)&lt;pas/2,"Para","")</f>
        <v/>
      </c>
      <c r="AA935" s="456" t="str">
        <f aca="false">IF(ABS(t-T_satellite)&lt;pas/2,"Satellite","")</f>
        <v/>
      </c>
      <c r="AB935" s="444"/>
      <c r="AC935" s="452" t="e">
        <f aca="false">IF(ABS(t-ROUND(t,0))&lt;0.001,t,NA())</f>
        <v>#N/A</v>
      </c>
      <c r="AD935" s="457" t="e">
        <f aca="false">IF(ABS(t-ROUND(t,0))&lt;0.001,pos_x,NA())</f>
        <v>#N/A</v>
      </c>
      <c r="AE935" s="458" t="e">
        <f aca="false">IF(t&lt;T_para, pos_z, NA())</f>
        <v>#N/A</v>
      </c>
      <c r="AF935" s="444"/>
      <c r="AG935" s="450" t="n">
        <f aca="false">IF(AND(L934&lt;L_rampe,Poussee&lt;Poids*SIN(M934)),0,(-W934+Poussee)/m-Poids*SIN(M934)/m)</f>
        <v>3.69270039494627</v>
      </c>
      <c r="AH935" s="449" t="n">
        <f aca="false">IF(AND(L934&lt;L_rampe,Poussee&lt;Poids*SIN(M934)), g*SIN(M934), (-W934+Poussee)/m)</f>
        <v>-6.02525703833585</v>
      </c>
    </row>
    <row r="936" customFormat="false" ht="12" hidden="false" customHeight="false" outlineLevel="0" collapsed="false">
      <c r="A936" s="448" t="n">
        <f aca="false">IF(B935+0.01&lt;=T_ini+ROUNDUP(Temps_fin_propu,0), 0.01, IF(K935&gt;0, 0.1, 0.0001))</f>
        <v>0.0001</v>
      </c>
      <c r="B936" s="449" t="n">
        <f aca="false">B935+pas</f>
        <v>35.7215000000009</v>
      </c>
      <c r="C936" s="432"/>
      <c r="D936" s="450" t="n">
        <f aca="false">IF(AND(L935&lt;L_rampe,Poussee&lt;Poids*SIN(M935)),0,(-W935+Poussee)/m*COS(M935)-U935/m*SIN(M935))</f>
        <v>-0.823434774227527</v>
      </c>
      <c r="E936" s="451" t="n">
        <f aca="false">IF(AND(L935&lt;L_rampe,Poussee&lt;Poids*SIN(M935)),0,(-W935+Poussee)/m*SIN(M935)+U935/m*COS(M935)-Poids/m)</f>
        <v>-3.84123422385764</v>
      </c>
      <c r="F936" s="449" t="n">
        <f aca="false">SQRT(acc_x^2+acc_z^2)</f>
        <v>3.92850164693135</v>
      </c>
      <c r="G936" s="450" t="n">
        <f aca="false">G935+acc_x*pas</f>
        <v>18.8919558762071</v>
      </c>
      <c r="H936" s="451" t="n">
        <f aca="false">H935+acc_z*pas</f>
        <v>-136.941590271791</v>
      </c>
      <c r="I936" s="449" t="n">
        <f aca="false">SQRT(vit_x^2+vit_z^2)</f>
        <v>138.238580515699</v>
      </c>
      <c r="J936" s="450" t="n">
        <f aca="false">J935+0.5*(vit_x+G935)*pas*(K935&gt;=0)</f>
        <v>1017.12580762709</v>
      </c>
      <c r="K936" s="451" t="n">
        <f aca="false">K935+0.5*(vit_z+H935)*pas</f>
        <v>-15.3596755020927</v>
      </c>
      <c r="L936" s="449" t="n">
        <f aca="false">SQRT(pos_x^2+pos_z^2)</f>
        <v>1017.24177468908</v>
      </c>
      <c r="M936" s="450" t="n">
        <f aca="false">IF(AND(L935&gt;L_rampe,G936&gt;0),ATAN2(G936,H936),$M$4)</f>
        <v>-1.43370535326332</v>
      </c>
      <c r="N936" s="449" t="n">
        <f aca="false">DEGREES(Beta)</f>
        <v>-82.1452658073007</v>
      </c>
      <c r="O936" s="438"/>
      <c r="P936" s="452" t="n">
        <f aca="false">MATCH(t-pas/2-T_ini,CdP_t)</f>
        <v>23</v>
      </c>
      <c r="Q936" s="449" t="n">
        <f aca="false">(INDEX(CdP,2,i_P+1)-INDEX(CdP,2,i_P+0))/(INDEX(CdP,1,i_P+1)-INDEX(CdP,1,i_P+0))*(t-pas/2-T_ini-INDEX(CdP,1,i_P+0))+INDEX(CdP,2,i_P+0)</f>
        <v>0</v>
      </c>
      <c r="R936" s="450" t="n">
        <f aca="false">Poussee/(g*ISP)</f>
        <v>0</v>
      </c>
      <c r="S936" s="451" t="n">
        <f aca="false">S935-Débit*pas</f>
        <v>8.652</v>
      </c>
      <c r="T936" s="449" t="n">
        <f aca="false">m*g</f>
        <v>84.87612</v>
      </c>
      <c r="U936" s="453" t="n">
        <f aca="false">IF(pos_xz&lt;L_rampe,Poids*COS(Beta),0)</f>
        <v>0</v>
      </c>
      <c r="V936" s="450" t="n">
        <f aca="false">Rho_moyen*(20000-Alt_rampe-pos_z)/(20000+Alt_rampe+pos_z)</f>
        <v>1.22688300636734</v>
      </c>
      <c r="W936" s="449" t="n">
        <f aca="false">1/2*Rho*Sref*Cx*vit_xz^2</f>
        <v>52.1312236904298</v>
      </c>
      <c r="X936" s="438"/>
      <c r="Y936" s="454" t="str">
        <f aca="false">IF(AND(pos_z&lt;=0,K935&gt;0),"Impact balistique","") &amp; IF(AND(H937&lt;0,vit_z&gt;=0),"Apogée","") &amp; IF(AND(Poussee=0,Q935&gt;0),"Fin de propulsion","") &amp; IF(AND(L937&gt;L_rampe,pos_xz&lt;=L_rampe),"Sortie de rampe","")</f>
        <v/>
      </c>
      <c r="Z936" s="455" t="str">
        <f aca="false">IF(ABS(t-T_para)&lt;pas/2,"Para","")</f>
        <v/>
      </c>
      <c r="AA936" s="456" t="str">
        <f aca="false">IF(ABS(t-T_satellite)&lt;pas/2,"Satellite","")</f>
        <v/>
      </c>
      <c r="AB936" s="444"/>
      <c r="AC936" s="452" t="e">
        <f aca="false">IF(ABS(t-ROUND(t,0))&lt;0.001,t,NA())</f>
        <v>#N/A</v>
      </c>
      <c r="AD936" s="457" t="e">
        <f aca="false">IF(ABS(t-ROUND(t,0))&lt;0.001,pos_x,NA())</f>
        <v>#N/A</v>
      </c>
      <c r="AE936" s="458" t="e">
        <f aca="false">IF(t&lt;T_para, pos_z, NA())</f>
        <v>#N/A</v>
      </c>
      <c r="AF936" s="444"/>
      <c r="AG936" s="450" t="n">
        <f aca="false">IF(AND(L935&lt;L_rampe,Poussee&lt;Poids*SIN(M935)),0,(-W935+Poussee)/m-Poids*SIN(M935)/m)</f>
        <v>3.69266125388428</v>
      </c>
      <c r="AH936" s="449" t="n">
        <f aca="false">IF(AND(L935&lt;L_rampe,Poussee&lt;Poids*SIN(M935)), g*SIN(M935), (-W935+Poussee)/m)</f>
        <v>-6.02529747961505</v>
      </c>
    </row>
    <row r="937" customFormat="false" ht="12" hidden="false" customHeight="false" outlineLevel="0" collapsed="false">
      <c r="A937" s="448" t="n">
        <f aca="false">IF(B936+0.01&lt;=T_ini+ROUNDUP(Temps_fin_propu,0), 0.01, IF(K936&gt;0, 0.1, 0.0001))</f>
        <v>0.0001</v>
      </c>
      <c r="B937" s="449" t="n">
        <f aca="false">B936+pas</f>
        <v>35.7216000000009</v>
      </c>
      <c r="C937" s="432"/>
      <c r="D937" s="450" t="n">
        <f aca="false">IF(AND(L936&lt;L_rampe,Poussee&lt;Poids*SIN(M936)),0,(-W936+Poussee)/m*COS(M936)-U936/m*SIN(M936))</f>
        <v>-0.823434512374347</v>
      </c>
      <c r="E937" s="451" t="n">
        <f aca="false">IF(AND(L936&lt;L_rampe,Poussee&lt;Poids*SIN(M936)),0,(-W936+Poussee)/m*SIN(M936)+U936/m*COS(M936)-Poids/m)</f>
        <v>-3.84119336356093</v>
      </c>
      <c r="F937" s="449" t="n">
        <f aca="false">SQRT(acc_x^2+acc_z^2)</f>
        <v>3.92846163942499</v>
      </c>
      <c r="G937" s="450" t="n">
        <f aca="false">G936+acc_x*pas</f>
        <v>18.8918735327559</v>
      </c>
      <c r="H937" s="451" t="n">
        <f aca="false">H936+acc_z*pas</f>
        <v>-136.941974391127</v>
      </c>
      <c r="I937" s="449" t="n">
        <f aca="false">SQRT(vit_x^2+vit_z^2)</f>
        <v>138.238949777976</v>
      </c>
      <c r="J937" s="450" t="n">
        <f aca="false">J936+0.5*(vit_x+G936)*pas*(K936&gt;=0)</f>
        <v>1017.12580762709</v>
      </c>
      <c r="K937" s="451" t="n">
        <f aca="false">K936+0.5*(vit_z+H936)*pas</f>
        <v>-15.3733696803259</v>
      </c>
      <c r="L937" s="449" t="n">
        <f aca="false">SQRT(pos_x^2+pos_z^2)</f>
        <v>1017.24198155424</v>
      </c>
      <c r="M937" s="450" t="n">
        <f aca="false">IF(AND(L936&gt;L_rampe,G937&gt;0),ATAN2(G937,H937),$M$4)</f>
        <v>-1.43370632307238</v>
      </c>
      <c r="N937" s="449" t="n">
        <f aca="false">DEGREES(Beta)</f>
        <v>-82.145321373267</v>
      </c>
      <c r="O937" s="438"/>
      <c r="P937" s="452" t="n">
        <f aca="false">MATCH(t-pas/2-T_ini,CdP_t)</f>
        <v>23</v>
      </c>
      <c r="Q937" s="449" t="n">
        <f aca="false">(INDEX(CdP,2,i_P+1)-INDEX(CdP,2,i_P+0))/(INDEX(CdP,1,i_P+1)-INDEX(CdP,1,i_P+0))*(t-pas/2-T_ini-INDEX(CdP,1,i_P+0))+INDEX(CdP,2,i_P+0)</f>
        <v>0</v>
      </c>
      <c r="R937" s="450" t="n">
        <f aca="false">Poussee/(g*ISP)</f>
        <v>0</v>
      </c>
      <c r="S937" s="451" t="n">
        <f aca="false">S936-Débit*pas</f>
        <v>8.652</v>
      </c>
      <c r="T937" s="449" t="n">
        <f aca="false">m*g</f>
        <v>84.87612</v>
      </c>
      <c r="U937" s="453" t="n">
        <f aca="false">IF(pos_xz&lt;L_rampe,Poids*COS(Beta),0)</f>
        <v>0</v>
      </c>
      <c r="V937" s="450" t="n">
        <f aca="false">Rho_moyen*(20000-Alt_rampe-pos_z)/(20000+Alt_rampe+pos_z)</f>
        <v>1.22688468648494</v>
      </c>
      <c r="W937" s="449" t="n">
        <f aca="false">1/2*Rho*Sref*Cx*vit_xz^2</f>
        <v>52.1315735860829</v>
      </c>
      <c r="X937" s="438"/>
      <c r="Y937" s="454" t="str">
        <f aca="false">IF(AND(pos_z&lt;=0,K936&gt;0),"Impact balistique","") &amp; IF(AND(H938&lt;0,vit_z&gt;=0),"Apogée","") &amp; IF(AND(Poussee=0,Q936&gt;0),"Fin de propulsion","") &amp; IF(AND(L938&gt;L_rampe,pos_xz&lt;=L_rampe),"Sortie de rampe","")</f>
        <v/>
      </c>
      <c r="Z937" s="455" t="str">
        <f aca="false">IF(ABS(t-T_para)&lt;pas/2,"Para","")</f>
        <v/>
      </c>
      <c r="AA937" s="456" t="str">
        <f aca="false">IF(ABS(t-T_satellite)&lt;pas/2,"Satellite","")</f>
        <v/>
      </c>
      <c r="AB937" s="444"/>
      <c r="AC937" s="452" t="e">
        <f aca="false">IF(ABS(t-ROUND(t,0))&lt;0.001,t,NA())</f>
        <v>#N/A</v>
      </c>
      <c r="AD937" s="457" t="e">
        <f aca="false">IF(ABS(t-ROUND(t,0))&lt;0.001,pos_x,NA())</f>
        <v>#N/A</v>
      </c>
      <c r="AE937" s="458" t="e">
        <f aca="false">IF(t&lt;T_para, pos_z, NA())</f>
        <v>#N/A</v>
      </c>
      <c r="AF937" s="444"/>
      <c r="AG937" s="450" t="n">
        <f aca="false">IF(AND(L936&lt;L_rampe,Poussee&lt;Poids*SIN(M936)),0,(-W936+Poussee)/m-Poids*SIN(M936)/m)</f>
        <v>3.69262211293314</v>
      </c>
      <c r="AH937" s="449" t="n">
        <f aca="false">IF(AND(L936&lt;L_rampe,Poussee&lt;Poids*SIN(M936)), g*SIN(M936), (-W936+Poussee)/m)</f>
        <v>-6.02533792076165</v>
      </c>
    </row>
    <row r="938" customFormat="false" ht="12" hidden="false" customHeight="false" outlineLevel="0" collapsed="false">
      <c r="A938" s="448" t="n">
        <f aca="false">IF(B937+0.01&lt;=T_ini+ROUNDUP(Temps_fin_propu,0), 0.01, IF(K937&gt;0, 0.1, 0.0001))</f>
        <v>0.0001</v>
      </c>
      <c r="B938" s="449" t="n">
        <f aca="false">B937+pas</f>
        <v>35.7217000000009</v>
      </c>
      <c r="C938" s="432"/>
      <c r="D938" s="450" t="n">
        <f aca="false">IF(AND(L937&lt;L_rampe,Poussee&lt;Poids*SIN(M937)),0,(-W937+Poussee)/m*COS(M937)-U937/m*SIN(M937))</f>
        <v>-0.823434250480721</v>
      </c>
      <c r="E938" s="451" t="n">
        <f aca="false">IF(AND(L937&lt;L_rampe,Poussee&lt;Poids*SIN(M937)),0,(-W937+Poussee)/m*SIN(M937)+U937/m*COS(M937)-Poids/m)</f>
        <v>-3.84115250339822</v>
      </c>
      <c r="F938" s="449" t="n">
        <f aca="false">SQRT(acc_x^2+acc_z^2)</f>
        <v>3.92842163205875</v>
      </c>
      <c r="G938" s="450" t="n">
        <f aca="false">G937+acc_x*pas</f>
        <v>18.8917911893309</v>
      </c>
      <c r="H938" s="451" t="n">
        <f aca="false">H937+acc_z*pas</f>
        <v>-136.942358506377</v>
      </c>
      <c r="I938" s="449" t="n">
        <f aca="false">SQRT(vit_x^2+vit_z^2)</f>
        <v>138.239319036338</v>
      </c>
      <c r="J938" s="450" t="n">
        <f aca="false">J937+0.5*(vit_x+G937)*pas*(K937&gt;=0)</f>
        <v>1017.12580762709</v>
      </c>
      <c r="K938" s="451" t="n">
        <f aca="false">K937+0.5*(vit_z+H937)*pas</f>
        <v>-15.3870638969708</v>
      </c>
      <c r="L938" s="449" t="n">
        <f aca="false">SQRT(pos_x^2+pos_z^2)</f>
        <v>1017.24218860428</v>
      </c>
      <c r="M938" s="450" t="n">
        <f aca="false">IF(AND(L937&gt;L_rampe,G938&gt;0),ATAN2(G938,H938),$M$4)</f>
        <v>-1.43370729287203</v>
      </c>
      <c r="N938" s="449" t="n">
        <f aca="false">DEGREES(Beta)</f>
        <v>-82.1453769386942</v>
      </c>
      <c r="O938" s="438"/>
      <c r="P938" s="452" t="n">
        <f aca="false">MATCH(t-pas/2-T_ini,CdP_t)</f>
        <v>23</v>
      </c>
      <c r="Q938" s="449" t="n">
        <f aca="false">(INDEX(CdP,2,i_P+1)-INDEX(CdP,2,i_P+0))/(INDEX(CdP,1,i_P+1)-INDEX(CdP,1,i_P+0))*(t-pas/2-T_ini-INDEX(CdP,1,i_P+0))+INDEX(CdP,2,i_P+0)</f>
        <v>0</v>
      </c>
      <c r="R938" s="450" t="n">
        <f aca="false">Poussee/(g*ISP)</f>
        <v>0</v>
      </c>
      <c r="S938" s="451" t="n">
        <f aca="false">S937-Débit*pas</f>
        <v>8.652</v>
      </c>
      <c r="T938" s="449" t="n">
        <f aca="false">m*g</f>
        <v>84.87612</v>
      </c>
      <c r="U938" s="453" t="n">
        <f aca="false">IF(pos_xz&lt;L_rampe,Poids*COS(Beta),0)</f>
        <v>0</v>
      </c>
      <c r="V938" s="450" t="n">
        <f aca="false">Rho_moyen*(20000-Alt_rampe-pos_z)/(20000+Alt_rampe+pos_z)</f>
        <v>1.22688636660956</v>
      </c>
      <c r="W938" s="449" t="n">
        <f aca="false">1/2*Rho*Sref*Cx*vit_xz^2</f>
        <v>52.1319234805887</v>
      </c>
      <c r="X938" s="438"/>
      <c r="Y938" s="454" t="str">
        <f aca="false">IF(AND(pos_z&lt;=0,K937&gt;0),"Impact balistique","") &amp; IF(AND(H939&lt;0,vit_z&gt;=0),"Apogée","") &amp; IF(AND(Poussee=0,Q937&gt;0),"Fin de propulsion","") &amp; IF(AND(L939&gt;L_rampe,pos_xz&lt;=L_rampe),"Sortie de rampe","")</f>
        <v/>
      </c>
      <c r="Z938" s="455" t="str">
        <f aca="false">IF(ABS(t-T_para)&lt;pas/2,"Para","")</f>
        <v/>
      </c>
      <c r="AA938" s="456" t="str">
        <f aca="false">IF(ABS(t-T_satellite)&lt;pas/2,"Satellite","")</f>
        <v/>
      </c>
      <c r="AB938" s="444"/>
      <c r="AC938" s="452" t="e">
        <f aca="false">IF(ABS(t-ROUND(t,0))&lt;0.001,t,NA())</f>
        <v>#N/A</v>
      </c>
      <c r="AD938" s="457" t="e">
        <f aca="false">IF(ABS(t-ROUND(t,0))&lt;0.001,pos_x,NA())</f>
        <v>#N/A</v>
      </c>
      <c r="AE938" s="458" t="e">
        <f aca="false">IF(t&lt;T_para, pos_z, NA())</f>
        <v>#N/A</v>
      </c>
      <c r="AF938" s="444"/>
      <c r="AG938" s="450" t="n">
        <f aca="false">IF(AND(L937&lt;L_rampe,Poussee&lt;Poids*SIN(M937)),0,(-W937+Poussee)/m-Poids*SIN(M937)/m)</f>
        <v>3.69258297209284</v>
      </c>
      <c r="AH938" s="449" t="n">
        <f aca="false">IF(AND(L937&lt;L_rampe,Poussee&lt;Poids*SIN(M937)), g*SIN(M937), (-W937+Poussee)/m)</f>
        <v>-6.02537836177564</v>
      </c>
    </row>
    <row r="939" customFormat="false" ht="12" hidden="false" customHeight="false" outlineLevel="0" collapsed="false">
      <c r="A939" s="448" t="n">
        <f aca="false">IF(B938+0.01&lt;=T_ini+ROUNDUP(Temps_fin_propu,0), 0.01, IF(K938&gt;0, 0.1, 0.0001))</f>
        <v>0.0001</v>
      </c>
      <c r="B939" s="449" t="n">
        <f aca="false">B938+pas</f>
        <v>35.7218000000009</v>
      </c>
      <c r="C939" s="432"/>
      <c r="D939" s="450" t="n">
        <f aca="false">IF(AND(L938&lt;L_rampe,Poussee&lt;Poids*SIN(M938)),0,(-W938+Poussee)/m*COS(M938)-U938/m*SIN(M938))</f>
        <v>-0.823433988546651</v>
      </c>
      <c r="E939" s="451" t="n">
        <f aca="false">IF(AND(L938&lt;L_rampe,Poussee&lt;Poids*SIN(M938)),0,(-W938+Poussee)/m*SIN(M938)+U938/m*COS(M938)-Poids/m)</f>
        <v>-3.8411116433695</v>
      </c>
      <c r="F939" s="449" t="n">
        <f aca="false">SQRT(acc_x^2+acc_z^2)</f>
        <v>3.92838162483262</v>
      </c>
      <c r="G939" s="450" t="n">
        <f aca="false">G938+acc_x*pas</f>
        <v>18.891708845932</v>
      </c>
      <c r="H939" s="451" t="n">
        <f aca="false">H938+acc_z*pas</f>
        <v>-136.942742617542</v>
      </c>
      <c r="I939" s="449" t="n">
        <f aca="false">SQRT(vit_x^2+vit_z^2)</f>
        <v>138.239688290786</v>
      </c>
      <c r="J939" s="450" t="n">
        <f aca="false">J938+0.5*(vit_x+G938)*pas*(K938&gt;=0)</f>
        <v>1017.12580762709</v>
      </c>
      <c r="K939" s="451" t="n">
        <f aca="false">K938+0.5*(vit_z+H938)*pas</f>
        <v>-15.400758152027</v>
      </c>
      <c r="L939" s="449" t="n">
        <f aca="false">SQRT(pos_x^2+pos_z^2)</f>
        <v>1017.24239583922</v>
      </c>
      <c r="M939" s="450" t="n">
        <f aca="false">IF(AND(L938&gt;L_rampe,G939&gt;0),ATAN2(G939,H939),$M$4)</f>
        <v>-1.43370826266228</v>
      </c>
      <c r="N939" s="449" t="n">
        <f aca="false">DEGREES(Beta)</f>
        <v>-82.1454325035824</v>
      </c>
      <c r="O939" s="438"/>
      <c r="P939" s="452" t="n">
        <f aca="false">MATCH(t-pas/2-T_ini,CdP_t)</f>
        <v>23</v>
      </c>
      <c r="Q939" s="449" t="n">
        <f aca="false">(INDEX(CdP,2,i_P+1)-INDEX(CdP,2,i_P+0))/(INDEX(CdP,1,i_P+1)-INDEX(CdP,1,i_P+0))*(t-pas/2-T_ini-INDEX(CdP,1,i_P+0))+INDEX(CdP,2,i_P+0)</f>
        <v>0</v>
      </c>
      <c r="R939" s="450" t="n">
        <f aca="false">Poussee/(g*ISP)</f>
        <v>0</v>
      </c>
      <c r="S939" s="451" t="n">
        <f aca="false">S938-Débit*pas</f>
        <v>8.652</v>
      </c>
      <c r="T939" s="449" t="n">
        <f aca="false">m*g</f>
        <v>84.87612</v>
      </c>
      <c r="U939" s="453" t="n">
        <f aca="false">IF(pos_xz&lt;L_rampe,Poids*COS(Beta),0)</f>
        <v>0</v>
      </c>
      <c r="V939" s="450" t="n">
        <f aca="false">Rho_moyen*(20000-Alt_rampe-pos_z)/(20000+Alt_rampe+pos_z)</f>
        <v>1.22688804674119</v>
      </c>
      <c r="W939" s="449" t="n">
        <f aca="false">1/2*Rho*Sref*Cx*vit_xz^2</f>
        <v>52.1322733739472</v>
      </c>
      <c r="X939" s="438"/>
      <c r="Y939" s="454" t="str">
        <f aca="false">IF(AND(pos_z&lt;=0,K938&gt;0),"Impact balistique","") &amp; IF(AND(H940&lt;0,vit_z&gt;=0),"Apogée","") &amp; IF(AND(Poussee=0,Q938&gt;0),"Fin de propulsion","") &amp; IF(AND(L940&gt;L_rampe,pos_xz&lt;=L_rampe),"Sortie de rampe","")</f>
        <v/>
      </c>
      <c r="Z939" s="455" t="str">
        <f aca="false">IF(ABS(t-T_para)&lt;pas/2,"Para","")</f>
        <v/>
      </c>
      <c r="AA939" s="456" t="str">
        <f aca="false">IF(ABS(t-T_satellite)&lt;pas/2,"Satellite","")</f>
        <v/>
      </c>
      <c r="AB939" s="444"/>
      <c r="AC939" s="452" t="e">
        <f aca="false">IF(ABS(t-ROUND(t,0))&lt;0.001,t,NA())</f>
        <v>#N/A</v>
      </c>
      <c r="AD939" s="457" t="e">
        <f aca="false">IF(ABS(t-ROUND(t,0))&lt;0.001,pos_x,NA())</f>
        <v>#N/A</v>
      </c>
      <c r="AE939" s="458" t="e">
        <f aca="false">IF(t&lt;T_para, pos_z, NA())</f>
        <v>#N/A</v>
      </c>
      <c r="AF939" s="444"/>
      <c r="AG939" s="450" t="n">
        <f aca="false">IF(AND(L938&lt;L_rampe,Poussee&lt;Poids*SIN(M938)),0,(-W938+Poussee)/m-Poids*SIN(M938)/m)</f>
        <v>3.69254383136339</v>
      </c>
      <c r="AH939" s="449" t="n">
        <f aca="false">IF(AND(L938&lt;L_rampe,Poussee&lt;Poids*SIN(M938)), g*SIN(M938), (-W938+Poussee)/m)</f>
        <v>-6.02541880265704</v>
      </c>
    </row>
    <row r="940" customFormat="false" ht="12" hidden="false" customHeight="false" outlineLevel="0" collapsed="false">
      <c r="A940" s="448" t="n">
        <f aca="false">IF(B939+0.01&lt;=T_ini+ROUNDUP(Temps_fin_propu,0), 0.01, IF(K939&gt;0, 0.1, 0.0001))</f>
        <v>0.0001</v>
      </c>
      <c r="B940" s="449" t="n">
        <f aca="false">B939+pas</f>
        <v>35.7219000000009</v>
      </c>
      <c r="C940" s="432"/>
      <c r="D940" s="450" t="n">
        <f aca="false">IF(AND(L939&lt;L_rampe,Poussee&lt;Poids*SIN(M939)),0,(-W939+Poussee)/m*COS(M939)-U939/m*SIN(M939))</f>
        <v>-0.823433726572137</v>
      </c>
      <c r="E940" s="451" t="n">
        <f aca="false">IF(AND(L939&lt;L_rampe,Poussee&lt;Poids*SIN(M939)),0,(-W939+Poussee)/m*SIN(M939)+U939/m*COS(M939)-Poids/m)</f>
        <v>-3.84107078347479</v>
      </c>
      <c r="F940" s="449" t="n">
        <f aca="false">SQRT(acc_x^2+acc_z^2)</f>
        <v>3.92834161774662</v>
      </c>
      <c r="G940" s="450" t="n">
        <f aca="false">G939+acc_x*pas</f>
        <v>18.8916265025593</v>
      </c>
      <c r="H940" s="451" t="n">
        <f aca="false">H939+acc_z*pas</f>
        <v>-136.94312672462</v>
      </c>
      <c r="I940" s="449" t="n">
        <f aca="false">SQRT(vit_x^2+vit_z^2)</f>
        <v>138.24005754132</v>
      </c>
      <c r="J940" s="450" t="n">
        <f aca="false">J939+0.5*(vit_x+G939)*pas*(K939&gt;=0)</f>
        <v>1017.12580762709</v>
      </c>
      <c r="K940" s="451" t="n">
        <f aca="false">K939+0.5*(vit_z+H939)*pas</f>
        <v>-15.4144524454941</v>
      </c>
      <c r="L940" s="449" t="n">
        <f aca="false">SQRT(pos_x^2+pos_z^2)</f>
        <v>1017.24260325905</v>
      </c>
      <c r="M940" s="450" t="n">
        <f aca="false">IF(AND(L939&gt;L_rampe,G940&gt;0),ATAN2(G940,H940),$M$4)</f>
        <v>-1.43370923244312</v>
      </c>
      <c r="N940" s="449" t="n">
        <f aca="false">DEGREES(Beta)</f>
        <v>-82.1454880679316</v>
      </c>
      <c r="O940" s="438"/>
      <c r="P940" s="452" t="n">
        <f aca="false">MATCH(t-pas/2-T_ini,CdP_t)</f>
        <v>23</v>
      </c>
      <c r="Q940" s="449" t="n">
        <f aca="false">(INDEX(CdP,2,i_P+1)-INDEX(CdP,2,i_P+0))/(INDEX(CdP,1,i_P+1)-INDEX(CdP,1,i_P+0))*(t-pas/2-T_ini-INDEX(CdP,1,i_P+0))+INDEX(CdP,2,i_P+0)</f>
        <v>0</v>
      </c>
      <c r="R940" s="450" t="n">
        <f aca="false">Poussee/(g*ISP)</f>
        <v>0</v>
      </c>
      <c r="S940" s="451" t="n">
        <f aca="false">S939-Débit*pas</f>
        <v>8.652</v>
      </c>
      <c r="T940" s="449" t="n">
        <f aca="false">m*g</f>
        <v>84.87612</v>
      </c>
      <c r="U940" s="453" t="n">
        <f aca="false">IF(pos_xz&lt;L_rampe,Poids*COS(Beta),0)</f>
        <v>0</v>
      </c>
      <c r="V940" s="450" t="n">
        <f aca="false">Rho_moyen*(20000-Alt_rampe-pos_z)/(20000+Alt_rampe+pos_z)</f>
        <v>1.22688972687983</v>
      </c>
      <c r="W940" s="449" t="n">
        <f aca="false">1/2*Rho*Sref*Cx*vit_xz^2</f>
        <v>52.1326232661584</v>
      </c>
      <c r="X940" s="438"/>
      <c r="Y940" s="454" t="str">
        <f aca="false">IF(AND(pos_z&lt;=0,K939&gt;0),"Impact balistique","") &amp; IF(AND(H941&lt;0,vit_z&gt;=0),"Apogée","") &amp; IF(AND(Poussee=0,Q939&gt;0),"Fin de propulsion","") &amp; IF(AND(L941&gt;L_rampe,pos_xz&lt;=L_rampe),"Sortie de rampe","")</f>
        <v/>
      </c>
      <c r="Z940" s="455" t="str">
        <f aca="false">IF(ABS(t-T_para)&lt;pas/2,"Para","")</f>
        <v/>
      </c>
      <c r="AA940" s="456" t="str">
        <f aca="false">IF(ABS(t-T_satellite)&lt;pas/2,"Satellite","")</f>
        <v/>
      </c>
      <c r="AB940" s="444"/>
      <c r="AC940" s="452" t="e">
        <f aca="false">IF(ABS(t-ROUND(t,0))&lt;0.001,t,NA())</f>
        <v>#N/A</v>
      </c>
      <c r="AD940" s="457" t="e">
        <f aca="false">IF(ABS(t-ROUND(t,0))&lt;0.001,pos_x,NA())</f>
        <v>#N/A</v>
      </c>
      <c r="AE940" s="458" t="e">
        <f aca="false">IF(t&lt;T_para, pos_z, NA())</f>
        <v>#N/A</v>
      </c>
      <c r="AF940" s="444"/>
      <c r="AG940" s="450" t="n">
        <f aca="false">IF(AND(L939&lt;L_rampe,Poussee&lt;Poids*SIN(M939)),0,(-W939+Poussee)/m-Poids*SIN(M939)/m)</f>
        <v>3.69250469074479</v>
      </c>
      <c r="AH940" s="449" t="n">
        <f aca="false">IF(AND(L939&lt;L_rampe,Poussee&lt;Poids*SIN(M939)), g*SIN(M939), (-W939+Poussee)/m)</f>
        <v>-6.02545924340583</v>
      </c>
    </row>
    <row r="941" customFormat="false" ht="12" hidden="false" customHeight="false" outlineLevel="0" collapsed="false">
      <c r="A941" s="448" t="n">
        <f aca="false">IF(B940+0.01&lt;=T_ini+ROUNDUP(Temps_fin_propu,0), 0.01, IF(K940&gt;0, 0.1, 0.0001))</f>
        <v>0.0001</v>
      </c>
      <c r="B941" s="449" t="n">
        <f aca="false">B940+pas</f>
        <v>35.7220000000009</v>
      </c>
      <c r="C941" s="432"/>
      <c r="D941" s="450" t="n">
        <f aca="false">IF(AND(L940&lt;L_rampe,Poussee&lt;Poids*SIN(M940)),0,(-W940+Poussee)/m*COS(M940)-U940/m*SIN(M940))</f>
        <v>-0.823433464557179</v>
      </c>
      <c r="E941" s="451" t="n">
        <f aca="false">IF(AND(L940&lt;L_rampe,Poussee&lt;Poids*SIN(M940)),0,(-W940+Poussee)/m*SIN(M940)+U940/m*COS(M940)-Poids/m)</f>
        <v>-3.84102992371409</v>
      </c>
      <c r="F941" s="449" t="n">
        <f aca="false">SQRT(acc_x^2+acc_z^2)</f>
        <v>3.92830161080075</v>
      </c>
      <c r="G941" s="450" t="n">
        <f aca="false">G940+acc_x*pas</f>
        <v>18.8915441592129</v>
      </c>
      <c r="H941" s="451" t="n">
        <f aca="false">H940+acc_z*pas</f>
        <v>-136.943510827612</v>
      </c>
      <c r="I941" s="449" t="n">
        <f aca="false">SQRT(vit_x^2+vit_z^2)</f>
        <v>138.24042678794</v>
      </c>
      <c r="J941" s="450" t="n">
        <f aca="false">J940+0.5*(vit_x+G940)*pas*(K940&gt;=0)</f>
        <v>1017.12580762709</v>
      </c>
      <c r="K941" s="451" t="n">
        <f aca="false">K940+0.5*(vit_z+H940)*pas</f>
        <v>-15.4281467773717</v>
      </c>
      <c r="L941" s="449" t="n">
        <f aca="false">SQRT(pos_x^2+pos_z^2)</f>
        <v>1017.24281086378</v>
      </c>
      <c r="M941" s="450" t="n">
        <f aca="false">IF(AND(L940&gt;L_rampe,G941&gt;0),ATAN2(G941,H941),$M$4)</f>
        <v>-1.43371020221455</v>
      </c>
      <c r="N941" s="449" t="n">
        <f aca="false">DEGREES(Beta)</f>
        <v>-82.1455436317417</v>
      </c>
      <c r="O941" s="438"/>
      <c r="P941" s="452" t="n">
        <f aca="false">MATCH(t-pas/2-T_ini,CdP_t)</f>
        <v>23</v>
      </c>
      <c r="Q941" s="449" t="n">
        <f aca="false">(INDEX(CdP,2,i_P+1)-INDEX(CdP,2,i_P+0))/(INDEX(CdP,1,i_P+1)-INDEX(CdP,1,i_P+0))*(t-pas/2-T_ini-INDEX(CdP,1,i_P+0))+INDEX(CdP,2,i_P+0)</f>
        <v>0</v>
      </c>
      <c r="R941" s="450" t="n">
        <f aca="false">Poussee/(g*ISP)</f>
        <v>0</v>
      </c>
      <c r="S941" s="451" t="n">
        <f aca="false">S940-Débit*pas</f>
        <v>8.652</v>
      </c>
      <c r="T941" s="449" t="n">
        <f aca="false">m*g</f>
        <v>84.87612</v>
      </c>
      <c r="U941" s="453" t="n">
        <f aca="false">IF(pos_xz&lt;L_rampe,Poids*COS(Beta),0)</f>
        <v>0</v>
      </c>
      <c r="V941" s="450" t="n">
        <f aca="false">Rho_moyen*(20000-Alt_rampe-pos_z)/(20000+Alt_rampe+pos_z)</f>
        <v>1.22689140702549</v>
      </c>
      <c r="W941" s="449" t="n">
        <f aca="false">1/2*Rho*Sref*Cx*vit_xz^2</f>
        <v>52.1329731572222</v>
      </c>
      <c r="X941" s="438"/>
      <c r="Y941" s="454" t="str">
        <f aca="false">IF(AND(pos_z&lt;=0,K940&gt;0),"Impact balistique","") &amp; IF(AND(H942&lt;0,vit_z&gt;=0),"Apogée","") &amp; IF(AND(Poussee=0,Q940&gt;0),"Fin de propulsion","") &amp; IF(AND(L942&gt;L_rampe,pos_xz&lt;=L_rampe),"Sortie de rampe","")</f>
        <v/>
      </c>
      <c r="Z941" s="455" t="str">
        <f aca="false">IF(ABS(t-T_para)&lt;pas/2,"Para","")</f>
        <v/>
      </c>
      <c r="AA941" s="456" t="str">
        <f aca="false">IF(ABS(t-T_satellite)&lt;pas/2,"Satellite","")</f>
        <v/>
      </c>
      <c r="AB941" s="444"/>
      <c r="AC941" s="452" t="e">
        <f aca="false">IF(ABS(t-ROUND(t,0))&lt;0.001,t,NA())</f>
        <v>#N/A</v>
      </c>
      <c r="AD941" s="457" t="e">
        <f aca="false">IF(ABS(t-ROUND(t,0))&lt;0.001,pos_x,NA())</f>
        <v>#N/A</v>
      </c>
      <c r="AE941" s="458" t="e">
        <f aca="false">IF(t&lt;T_para, pos_z, NA())</f>
        <v>#N/A</v>
      </c>
      <c r="AF941" s="444"/>
      <c r="AG941" s="450" t="n">
        <f aca="false">IF(AND(L940&lt;L_rampe,Poussee&lt;Poids*SIN(M940)),0,(-W940+Poussee)/m-Poids*SIN(M940)/m)</f>
        <v>3.69246555023706</v>
      </c>
      <c r="AH941" s="449" t="n">
        <f aca="false">IF(AND(L940&lt;L_rampe,Poussee&lt;Poids*SIN(M940)), g*SIN(M940), (-W940+Poussee)/m)</f>
        <v>-6.025499684022</v>
      </c>
    </row>
    <row r="942" customFormat="false" ht="12" hidden="false" customHeight="false" outlineLevel="0" collapsed="false">
      <c r="A942" s="448" t="n">
        <f aca="false">IF(B941+0.01&lt;=T_ini+ROUNDUP(Temps_fin_propu,0), 0.01, IF(K941&gt;0, 0.1, 0.0001))</f>
        <v>0.0001</v>
      </c>
      <c r="B942" s="449" t="n">
        <f aca="false">B941+pas</f>
        <v>35.7221000000009</v>
      </c>
      <c r="C942" s="432"/>
      <c r="D942" s="450" t="n">
        <f aca="false">IF(AND(L941&lt;L_rampe,Poussee&lt;Poids*SIN(M941)),0,(-W941+Poussee)/m*COS(M941)-U941/m*SIN(M941))</f>
        <v>-0.823433202501778</v>
      </c>
      <c r="E942" s="451" t="n">
        <f aca="false">IF(AND(L941&lt;L_rampe,Poussee&lt;Poids*SIN(M941)),0,(-W941+Poussee)/m*SIN(M941)+U941/m*COS(M941)-Poids/m)</f>
        <v>-3.8409890640874</v>
      </c>
      <c r="F942" s="449" t="n">
        <f aca="false">SQRT(acc_x^2+acc_z^2)</f>
        <v>3.92826160399499</v>
      </c>
      <c r="G942" s="450" t="n">
        <f aca="false">G941+acc_x*pas</f>
        <v>18.8914618158926</v>
      </c>
      <c r="H942" s="451" t="n">
        <f aca="false">H941+acc_z*pas</f>
        <v>-136.943894926519</v>
      </c>
      <c r="I942" s="449" t="n">
        <f aca="false">SQRT(vit_x^2+vit_z^2)</f>
        <v>138.240796030646</v>
      </c>
      <c r="J942" s="450" t="n">
        <f aca="false">J941+0.5*(vit_x+G941)*pas*(K941&gt;=0)</f>
        <v>1017.12580762709</v>
      </c>
      <c r="K942" s="451" t="n">
        <f aca="false">K941+0.5*(vit_z+H941)*pas</f>
        <v>-15.4418411476594</v>
      </c>
      <c r="L942" s="449" t="n">
        <f aca="false">SQRT(pos_x^2+pos_z^2)</f>
        <v>1017.2430186534</v>
      </c>
      <c r="M942" s="450" t="n">
        <f aca="false">IF(AND(L941&gt;L_rampe,G942&gt;0),ATAN2(G942,H942),$M$4)</f>
        <v>-1.43371117197658</v>
      </c>
      <c r="N942" s="449" t="n">
        <f aca="false">DEGREES(Beta)</f>
        <v>-82.1455991950129</v>
      </c>
      <c r="O942" s="438"/>
      <c r="P942" s="452" t="n">
        <f aca="false">MATCH(t-pas/2-T_ini,CdP_t)</f>
        <v>23</v>
      </c>
      <c r="Q942" s="449" t="n">
        <f aca="false">(INDEX(CdP,2,i_P+1)-INDEX(CdP,2,i_P+0))/(INDEX(CdP,1,i_P+1)-INDEX(CdP,1,i_P+0))*(t-pas/2-T_ini-INDEX(CdP,1,i_P+0))+INDEX(CdP,2,i_P+0)</f>
        <v>0</v>
      </c>
      <c r="R942" s="450" t="n">
        <f aca="false">Poussee/(g*ISP)</f>
        <v>0</v>
      </c>
      <c r="S942" s="451" t="n">
        <f aca="false">S941-Débit*pas</f>
        <v>8.652</v>
      </c>
      <c r="T942" s="449" t="n">
        <f aca="false">m*g</f>
        <v>84.87612</v>
      </c>
      <c r="U942" s="453" t="n">
        <f aca="false">IF(pos_xz&lt;L_rampe,Poids*COS(Beta),0)</f>
        <v>0</v>
      </c>
      <c r="V942" s="450" t="n">
        <f aca="false">Rho_moyen*(20000-Alt_rampe-pos_z)/(20000+Alt_rampe+pos_z)</f>
        <v>1.22689308717816</v>
      </c>
      <c r="W942" s="449" t="n">
        <f aca="false">1/2*Rho*Sref*Cx*vit_xz^2</f>
        <v>52.1333230471386</v>
      </c>
      <c r="X942" s="438"/>
      <c r="Y942" s="454" t="str">
        <f aca="false">IF(AND(pos_z&lt;=0,K941&gt;0),"Impact balistique","") &amp; IF(AND(H943&lt;0,vit_z&gt;=0),"Apogée","") &amp; IF(AND(Poussee=0,Q941&gt;0),"Fin de propulsion","") &amp; IF(AND(L943&gt;L_rampe,pos_xz&lt;=L_rampe),"Sortie de rampe","")</f>
        <v/>
      </c>
      <c r="Z942" s="455" t="str">
        <f aca="false">IF(ABS(t-T_para)&lt;pas/2,"Para","")</f>
        <v/>
      </c>
      <c r="AA942" s="456" t="str">
        <f aca="false">IF(ABS(t-T_satellite)&lt;pas/2,"Satellite","")</f>
        <v/>
      </c>
      <c r="AB942" s="444"/>
      <c r="AC942" s="452" t="e">
        <f aca="false">IF(ABS(t-ROUND(t,0))&lt;0.001,t,NA())</f>
        <v>#N/A</v>
      </c>
      <c r="AD942" s="457" t="e">
        <f aca="false">IF(ABS(t-ROUND(t,0))&lt;0.001,pos_x,NA())</f>
        <v>#N/A</v>
      </c>
      <c r="AE942" s="458" t="e">
        <f aca="false">IF(t&lt;T_para, pos_z, NA())</f>
        <v>#N/A</v>
      </c>
      <c r="AF942" s="444"/>
      <c r="AG942" s="450" t="n">
        <f aca="false">IF(AND(L941&lt;L_rampe,Poussee&lt;Poids*SIN(M941)),0,(-W941+Poussee)/m-Poids*SIN(M941)/m)</f>
        <v>3.69242640984018</v>
      </c>
      <c r="AH942" s="449" t="n">
        <f aca="false">IF(AND(L941&lt;L_rampe,Poussee&lt;Poids*SIN(M941)), g*SIN(M941), (-W941+Poussee)/m)</f>
        <v>-6.02554012450557</v>
      </c>
    </row>
    <row r="943" customFormat="false" ht="12" hidden="false" customHeight="false" outlineLevel="0" collapsed="false">
      <c r="A943" s="448" t="n">
        <f aca="false">IF(B942+0.01&lt;=T_ini+ROUNDUP(Temps_fin_propu,0), 0.01, IF(K942&gt;0, 0.1, 0.0001))</f>
        <v>0.0001</v>
      </c>
      <c r="B943" s="449" t="n">
        <f aca="false">B942+pas</f>
        <v>35.7222000000009</v>
      </c>
      <c r="C943" s="432"/>
      <c r="D943" s="450" t="n">
        <f aca="false">IF(AND(L942&lt;L_rampe,Poussee&lt;Poids*SIN(M942)),0,(-W942+Poussee)/m*COS(M942)-U942/m*SIN(M942))</f>
        <v>-0.823432940405932</v>
      </c>
      <c r="E943" s="451" t="n">
        <f aca="false">IF(AND(L942&lt;L_rampe,Poussee&lt;Poids*SIN(M942)),0,(-W942+Poussee)/m*SIN(M942)+U942/m*COS(M942)-Poids/m)</f>
        <v>-3.84094820459472</v>
      </c>
      <c r="F943" s="449" t="n">
        <f aca="false">SQRT(acc_x^2+acc_z^2)</f>
        <v>3.92822159732937</v>
      </c>
      <c r="G943" s="450" t="n">
        <f aca="false">G942+acc_x*pas</f>
        <v>18.8913794725986</v>
      </c>
      <c r="H943" s="451" t="n">
        <f aca="false">H942+acc_z*pas</f>
        <v>-136.944279021339</v>
      </c>
      <c r="I943" s="449" t="n">
        <f aca="false">SQRT(vit_x^2+vit_z^2)</f>
        <v>138.241165269438</v>
      </c>
      <c r="J943" s="450" t="n">
        <f aca="false">J942+0.5*(vit_x+G942)*pas*(K942&gt;=0)</f>
        <v>1017.12580762709</v>
      </c>
      <c r="K943" s="451" t="n">
        <f aca="false">K942+0.5*(vit_z+H942)*pas</f>
        <v>-15.4555355563568</v>
      </c>
      <c r="L943" s="449" t="n">
        <f aca="false">SQRT(pos_x^2+pos_z^2)</f>
        <v>1017.24322662793</v>
      </c>
      <c r="M943" s="450" t="n">
        <f aca="false">IF(AND(L942&gt;L_rampe,G943&gt;0),ATAN2(G943,H943),$M$4)</f>
        <v>-1.4337121417292</v>
      </c>
      <c r="N943" s="449" t="n">
        <f aca="false">DEGREES(Beta)</f>
        <v>-82.145654757745</v>
      </c>
      <c r="O943" s="438"/>
      <c r="P943" s="452" t="n">
        <f aca="false">MATCH(t-pas/2-T_ini,CdP_t)</f>
        <v>23</v>
      </c>
      <c r="Q943" s="449" t="n">
        <f aca="false">(INDEX(CdP,2,i_P+1)-INDEX(CdP,2,i_P+0))/(INDEX(CdP,1,i_P+1)-INDEX(CdP,1,i_P+0))*(t-pas/2-T_ini-INDEX(CdP,1,i_P+0))+INDEX(CdP,2,i_P+0)</f>
        <v>0</v>
      </c>
      <c r="R943" s="450" t="n">
        <f aca="false">Poussee/(g*ISP)</f>
        <v>0</v>
      </c>
      <c r="S943" s="451" t="n">
        <f aca="false">S942-Débit*pas</f>
        <v>8.652</v>
      </c>
      <c r="T943" s="449" t="n">
        <f aca="false">m*g</f>
        <v>84.87612</v>
      </c>
      <c r="U943" s="453" t="n">
        <f aca="false">IF(pos_xz&lt;L_rampe,Poids*COS(Beta),0)</f>
        <v>0</v>
      </c>
      <c r="V943" s="450" t="n">
        <f aca="false">Rho_moyen*(20000-Alt_rampe-pos_z)/(20000+Alt_rampe+pos_z)</f>
        <v>1.22689476733785</v>
      </c>
      <c r="W943" s="449" t="n">
        <f aca="false">1/2*Rho*Sref*Cx*vit_xz^2</f>
        <v>52.1336729359076</v>
      </c>
      <c r="X943" s="438"/>
      <c r="Y943" s="454" t="str">
        <f aca="false">IF(AND(pos_z&lt;=0,K942&gt;0),"Impact balistique","") &amp; IF(AND(H944&lt;0,vit_z&gt;=0),"Apogée","") &amp; IF(AND(Poussee=0,Q942&gt;0),"Fin de propulsion","") &amp; IF(AND(L944&gt;L_rampe,pos_xz&lt;=L_rampe),"Sortie de rampe","")</f>
        <v/>
      </c>
      <c r="Z943" s="455" t="str">
        <f aca="false">IF(ABS(t-T_para)&lt;pas/2,"Para","")</f>
        <v/>
      </c>
      <c r="AA943" s="456" t="str">
        <f aca="false">IF(ABS(t-T_satellite)&lt;pas/2,"Satellite","")</f>
        <v/>
      </c>
      <c r="AB943" s="444"/>
      <c r="AC943" s="452" t="e">
        <f aca="false">IF(ABS(t-ROUND(t,0))&lt;0.001,t,NA())</f>
        <v>#N/A</v>
      </c>
      <c r="AD943" s="457" t="e">
        <f aca="false">IF(ABS(t-ROUND(t,0))&lt;0.001,pos_x,NA())</f>
        <v>#N/A</v>
      </c>
      <c r="AE943" s="458" t="e">
        <f aca="false">IF(t&lt;T_para, pos_z, NA())</f>
        <v>#N/A</v>
      </c>
      <c r="AF943" s="444"/>
      <c r="AG943" s="450" t="n">
        <f aca="false">IF(AND(L942&lt;L_rampe,Poussee&lt;Poids*SIN(M942)),0,(-W942+Poussee)/m-Poids*SIN(M942)/m)</f>
        <v>3.69238726955417</v>
      </c>
      <c r="AH943" s="449" t="n">
        <f aca="false">IF(AND(L942&lt;L_rampe,Poussee&lt;Poids*SIN(M942)), g*SIN(M942), (-W942+Poussee)/m)</f>
        <v>-6.02558056485652</v>
      </c>
    </row>
    <row r="944" customFormat="false" ht="12" hidden="false" customHeight="false" outlineLevel="0" collapsed="false">
      <c r="A944" s="448" t="n">
        <f aca="false">IF(B943+0.01&lt;=T_ini+ROUNDUP(Temps_fin_propu,0), 0.01, IF(K943&gt;0, 0.1, 0.0001))</f>
        <v>0.0001</v>
      </c>
      <c r="B944" s="449" t="n">
        <f aca="false">B943+pas</f>
        <v>35.7223000000009</v>
      </c>
      <c r="C944" s="432"/>
      <c r="D944" s="450" t="n">
        <f aca="false">IF(AND(L943&lt;L_rampe,Poussee&lt;Poids*SIN(M943)),0,(-W943+Poussee)/m*COS(M943)-U943/m*SIN(M943))</f>
        <v>-0.823432678269644</v>
      </c>
      <c r="E944" s="451" t="n">
        <f aca="false">IF(AND(L943&lt;L_rampe,Poussee&lt;Poids*SIN(M943)),0,(-W943+Poussee)/m*SIN(M943)+U943/m*COS(M943)-Poids/m)</f>
        <v>-3.84090734523605</v>
      </c>
      <c r="F944" s="449" t="n">
        <f aca="false">SQRT(acc_x^2+acc_z^2)</f>
        <v>3.92818159080389</v>
      </c>
      <c r="G944" s="450" t="n">
        <f aca="false">G943+acc_x*pas</f>
        <v>18.8912971293308</v>
      </c>
      <c r="H944" s="451" t="n">
        <f aca="false">H943+acc_z*pas</f>
        <v>-136.944663112074</v>
      </c>
      <c r="I944" s="449" t="n">
        <f aca="false">SQRT(vit_x^2+vit_z^2)</f>
        <v>138.241534504316</v>
      </c>
      <c r="J944" s="450" t="n">
        <f aca="false">J943+0.5*(vit_x+G943)*pas*(K943&gt;=0)</f>
        <v>1017.12580762709</v>
      </c>
      <c r="K944" s="451" t="n">
        <f aca="false">K943+0.5*(vit_z+H943)*pas</f>
        <v>-15.4692300034634</v>
      </c>
      <c r="L944" s="449" t="n">
        <f aca="false">SQRT(pos_x^2+pos_z^2)</f>
        <v>1017.24343478735</v>
      </c>
      <c r="M944" s="450" t="n">
        <f aca="false">IF(AND(L943&gt;L_rampe,G944&gt;0),ATAN2(G944,H944),$M$4)</f>
        <v>-1.4337131114724</v>
      </c>
      <c r="N944" s="449" t="n">
        <f aca="false">DEGREES(Beta)</f>
        <v>-82.1457103199381</v>
      </c>
      <c r="O944" s="438"/>
      <c r="P944" s="452" t="n">
        <f aca="false">MATCH(t-pas/2-T_ini,CdP_t)</f>
        <v>23</v>
      </c>
      <c r="Q944" s="449" t="n">
        <f aca="false">(INDEX(CdP,2,i_P+1)-INDEX(CdP,2,i_P+0))/(INDEX(CdP,1,i_P+1)-INDEX(CdP,1,i_P+0))*(t-pas/2-T_ini-INDEX(CdP,1,i_P+0))+INDEX(CdP,2,i_P+0)</f>
        <v>0</v>
      </c>
      <c r="R944" s="450" t="n">
        <f aca="false">Poussee/(g*ISP)</f>
        <v>0</v>
      </c>
      <c r="S944" s="451" t="n">
        <f aca="false">S943-Débit*pas</f>
        <v>8.652</v>
      </c>
      <c r="T944" s="449" t="n">
        <f aca="false">m*g</f>
        <v>84.87612</v>
      </c>
      <c r="U944" s="453" t="n">
        <f aca="false">IF(pos_xz&lt;L_rampe,Poids*COS(Beta),0)</f>
        <v>0</v>
      </c>
      <c r="V944" s="450" t="n">
        <f aca="false">Rho_moyen*(20000-Alt_rampe-pos_z)/(20000+Alt_rampe+pos_z)</f>
        <v>1.22689644750456</v>
      </c>
      <c r="W944" s="449" t="n">
        <f aca="false">1/2*Rho*Sref*Cx*vit_xz^2</f>
        <v>52.1340228235292</v>
      </c>
      <c r="X944" s="438"/>
      <c r="Y944" s="454" t="str">
        <f aca="false">IF(AND(pos_z&lt;=0,K943&gt;0),"Impact balistique","") &amp; IF(AND(H945&lt;0,vit_z&gt;=0),"Apogée","") &amp; IF(AND(Poussee=0,Q943&gt;0),"Fin de propulsion","") &amp; IF(AND(L945&gt;L_rampe,pos_xz&lt;=L_rampe),"Sortie de rampe","")</f>
        <v/>
      </c>
      <c r="Z944" s="455" t="str">
        <f aca="false">IF(ABS(t-T_para)&lt;pas/2,"Para","")</f>
        <v/>
      </c>
      <c r="AA944" s="456" t="str">
        <f aca="false">IF(ABS(t-T_satellite)&lt;pas/2,"Satellite","")</f>
        <v/>
      </c>
      <c r="AB944" s="444"/>
      <c r="AC944" s="452" t="e">
        <f aca="false">IF(ABS(t-ROUND(t,0))&lt;0.001,t,NA())</f>
        <v>#N/A</v>
      </c>
      <c r="AD944" s="457" t="e">
        <f aca="false">IF(ABS(t-ROUND(t,0))&lt;0.001,pos_x,NA())</f>
        <v>#N/A</v>
      </c>
      <c r="AE944" s="458" t="e">
        <f aca="false">IF(t&lt;T_para, pos_z, NA())</f>
        <v>#N/A</v>
      </c>
      <c r="AF944" s="444"/>
      <c r="AG944" s="450" t="n">
        <f aca="false">IF(AND(L943&lt;L_rampe,Poussee&lt;Poids*SIN(M943)),0,(-W943+Poussee)/m-Poids*SIN(M943)/m)</f>
        <v>3.69234812937903</v>
      </c>
      <c r="AH944" s="449" t="n">
        <f aca="false">IF(AND(L943&lt;L_rampe,Poussee&lt;Poids*SIN(M943)), g*SIN(M943), (-W943+Poussee)/m)</f>
        <v>-6.02562100507485</v>
      </c>
    </row>
    <row r="945" customFormat="false" ht="12" hidden="false" customHeight="false" outlineLevel="0" collapsed="false">
      <c r="A945" s="448" t="n">
        <f aca="false">IF(B944+0.01&lt;=T_ini+ROUNDUP(Temps_fin_propu,0), 0.01, IF(K944&gt;0, 0.1, 0.0001))</f>
        <v>0.0001</v>
      </c>
      <c r="B945" s="449" t="n">
        <f aca="false">B944+pas</f>
        <v>35.7224000000009</v>
      </c>
      <c r="C945" s="432"/>
      <c r="D945" s="450" t="n">
        <f aca="false">IF(AND(L944&lt;L_rampe,Poussee&lt;Poids*SIN(M944)),0,(-W944+Poussee)/m*COS(M944)-U944/m*SIN(M944))</f>
        <v>-0.823432416092914</v>
      </c>
      <c r="E945" s="451" t="n">
        <f aca="false">IF(AND(L944&lt;L_rampe,Poussee&lt;Poids*SIN(M944)),0,(-W944+Poussee)/m*SIN(M944)+U944/m*COS(M944)-Poids/m)</f>
        <v>-3.8408664860114</v>
      </c>
      <c r="F945" s="449" t="n">
        <f aca="false">SQRT(acc_x^2+acc_z^2)</f>
        <v>3.92814158441854</v>
      </c>
      <c r="G945" s="450" t="n">
        <f aca="false">G944+acc_x*pas</f>
        <v>18.8912147860892</v>
      </c>
      <c r="H945" s="451" t="n">
        <f aca="false">H944+acc_z*pas</f>
        <v>-136.945047198722</v>
      </c>
      <c r="I945" s="449" t="n">
        <f aca="false">SQRT(vit_x^2+vit_z^2)</f>
        <v>138.24190373528</v>
      </c>
      <c r="J945" s="450" t="n">
        <f aca="false">J944+0.5*(vit_x+G944)*pas*(K944&gt;=0)</f>
        <v>1017.12580762709</v>
      </c>
      <c r="K945" s="451" t="n">
        <f aca="false">K944+0.5*(vit_z+H944)*pas</f>
        <v>-15.482924488979</v>
      </c>
      <c r="L945" s="449" t="n">
        <f aca="false">SQRT(pos_x^2+pos_z^2)</f>
        <v>1017.24364313167</v>
      </c>
      <c r="M945" s="450" t="n">
        <f aca="false">IF(AND(L944&gt;L_rampe,G945&gt;0),ATAN2(G945,H945),$M$4)</f>
        <v>-1.43371408120621</v>
      </c>
      <c r="N945" s="449" t="n">
        <f aca="false">DEGREES(Beta)</f>
        <v>-82.1457658815923</v>
      </c>
      <c r="O945" s="438"/>
      <c r="P945" s="452" t="n">
        <f aca="false">MATCH(t-pas/2-T_ini,CdP_t)</f>
        <v>23</v>
      </c>
      <c r="Q945" s="449" t="n">
        <f aca="false">(INDEX(CdP,2,i_P+1)-INDEX(CdP,2,i_P+0))/(INDEX(CdP,1,i_P+1)-INDEX(CdP,1,i_P+0))*(t-pas/2-T_ini-INDEX(CdP,1,i_P+0))+INDEX(CdP,2,i_P+0)</f>
        <v>0</v>
      </c>
      <c r="R945" s="450" t="n">
        <f aca="false">Poussee/(g*ISP)</f>
        <v>0</v>
      </c>
      <c r="S945" s="451" t="n">
        <f aca="false">S944-Débit*pas</f>
        <v>8.652</v>
      </c>
      <c r="T945" s="449" t="n">
        <f aca="false">m*g</f>
        <v>84.87612</v>
      </c>
      <c r="U945" s="453" t="n">
        <f aca="false">IF(pos_xz&lt;L_rampe,Poids*COS(Beta),0)</f>
        <v>0</v>
      </c>
      <c r="V945" s="450" t="n">
        <f aca="false">Rho_moyen*(20000-Alt_rampe-pos_z)/(20000+Alt_rampe+pos_z)</f>
        <v>1.22689812767828</v>
      </c>
      <c r="W945" s="449" t="n">
        <f aca="false">1/2*Rho*Sref*Cx*vit_xz^2</f>
        <v>52.1343727100034</v>
      </c>
      <c r="X945" s="438"/>
      <c r="Y945" s="454" t="str">
        <f aca="false">IF(AND(pos_z&lt;=0,K944&gt;0),"Impact balistique","") &amp; IF(AND(H946&lt;0,vit_z&gt;=0),"Apogée","") &amp; IF(AND(Poussee=0,Q944&gt;0),"Fin de propulsion","") &amp; IF(AND(L946&gt;L_rampe,pos_xz&lt;=L_rampe),"Sortie de rampe","")</f>
        <v/>
      </c>
      <c r="Z945" s="455" t="str">
        <f aca="false">IF(ABS(t-T_para)&lt;pas/2,"Para","")</f>
        <v/>
      </c>
      <c r="AA945" s="456" t="str">
        <f aca="false">IF(ABS(t-T_satellite)&lt;pas/2,"Satellite","")</f>
        <v/>
      </c>
      <c r="AB945" s="444"/>
      <c r="AC945" s="452" t="e">
        <f aca="false">IF(ABS(t-ROUND(t,0))&lt;0.001,t,NA())</f>
        <v>#N/A</v>
      </c>
      <c r="AD945" s="457" t="e">
        <f aca="false">IF(ABS(t-ROUND(t,0))&lt;0.001,pos_x,NA())</f>
        <v>#N/A</v>
      </c>
      <c r="AE945" s="458" t="e">
        <f aca="false">IF(t&lt;T_para, pos_z, NA())</f>
        <v>#N/A</v>
      </c>
      <c r="AF945" s="444"/>
      <c r="AG945" s="450" t="n">
        <f aca="false">IF(AND(L944&lt;L_rampe,Poussee&lt;Poids*SIN(M944)),0,(-W944+Poussee)/m-Poids*SIN(M944)/m)</f>
        <v>3.69230898931475</v>
      </c>
      <c r="AH945" s="449" t="n">
        <f aca="false">IF(AND(L944&lt;L_rampe,Poussee&lt;Poids*SIN(M944)), g*SIN(M944), (-W944+Poussee)/m)</f>
        <v>-6.02566144516057</v>
      </c>
    </row>
    <row r="946" customFormat="false" ht="12" hidden="false" customHeight="false" outlineLevel="0" collapsed="false">
      <c r="A946" s="448" t="n">
        <f aca="false">IF(B945+0.01&lt;=T_ini+ROUNDUP(Temps_fin_propu,0), 0.01, IF(K945&gt;0, 0.1, 0.0001))</f>
        <v>0.0001</v>
      </c>
      <c r="B946" s="449" t="n">
        <f aca="false">B945+pas</f>
        <v>35.7225000000009</v>
      </c>
      <c r="C946" s="432"/>
      <c r="D946" s="450" t="n">
        <f aca="false">IF(AND(L945&lt;L_rampe,Poussee&lt;Poids*SIN(M945)),0,(-W945+Poussee)/m*COS(M945)-U945/m*SIN(M945))</f>
        <v>-0.823432153875742</v>
      </c>
      <c r="E946" s="451" t="n">
        <f aca="false">IF(AND(L945&lt;L_rampe,Poussee&lt;Poids*SIN(M945)),0,(-W945+Poussee)/m*SIN(M945)+U945/m*COS(M945)-Poids/m)</f>
        <v>-3.84082562692077</v>
      </c>
      <c r="F946" s="449" t="n">
        <f aca="false">SQRT(acc_x^2+acc_z^2)</f>
        <v>3.92810157817332</v>
      </c>
      <c r="G946" s="450" t="n">
        <f aca="false">G945+acc_x*pas</f>
        <v>18.8911324428738</v>
      </c>
      <c r="H946" s="451" t="n">
        <f aca="false">H945+acc_z*pas</f>
        <v>-136.945431281285</v>
      </c>
      <c r="I946" s="449" t="n">
        <f aca="false">SQRT(vit_x^2+vit_z^2)</f>
        <v>138.24227296233</v>
      </c>
      <c r="J946" s="450" t="n">
        <f aca="false">J945+0.5*(vit_x+G945)*pas*(K945&gt;=0)</f>
        <v>1017.12580762709</v>
      </c>
      <c r="K946" s="451" t="n">
        <f aca="false">K945+0.5*(vit_z+H945)*pas</f>
        <v>-15.496619012903</v>
      </c>
      <c r="L946" s="449" t="n">
        <f aca="false">SQRT(pos_x^2+pos_z^2)</f>
        <v>1017.24385166089</v>
      </c>
      <c r="M946" s="450" t="n">
        <f aca="false">IF(AND(L945&gt;L_rampe,G946&gt;0),ATAN2(G946,H946),$M$4)</f>
        <v>-1.4337150509306</v>
      </c>
      <c r="N946" s="449" t="n">
        <f aca="false">DEGREES(Beta)</f>
        <v>-82.1458214427074</v>
      </c>
      <c r="O946" s="438"/>
      <c r="P946" s="452" t="n">
        <f aca="false">MATCH(t-pas/2-T_ini,CdP_t)</f>
        <v>23</v>
      </c>
      <c r="Q946" s="449" t="n">
        <f aca="false">(INDEX(CdP,2,i_P+1)-INDEX(CdP,2,i_P+0))/(INDEX(CdP,1,i_P+1)-INDEX(CdP,1,i_P+0))*(t-pas/2-T_ini-INDEX(CdP,1,i_P+0))+INDEX(CdP,2,i_P+0)</f>
        <v>0</v>
      </c>
      <c r="R946" s="450" t="n">
        <f aca="false">Poussee/(g*ISP)</f>
        <v>0</v>
      </c>
      <c r="S946" s="451" t="n">
        <f aca="false">S945-Débit*pas</f>
        <v>8.652</v>
      </c>
      <c r="T946" s="449" t="n">
        <f aca="false">m*g</f>
        <v>84.87612</v>
      </c>
      <c r="U946" s="453" t="n">
        <f aca="false">IF(pos_xz&lt;L_rampe,Poids*COS(Beta),0)</f>
        <v>0</v>
      </c>
      <c r="V946" s="450" t="n">
        <f aca="false">Rho_moyen*(20000-Alt_rampe-pos_z)/(20000+Alt_rampe+pos_z)</f>
        <v>1.22689980785901</v>
      </c>
      <c r="W946" s="449" t="n">
        <f aca="false">1/2*Rho*Sref*Cx*vit_xz^2</f>
        <v>52.1347225953301</v>
      </c>
      <c r="X946" s="438"/>
      <c r="Y946" s="454" t="str">
        <f aca="false">IF(AND(pos_z&lt;=0,K945&gt;0),"Impact balistique","") &amp; IF(AND(H947&lt;0,vit_z&gt;=0),"Apogée","") &amp; IF(AND(Poussee=0,Q945&gt;0),"Fin de propulsion","") &amp; IF(AND(L947&gt;L_rampe,pos_xz&lt;=L_rampe),"Sortie de rampe","")</f>
        <v/>
      </c>
      <c r="Z946" s="455" t="str">
        <f aca="false">IF(ABS(t-T_para)&lt;pas/2,"Para","")</f>
        <v/>
      </c>
      <c r="AA946" s="456" t="str">
        <f aca="false">IF(ABS(t-T_satellite)&lt;pas/2,"Satellite","")</f>
        <v/>
      </c>
      <c r="AB946" s="444"/>
      <c r="AC946" s="452" t="e">
        <f aca="false">IF(ABS(t-ROUND(t,0))&lt;0.001,t,NA())</f>
        <v>#N/A</v>
      </c>
      <c r="AD946" s="457" t="e">
        <f aca="false">IF(ABS(t-ROUND(t,0))&lt;0.001,pos_x,NA())</f>
        <v>#N/A</v>
      </c>
      <c r="AE946" s="458" t="e">
        <f aca="false">IF(t&lt;T_para, pos_z, NA())</f>
        <v>#N/A</v>
      </c>
      <c r="AF946" s="444"/>
      <c r="AG946" s="450" t="n">
        <f aca="false">IF(AND(L945&lt;L_rampe,Poussee&lt;Poids*SIN(M945)),0,(-W945+Poussee)/m-Poids*SIN(M945)/m)</f>
        <v>3.69226984936134</v>
      </c>
      <c r="AH946" s="449" t="n">
        <f aca="false">IF(AND(L945&lt;L_rampe,Poussee&lt;Poids*SIN(M945)), g*SIN(M945), (-W945+Poussee)/m)</f>
        <v>-6.02570188511366</v>
      </c>
    </row>
    <row r="947" customFormat="false" ht="12" hidden="false" customHeight="false" outlineLevel="0" collapsed="false">
      <c r="A947" s="448" t="n">
        <f aca="false">IF(B946+0.01&lt;=T_ini+ROUNDUP(Temps_fin_propu,0), 0.01, IF(K946&gt;0, 0.1, 0.0001))</f>
        <v>0.0001</v>
      </c>
      <c r="B947" s="449" t="n">
        <f aca="false">B946+pas</f>
        <v>35.7226000000009</v>
      </c>
      <c r="C947" s="432"/>
      <c r="D947" s="450" t="n">
        <f aca="false">IF(AND(L946&lt;L_rampe,Poussee&lt;Poids*SIN(M946)),0,(-W946+Poussee)/m*COS(M946)-U946/m*SIN(M946))</f>
        <v>-0.823431891618127</v>
      </c>
      <c r="E947" s="451" t="n">
        <f aca="false">IF(AND(L946&lt;L_rampe,Poussee&lt;Poids*SIN(M946)),0,(-W946+Poussee)/m*SIN(M946)+U946/m*COS(M946)-Poids/m)</f>
        <v>-3.84078476796416</v>
      </c>
      <c r="F947" s="449" t="n">
        <f aca="false">SQRT(acc_x^2+acc_z^2)</f>
        <v>3.92806157206825</v>
      </c>
      <c r="G947" s="450" t="n">
        <f aca="false">G946+acc_x*pas</f>
        <v>18.8910500996846</v>
      </c>
      <c r="H947" s="451" t="n">
        <f aca="false">H946+acc_z*pas</f>
        <v>-136.945815359762</v>
      </c>
      <c r="I947" s="449" t="n">
        <f aca="false">SQRT(vit_x^2+vit_z^2)</f>
        <v>138.242642185466</v>
      </c>
      <c r="J947" s="450" t="n">
        <f aca="false">J946+0.5*(vit_x+G946)*pas*(K946&gt;=0)</f>
        <v>1017.12580762709</v>
      </c>
      <c r="K947" s="451" t="n">
        <f aca="false">K946+0.5*(vit_z+H946)*pas</f>
        <v>-15.510313575235</v>
      </c>
      <c r="L947" s="449" t="n">
        <f aca="false">SQRT(pos_x^2+pos_z^2)</f>
        <v>1017.24406037502</v>
      </c>
      <c r="M947" s="450" t="n">
        <f aca="false">IF(AND(L946&gt;L_rampe,G947&gt;0),ATAN2(G947,H947),$M$4)</f>
        <v>-1.43371602064559</v>
      </c>
      <c r="N947" s="449" t="n">
        <f aca="false">DEGREES(Beta)</f>
        <v>-82.1458770032837</v>
      </c>
      <c r="O947" s="438"/>
      <c r="P947" s="452" t="n">
        <f aca="false">MATCH(t-pas/2-T_ini,CdP_t)</f>
        <v>23</v>
      </c>
      <c r="Q947" s="449" t="n">
        <f aca="false">(INDEX(CdP,2,i_P+1)-INDEX(CdP,2,i_P+0))/(INDEX(CdP,1,i_P+1)-INDEX(CdP,1,i_P+0))*(t-pas/2-T_ini-INDEX(CdP,1,i_P+0))+INDEX(CdP,2,i_P+0)</f>
        <v>0</v>
      </c>
      <c r="R947" s="450" t="n">
        <f aca="false">Poussee/(g*ISP)</f>
        <v>0</v>
      </c>
      <c r="S947" s="451" t="n">
        <f aca="false">S946-Débit*pas</f>
        <v>8.652</v>
      </c>
      <c r="T947" s="449" t="n">
        <f aca="false">m*g</f>
        <v>84.87612</v>
      </c>
      <c r="U947" s="453" t="n">
        <f aca="false">IF(pos_xz&lt;L_rampe,Poids*COS(Beta),0)</f>
        <v>0</v>
      </c>
      <c r="V947" s="450" t="n">
        <f aca="false">Rho_moyen*(20000-Alt_rampe-pos_z)/(20000+Alt_rampe+pos_z)</f>
        <v>1.22690148804676</v>
      </c>
      <c r="W947" s="449" t="n">
        <f aca="false">1/2*Rho*Sref*Cx*vit_xz^2</f>
        <v>52.1350724795093</v>
      </c>
      <c r="X947" s="438"/>
      <c r="Y947" s="454" t="str">
        <f aca="false">IF(AND(pos_z&lt;=0,K946&gt;0),"Impact balistique","") &amp; IF(AND(H948&lt;0,vit_z&gt;=0),"Apogée","") &amp; IF(AND(Poussee=0,Q946&gt;0),"Fin de propulsion","") &amp; IF(AND(L948&gt;L_rampe,pos_xz&lt;=L_rampe),"Sortie de rampe","")</f>
        <v/>
      </c>
      <c r="Z947" s="455" t="str">
        <f aca="false">IF(ABS(t-T_para)&lt;pas/2,"Para","")</f>
        <v/>
      </c>
      <c r="AA947" s="456" t="str">
        <f aca="false">IF(ABS(t-T_satellite)&lt;pas/2,"Satellite","")</f>
        <v/>
      </c>
      <c r="AB947" s="444"/>
      <c r="AC947" s="452" t="e">
        <f aca="false">IF(ABS(t-ROUND(t,0))&lt;0.001,t,NA())</f>
        <v>#N/A</v>
      </c>
      <c r="AD947" s="457" t="e">
        <f aca="false">IF(ABS(t-ROUND(t,0))&lt;0.001,pos_x,NA())</f>
        <v>#N/A</v>
      </c>
      <c r="AE947" s="458" t="e">
        <f aca="false">IF(t&lt;T_para, pos_z, NA())</f>
        <v>#N/A</v>
      </c>
      <c r="AF947" s="444"/>
      <c r="AG947" s="450" t="n">
        <f aca="false">IF(AND(L946&lt;L_rampe,Poussee&lt;Poids*SIN(M946)),0,(-W946+Poussee)/m-Poids*SIN(M946)/m)</f>
        <v>3.69223070951881</v>
      </c>
      <c r="AH947" s="449" t="n">
        <f aca="false">IF(AND(L946&lt;L_rampe,Poussee&lt;Poids*SIN(M946)), g*SIN(M946), (-W946+Poussee)/m)</f>
        <v>-6.02574232493413</v>
      </c>
    </row>
    <row r="948" customFormat="false" ht="12" hidden="false" customHeight="false" outlineLevel="0" collapsed="false">
      <c r="A948" s="448" t="n">
        <f aca="false">IF(B947+0.01&lt;=T_ini+ROUNDUP(Temps_fin_propu,0), 0.01, IF(K947&gt;0, 0.1, 0.0001))</f>
        <v>0.0001</v>
      </c>
      <c r="B948" s="449" t="n">
        <f aca="false">B947+pas</f>
        <v>35.722700000001</v>
      </c>
      <c r="C948" s="432"/>
      <c r="D948" s="450" t="n">
        <f aca="false">IF(AND(L947&lt;L_rampe,Poussee&lt;Poids*SIN(M947)),0,(-W947+Poussee)/m*COS(M947)-U947/m*SIN(M947))</f>
        <v>-0.82343162932007</v>
      </c>
      <c r="E948" s="451" t="n">
        <f aca="false">IF(AND(L947&lt;L_rampe,Poussee&lt;Poids*SIN(M947)),0,(-W947+Poussee)/m*SIN(M947)+U947/m*COS(M947)-Poids/m)</f>
        <v>-3.84074390914157</v>
      </c>
      <c r="F948" s="449" t="n">
        <f aca="false">SQRT(acc_x^2+acc_z^2)</f>
        <v>3.92802156610332</v>
      </c>
      <c r="G948" s="450" t="n">
        <f aca="false">G947+acc_x*pas</f>
        <v>18.8909677565217</v>
      </c>
      <c r="H948" s="451" t="n">
        <f aca="false">H947+acc_z*pas</f>
        <v>-136.946199434153</v>
      </c>
      <c r="I948" s="449" t="n">
        <f aca="false">SQRT(vit_x^2+vit_z^2)</f>
        <v>138.243011404688</v>
      </c>
      <c r="J948" s="450" t="n">
        <f aca="false">J947+0.5*(vit_x+G947)*pas*(K947&gt;=0)</f>
        <v>1017.12580762709</v>
      </c>
      <c r="K948" s="451" t="n">
        <f aca="false">K947+0.5*(vit_z+H947)*pas</f>
        <v>-15.5240081759747</v>
      </c>
      <c r="L948" s="449" t="n">
        <f aca="false">SQRT(pos_x^2+pos_z^2)</f>
        <v>1017.24426927406</v>
      </c>
      <c r="M948" s="450" t="n">
        <f aca="false">IF(AND(L947&gt;L_rampe,G948&gt;0),ATAN2(G948,H948),$M$4)</f>
        <v>-1.43371699035117</v>
      </c>
      <c r="N948" s="449" t="n">
        <f aca="false">DEGREES(Beta)</f>
        <v>-82.1459325633209</v>
      </c>
      <c r="O948" s="438"/>
      <c r="P948" s="452" t="n">
        <f aca="false">MATCH(t-pas/2-T_ini,CdP_t)</f>
        <v>23</v>
      </c>
      <c r="Q948" s="449" t="n">
        <f aca="false">(INDEX(CdP,2,i_P+1)-INDEX(CdP,2,i_P+0))/(INDEX(CdP,1,i_P+1)-INDEX(CdP,1,i_P+0))*(t-pas/2-T_ini-INDEX(CdP,1,i_P+0))+INDEX(CdP,2,i_P+0)</f>
        <v>0</v>
      </c>
      <c r="R948" s="450" t="n">
        <f aca="false">Poussee/(g*ISP)</f>
        <v>0</v>
      </c>
      <c r="S948" s="451" t="n">
        <f aca="false">S947-Débit*pas</f>
        <v>8.652</v>
      </c>
      <c r="T948" s="449" t="n">
        <f aca="false">m*g</f>
        <v>84.87612</v>
      </c>
      <c r="U948" s="453" t="n">
        <f aca="false">IF(pos_xz&lt;L_rampe,Poids*COS(Beta),0)</f>
        <v>0</v>
      </c>
      <c r="V948" s="450" t="n">
        <f aca="false">Rho_moyen*(20000-Alt_rampe-pos_z)/(20000+Alt_rampe+pos_z)</f>
        <v>1.22690316824152</v>
      </c>
      <c r="W948" s="449" t="n">
        <f aca="false">1/2*Rho*Sref*Cx*vit_xz^2</f>
        <v>52.135422362541</v>
      </c>
      <c r="X948" s="438"/>
      <c r="Y948" s="454" t="str">
        <f aca="false">IF(AND(pos_z&lt;=0,K947&gt;0),"Impact balistique","") &amp; IF(AND(H949&lt;0,vit_z&gt;=0),"Apogée","") &amp; IF(AND(Poussee=0,Q947&gt;0),"Fin de propulsion","") &amp; IF(AND(L949&gt;L_rampe,pos_xz&lt;=L_rampe),"Sortie de rampe","")</f>
        <v/>
      </c>
      <c r="Z948" s="455" t="str">
        <f aca="false">IF(ABS(t-T_para)&lt;pas/2,"Para","")</f>
        <v/>
      </c>
      <c r="AA948" s="456" t="str">
        <f aca="false">IF(ABS(t-T_satellite)&lt;pas/2,"Satellite","")</f>
        <v/>
      </c>
      <c r="AB948" s="444"/>
      <c r="AC948" s="452" t="e">
        <f aca="false">IF(ABS(t-ROUND(t,0))&lt;0.001,t,NA())</f>
        <v>#N/A</v>
      </c>
      <c r="AD948" s="457" t="e">
        <f aca="false">IF(ABS(t-ROUND(t,0))&lt;0.001,pos_x,NA())</f>
        <v>#N/A</v>
      </c>
      <c r="AE948" s="458" t="e">
        <f aca="false">IF(t&lt;T_para, pos_z, NA())</f>
        <v>#N/A</v>
      </c>
      <c r="AF948" s="444"/>
      <c r="AG948" s="450" t="n">
        <f aca="false">IF(AND(L947&lt;L_rampe,Poussee&lt;Poids*SIN(M947)),0,(-W947+Poussee)/m-Poids*SIN(M947)/m)</f>
        <v>3.69219156978716</v>
      </c>
      <c r="AH948" s="449" t="n">
        <f aca="false">IF(AND(L947&lt;L_rampe,Poussee&lt;Poids*SIN(M947)), g*SIN(M947), (-W947+Poussee)/m)</f>
        <v>-6.02578276462197</v>
      </c>
    </row>
    <row r="949" customFormat="false" ht="12" hidden="false" customHeight="false" outlineLevel="0" collapsed="false">
      <c r="A949" s="448" t="n">
        <f aca="false">IF(B948+0.01&lt;=T_ini+ROUNDUP(Temps_fin_propu,0), 0.01, IF(K948&gt;0, 0.1, 0.0001))</f>
        <v>0.0001</v>
      </c>
      <c r="B949" s="449" t="n">
        <f aca="false">B948+pas</f>
        <v>35.722800000001</v>
      </c>
      <c r="C949" s="432"/>
      <c r="D949" s="450" t="n">
        <f aca="false">IF(AND(L948&lt;L_rampe,Poussee&lt;Poids*SIN(M948)),0,(-W948+Poussee)/m*COS(M948)-U948/m*SIN(M948))</f>
        <v>-0.823431366981574</v>
      </c>
      <c r="E949" s="451" t="n">
        <f aca="false">IF(AND(L948&lt;L_rampe,Poussee&lt;Poids*SIN(M948)),0,(-W948+Poussee)/m*SIN(M948)+U948/m*COS(M948)-Poids/m)</f>
        <v>-3.84070305045301</v>
      </c>
      <c r="F949" s="449" t="n">
        <f aca="false">SQRT(acc_x^2+acc_z^2)</f>
        <v>3.92798156027853</v>
      </c>
      <c r="G949" s="450" t="n">
        <f aca="false">G948+acc_x*pas</f>
        <v>18.890885413385</v>
      </c>
      <c r="H949" s="451" t="n">
        <f aca="false">H948+acc_z*pas</f>
        <v>-136.946583504458</v>
      </c>
      <c r="I949" s="449" t="n">
        <f aca="false">SQRT(vit_x^2+vit_z^2)</f>
        <v>138.243380619996</v>
      </c>
      <c r="J949" s="450" t="n">
        <f aca="false">J948+0.5*(vit_x+G948)*pas*(K948&gt;=0)</f>
        <v>1017.12580762709</v>
      </c>
      <c r="K949" s="451" t="n">
        <f aca="false">K948+0.5*(vit_z+H948)*pas</f>
        <v>-15.5377028151217</v>
      </c>
      <c r="L949" s="449" t="n">
        <f aca="false">SQRT(pos_x^2+pos_z^2)</f>
        <v>1017.244478358</v>
      </c>
      <c r="M949" s="450" t="n">
        <f aca="false">IF(AND(L948&gt;L_rampe,G949&gt;0),ATAN2(G949,H949),$M$4)</f>
        <v>-1.43371796004735</v>
      </c>
      <c r="N949" s="449" t="n">
        <f aca="false">DEGREES(Beta)</f>
        <v>-82.1459881228192</v>
      </c>
      <c r="O949" s="438"/>
      <c r="P949" s="452" t="n">
        <f aca="false">MATCH(t-pas/2-T_ini,CdP_t)</f>
        <v>23</v>
      </c>
      <c r="Q949" s="449" t="n">
        <f aca="false">(INDEX(CdP,2,i_P+1)-INDEX(CdP,2,i_P+0))/(INDEX(CdP,1,i_P+1)-INDEX(CdP,1,i_P+0))*(t-pas/2-T_ini-INDEX(CdP,1,i_P+0))+INDEX(CdP,2,i_P+0)</f>
        <v>0</v>
      </c>
      <c r="R949" s="450" t="n">
        <f aca="false">Poussee/(g*ISP)</f>
        <v>0</v>
      </c>
      <c r="S949" s="451" t="n">
        <f aca="false">S948-Débit*pas</f>
        <v>8.652</v>
      </c>
      <c r="T949" s="449" t="n">
        <f aca="false">m*g</f>
        <v>84.87612</v>
      </c>
      <c r="U949" s="453" t="n">
        <f aca="false">IF(pos_xz&lt;L_rampe,Poids*COS(Beta),0)</f>
        <v>0</v>
      </c>
      <c r="V949" s="450" t="n">
        <f aca="false">Rho_moyen*(20000-Alt_rampe-pos_z)/(20000+Alt_rampe+pos_z)</f>
        <v>1.2269048484433</v>
      </c>
      <c r="W949" s="449" t="n">
        <f aca="false">1/2*Rho*Sref*Cx*vit_xz^2</f>
        <v>52.1357722444252</v>
      </c>
      <c r="X949" s="438"/>
      <c r="Y949" s="454" t="str">
        <f aca="false">IF(AND(pos_z&lt;=0,K948&gt;0),"Impact balistique","") &amp; IF(AND(H950&lt;0,vit_z&gt;=0),"Apogée","") &amp; IF(AND(Poussee=0,Q948&gt;0),"Fin de propulsion","") &amp; IF(AND(L950&gt;L_rampe,pos_xz&lt;=L_rampe),"Sortie de rampe","")</f>
        <v/>
      </c>
      <c r="Z949" s="455" t="str">
        <f aca="false">IF(ABS(t-T_para)&lt;pas/2,"Para","")</f>
        <v/>
      </c>
      <c r="AA949" s="456" t="str">
        <f aca="false">IF(ABS(t-T_satellite)&lt;pas/2,"Satellite","")</f>
        <v/>
      </c>
      <c r="AB949" s="444"/>
      <c r="AC949" s="452" t="e">
        <f aca="false">IF(ABS(t-ROUND(t,0))&lt;0.001,t,NA())</f>
        <v>#N/A</v>
      </c>
      <c r="AD949" s="457" t="e">
        <f aca="false">IF(ABS(t-ROUND(t,0))&lt;0.001,pos_x,NA())</f>
        <v>#N/A</v>
      </c>
      <c r="AE949" s="458" t="e">
        <f aca="false">IF(t&lt;T_para, pos_z, NA())</f>
        <v>#N/A</v>
      </c>
      <c r="AF949" s="444"/>
      <c r="AG949" s="450" t="n">
        <f aca="false">IF(AND(L948&lt;L_rampe,Poussee&lt;Poids*SIN(M948)),0,(-W948+Poussee)/m-Poids*SIN(M948)/m)</f>
        <v>3.69215243016639</v>
      </c>
      <c r="AH949" s="449" t="n">
        <f aca="false">IF(AND(L948&lt;L_rampe,Poussee&lt;Poids*SIN(M948)), g*SIN(M948), (-W948+Poussee)/m)</f>
        <v>-6.02582320417719</v>
      </c>
    </row>
    <row r="950" customFormat="false" ht="12" hidden="false" customHeight="false" outlineLevel="0" collapsed="false">
      <c r="A950" s="448" t="n">
        <f aca="false">IF(B949+0.01&lt;=T_ini+ROUNDUP(Temps_fin_propu,0), 0.01, IF(K949&gt;0, 0.1, 0.0001))</f>
        <v>0.0001</v>
      </c>
      <c r="B950" s="449" t="n">
        <f aca="false">B949+pas</f>
        <v>35.722900000001</v>
      </c>
      <c r="C950" s="432"/>
      <c r="D950" s="450" t="n">
        <f aca="false">IF(AND(L949&lt;L_rampe,Poussee&lt;Poids*SIN(M949)),0,(-W949+Poussee)/m*COS(M949)-U949/m*SIN(M949))</f>
        <v>-0.823431104602635</v>
      </c>
      <c r="E950" s="451" t="n">
        <f aca="false">IF(AND(L949&lt;L_rampe,Poussee&lt;Poids*SIN(M949)),0,(-W949+Poussee)/m*SIN(M949)+U949/m*COS(M949)-Poids/m)</f>
        <v>-3.84066219189847</v>
      </c>
      <c r="F950" s="449" t="n">
        <f aca="false">SQRT(acc_x^2+acc_z^2)</f>
        <v>3.92794155459389</v>
      </c>
      <c r="G950" s="450" t="n">
        <f aca="false">G949+acc_x*pas</f>
        <v>18.8908030702745</v>
      </c>
      <c r="H950" s="451" t="n">
        <f aca="false">H949+acc_z*pas</f>
        <v>-136.946967570677</v>
      </c>
      <c r="I950" s="449" t="n">
        <f aca="false">SQRT(vit_x^2+vit_z^2)</f>
        <v>138.24374983139</v>
      </c>
      <c r="J950" s="450" t="n">
        <f aca="false">J949+0.5*(vit_x+G949)*pas*(K949&gt;=0)</f>
        <v>1017.12580762709</v>
      </c>
      <c r="K950" s="451" t="n">
        <f aca="false">K949+0.5*(vit_z+H949)*pas</f>
        <v>-15.5513974926754</v>
      </c>
      <c r="L950" s="449" t="n">
        <f aca="false">SQRT(pos_x^2+pos_z^2)</f>
        <v>1017.24468762684</v>
      </c>
      <c r="M950" s="450" t="n">
        <f aca="false">IF(AND(L949&gt;L_rampe,G950&gt;0),ATAN2(G950,H950),$M$4)</f>
        <v>-1.43371892973412</v>
      </c>
      <c r="N950" s="449" t="n">
        <f aca="false">DEGREES(Beta)</f>
        <v>-82.1460436817785</v>
      </c>
      <c r="O950" s="438"/>
      <c r="P950" s="452" t="n">
        <f aca="false">MATCH(t-pas/2-T_ini,CdP_t)</f>
        <v>23</v>
      </c>
      <c r="Q950" s="449" t="n">
        <f aca="false">(INDEX(CdP,2,i_P+1)-INDEX(CdP,2,i_P+0))/(INDEX(CdP,1,i_P+1)-INDEX(CdP,1,i_P+0))*(t-pas/2-T_ini-INDEX(CdP,1,i_P+0))+INDEX(CdP,2,i_P+0)</f>
        <v>0</v>
      </c>
      <c r="R950" s="450" t="n">
        <f aca="false">Poussee/(g*ISP)</f>
        <v>0</v>
      </c>
      <c r="S950" s="451" t="n">
        <f aca="false">S949-Débit*pas</f>
        <v>8.652</v>
      </c>
      <c r="T950" s="449" t="n">
        <f aca="false">m*g</f>
        <v>84.87612</v>
      </c>
      <c r="U950" s="453" t="n">
        <f aca="false">IF(pos_xz&lt;L_rampe,Poids*COS(Beta),0)</f>
        <v>0</v>
      </c>
      <c r="V950" s="450" t="n">
        <f aca="false">Rho_moyen*(20000-Alt_rampe-pos_z)/(20000+Alt_rampe+pos_z)</f>
        <v>1.2269065286521</v>
      </c>
      <c r="W950" s="449" t="n">
        <f aca="false">1/2*Rho*Sref*Cx*vit_xz^2</f>
        <v>52.1361221251619</v>
      </c>
      <c r="X950" s="438"/>
      <c r="Y950" s="454" t="str">
        <f aca="false">IF(AND(pos_z&lt;=0,K949&gt;0),"Impact balistique","") &amp; IF(AND(H951&lt;0,vit_z&gt;=0),"Apogée","") &amp; IF(AND(Poussee=0,Q949&gt;0),"Fin de propulsion","") &amp; IF(AND(L951&gt;L_rampe,pos_xz&lt;=L_rampe),"Sortie de rampe","")</f>
        <v/>
      </c>
      <c r="Z950" s="455" t="str">
        <f aca="false">IF(ABS(t-T_para)&lt;pas/2,"Para","")</f>
        <v/>
      </c>
      <c r="AA950" s="456" t="str">
        <f aca="false">IF(ABS(t-T_satellite)&lt;pas/2,"Satellite","")</f>
        <v/>
      </c>
      <c r="AB950" s="444"/>
      <c r="AC950" s="452" t="e">
        <f aca="false">IF(ABS(t-ROUND(t,0))&lt;0.001,t,NA())</f>
        <v>#N/A</v>
      </c>
      <c r="AD950" s="457" t="e">
        <f aca="false">IF(ABS(t-ROUND(t,0))&lt;0.001,pos_x,NA())</f>
        <v>#N/A</v>
      </c>
      <c r="AE950" s="458" t="e">
        <f aca="false">IF(t&lt;T_para, pos_z, NA())</f>
        <v>#N/A</v>
      </c>
      <c r="AF950" s="444"/>
      <c r="AG950" s="450" t="n">
        <f aca="false">IF(AND(L949&lt;L_rampe,Poussee&lt;Poids*SIN(M949)),0,(-W949+Poussee)/m-Poids*SIN(M949)/m)</f>
        <v>3.6921132906565</v>
      </c>
      <c r="AH950" s="449" t="n">
        <f aca="false">IF(AND(L949&lt;L_rampe,Poussee&lt;Poids*SIN(M949)), g*SIN(M949), (-W949+Poussee)/m)</f>
        <v>-6.02586364359977</v>
      </c>
    </row>
    <row r="951" customFormat="false" ht="12" hidden="false" customHeight="false" outlineLevel="0" collapsed="false">
      <c r="A951" s="448" t="n">
        <f aca="false">IF(B950+0.01&lt;=T_ini+ROUNDUP(Temps_fin_propu,0), 0.01, IF(K950&gt;0, 0.1, 0.0001))</f>
        <v>0.0001</v>
      </c>
      <c r="B951" s="449" t="n">
        <f aca="false">B950+pas</f>
        <v>35.723000000001</v>
      </c>
      <c r="C951" s="432"/>
      <c r="D951" s="450" t="n">
        <f aca="false">IF(AND(L950&lt;L_rampe,Poussee&lt;Poids*SIN(M950)),0,(-W950+Poussee)/m*COS(M950)-U950/m*SIN(M950))</f>
        <v>-0.823430842183257</v>
      </c>
      <c r="E951" s="451" t="n">
        <f aca="false">IF(AND(L950&lt;L_rampe,Poussee&lt;Poids*SIN(M950)),0,(-W950+Poussee)/m*SIN(M950)+U950/m*COS(M950)-Poids/m)</f>
        <v>-3.84062133347797</v>
      </c>
      <c r="F951" s="449" t="n">
        <f aca="false">SQRT(acc_x^2+acc_z^2)</f>
        <v>3.9279015490494</v>
      </c>
      <c r="G951" s="450" t="n">
        <f aca="false">G950+acc_x*pas</f>
        <v>18.8907207271903</v>
      </c>
      <c r="H951" s="451" t="n">
        <f aca="false">H950+acc_z*pas</f>
        <v>-136.94735163281</v>
      </c>
      <c r="I951" s="449" t="n">
        <f aca="false">SQRT(vit_x^2+vit_z^2)</f>
        <v>138.24411903887</v>
      </c>
      <c r="J951" s="450" t="n">
        <f aca="false">J950+0.5*(vit_x+G950)*pas*(K950&gt;=0)</f>
        <v>1017.12580762709</v>
      </c>
      <c r="K951" s="451" t="n">
        <f aca="false">K950+0.5*(vit_z+H950)*pas</f>
        <v>-15.5650922086356</v>
      </c>
      <c r="L951" s="449" t="n">
        <f aca="false">SQRT(pos_x^2+pos_z^2)</f>
        <v>1017.2448970806</v>
      </c>
      <c r="M951" s="450" t="n">
        <f aca="false">IF(AND(L950&gt;L_rampe,G951&gt;0),ATAN2(G951,H951),$M$4)</f>
        <v>-1.43371989941148</v>
      </c>
      <c r="N951" s="449" t="n">
        <f aca="false">DEGREES(Beta)</f>
        <v>-82.1460992401989</v>
      </c>
      <c r="O951" s="438"/>
      <c r="P951" s="452" t="n">
        <f aca="false">MATCH(t-pas/2-T_ini,CdP_t)</f>
        <v>23</v>
      </c>
      <c r="Q951" s="449" t="n">
        <f aca="false">(INDEX(CdP,2,i_P+1)-INDEX(CdP,2,i_P+0))/(INDEX(CdP,1,i_P+1)-INDEX(CdP,1,i_P+0))*(t-pas/2-T_ini-INDEX(CdP,1,i_P+0))+INDEX(CdP,2,i_P+0)</f>
        <v>0</v>
      </c>
      <c r="R951" s="450" t="n">
        <f aca="false">Poussee/(g*ISP)</f>
        <v>0</v>
      </c>
      <c r="S951" s="451" t="n">
        <f aca="false">S950-Débit*pas</f>
        <v>8.652</v>
      </c>
      <c r="T951" s="449" t="n">
        <f aca="false">m*g</f>
        <v>84.87612</v>
      </c>
      <c r="U951" s="453" t="n">
        <f aca="false">IF(pos_xz&lt;L_rampe,Poids*COS(Beta),0)</f>
        <v>0</v>
      </c>
      <c r="V951" s="450" t="n">
        <f aca="false">Rho_moyen*(20000-Alt_rampe-pos_z)/(20000+Alt_rampe+pos_z)</f>
        <v>1.22690820886791</v>
      </c>
      <c r="W951" s="449" t="n">
        <f aca="false">1/2*Rho*Sref*Cx*vit_xz^2</f>
        <v>52.1364720047509</v>
      </c>
      <c r="X951" s="438"/>
      <c r="Y951" s="454" t="str">
        <f aca="false">IF(AND(pos_z&lt;=0,K950&gt;0),"Impact balistique","") &amp; IF(AND(H952&lt;0,vit_z&gt;=0),"Apogée","") &amp; IF(AND(Poussee=0,Q950&gt;0),"Fin de propulsion","") &amp; IF(AND(L952&gt;L_rampe,pos_xz&lt;=L_rampe),"Sortie de rampe","")</f>
        <v/>
      </c>
      <c r="Z951" s="455" t="str">
        <f aca="false">IF(ABS(t-T_para)&lt;pas/2,"Para","")</f>
        <v/>
      </c>
      <c r="AA951" s="456" t="str">
        <f aca="false">IF(ABS(t-T_satellite)&lt;pas/2,"Satellite","")</f>
        <v/>
      </c>
      <c r="AB951" s="444"/>
      <c r="AC951" s="452" t="e">
        <f aca="false">IF(ABS(t-ROUND(t,0))&lt;0.001,t,NA())</f>
        <v>#N/A</v>
      </c>
      <c r="AD951" s="457" t="e">
        <f aca="false">IF(ABS(t-ROUND(t,0))&lt;0.001,pos_x,NA())</f>
        <v>#N/A</v>
      </c>
      <c r="AE951" s="458" t="e">
        <f aca="false">IF(t&lt;T_para, pos_z, NA())</f>
        <v>#N/A</v>
      </c>
      <c r="AF951" s="444"/>
      <c r="AG951" s="450" t="n">
        <f aca="false">IF(AND(L950&lt;L_rampe,Poussee&lt;Poids*SIN(M950)),0,(-W950+Poussee)/m-Poids*SIN(M950)/m)</f>
        <v>3.6920741512575</v>
      </c>
      <c r="AH951" s="449" t="n">
        <f aca="false">IF(AND(L950&lt;L_rampe,Poussee&lt;Poids*SIN(M950)), g*SIN(M950), (-W950+Poussee)/m)</f>
        <v>-6.02590408288972</v>
      </c>
    </row>
    <row r="952" customFormat="false" ht="12" hidden="false" customHeight="false" outlineLevel="0" collapsed="false">
      <c r="A952" s="448" t="n">
        <f aca="false">IF(B951+0.01&lt;=T_ini+ROUNDUP(Temps_fin_propu,0), 0.01, IF(K951&gt;0, 0.1, 0.0001))</f>
        <v>0.0001</v>
      </c>
      <c r="B952" s="449" t="n">
        <f aca="false">B951+pas</f>
        <v>35.723100000001</v>
      </c>
      <c r="C952" s="432"/>
      <c r="D952" s="450" t="n">
        <f aca="false">IF(AND(L951&lt;L_rampe,Poussee&lt;Poids*SIN(M951)),0,(-W951+Poussee)/m*COS(M951)-U951/m*SIN(M951))</f>
        <v>-0.823430579723438</v>
      </c>
      <c r="E952" s="451" t="n">
        <f aca="false">IF(AND(L951&lt;L_rampe,Poussee&lt;Poids*SIN(M951)),0,(-W951+Poussee)/m*SIN(M951)+U951/m*COS(M951)-Poids/m)</f>
        <v>-3.8405804751915</v>
      </c>
      <c r="F952" s="449" t="n">
        <f aca="false">SQRT(acc_x^2+acc_z^2)</f>
        <v>3.92786154364507</v>
      </c>
      <c r="G952" s="450" t="n">
        <f aca="false">G951+acc_x*pas</f>
        <v>18.8906383841323</v>
      </c>
      <c r="H952" s="451" t="n">
        <f aca="false">H951+acc_z*pas</f>
        <v>-136.947735690858</v>
      </c>
      <c r="I952" s="449" t="n">
        <f aca="false">SQRT(vit_x^2+vit_z^2)</f>
        <v>138.244488242436</v>
      </c>
      <c r="J952" s="450" t="n">
        <f aca="false">J951+0.5*(vit_x+G951)*pas*(K951&gt;=0)</f>
        <v>1017.12580762709</v>
      </c>
      <c r="K952" s="451" t="n">
        <f aca="false">K951+0.5*(vit_z+H951)*pas</f>
        <v>-15.5787869630018</v>
      </c>
      <c r="L952" s="449" t="n">
        <f aca="false">SQRT(pos_x^2+pos_z^2)</f>
        <v>1017.24510671927</v>
      </c>
      <c r="M952" s="450" t="n">
        <f aca="false">IF(AND(L951&gt;L_rampe,G952&gt;0),ATAN2(G952,H952),$M$4)</f>
        <v>-1.43372086907944</v>
      </c>
      <c r="N952" s="449" t="n">
        <f aca="false">DEGREES(Beta)</f>
        <v>-82.1461547980804</v>
      </c>
      <c r="O952" s="438"/>
      <c r="P952" s="452" t="n">
        <f aca="false">MATCH(t-pas/2-T_ini,CdP_t)</f>
        <v>23</v>
      </c>
      <c r="Q952" s="449" t="n">
        <f aca="false">(INDEX(CdP,2,i_P+1)-INDEX(CdP,2,i_P+0))/(INDEX(CdP,1,i_P+1)-INDEX(CdP,1,i_P+0))*(t-pas/2-T_ini-INDEX(CdP,1,i_P+0))+INDEX(CdP,2,i_P+0)</f>
        <v>0</v>
      </c>
      <c r="R952" s="450" t="n">
        <f aca="false">Poussee/(g*ISP)</f>
        <v>0</v>
      </c>
      <c r="S952" s="451" t="n">
        <f aca="false">S951-Débit*pas</f>
        <v>8.652</v>
      </c>
      <c r="T952" s="449" t="n">
        <f aca="false">m*g</f>
        <v>84.87612</v>
      </c>
      <c r="U952" s="453" t="n">
        <f aca="false">IF(pos_xz&lt;L_rampe,Poids*COS(Beta),0)</f>
        <v>0</v>
      </c>
      <c r="V952" s="450" t="n">
        <f aca="false">Rho_moyen*(20000-Alt_rampe-pos_z)/(20000+Alt_rampe+pos_z)</f>
        <v>1.22690988909073</v>
      </c>
      <c r="W952" s="449" t="n">
        <f aca="false">1/2*Rho*Sref*Cx*vit_xz^2</f>
        <v>52.1368218831924</v>
      </c>
      <c r="X952" s="438"/>
      <c r="Y952" s="454" t="str">
        <f aca="false">IF(AND(pos_z&lt;=0,K951&gt;0),"Impact balistique","") &amp; IF(AND(H953&lt;0,vit_z&gt;=0),"Apogée","") &amp; IF(AND(Poussee=0,Q951&gt;0),"Fin de propulsion","") &amp; IF(AND(L953&gt;L_rampe,pos_xz&lt;=L_rampe),"Sortie de rampe","")</f>
        <v/>
      </c>
      <c r="Z952" s="455" t="str">
        <f aca="false">IF(ABS(t-T_para)&lt;pas/2,"Para","")</f>
        <v/>
      </c>
      <c r="AA952" s="456" t="str">
        <f aca="false">IF(ABS(t-T_satellite)&lt;pas/2,"Satellite","")</f>
        <v/>
      </c>
      <c r="AB952" s="444"/>
      <c r="AC952" s="452" t="e">
        <f aca="false">IF(ABS(t-ROUND(t,0))&lt;0.001,t,NA())</f>
        <v>#N/A</v>
      </c>
      <c r="AD952" s="457" t="e">
        <f aca="false">IF(ABS(t-ROUND(t,0))&lt;0.001,pos_x,NA())</f>
        <v>#N/A</v>
      </c>
      <c r="AE952" s="458" t="e">
        <f aca="false">IF(t&lt;T_para, pos_z, NA())</f>
        <v>#N/A</v>
      </c>
      <c r="AF952" s="444"/>
      <c r="AG952" s="450" t="n">
        <f aca="false">IF(AND(L951&lt;L_rampe,Poussee&lt;Poids*SIN(M951)),0,(-W951+Poussee)/m-Poids*SIN(M951)/m)</f>
        <v>3.69203501196939</v>
      </c>
      <c r="AH952" s="449" t="n">
        <f aca="false">IF(AND(L951&lt;L_rampe,Poussee&lt;Poids*SIN(M951)), g*SIN(M951), (-W951+Poussee)/m)</f>
        <v>-6.02594452204703</v>
      </c>
    </row>
    <row r="953" customFormat="false" ht="12" hidden="false" customHeight="false" outlineLevel="0" collapsed="false">
      <c r="A953" s="448" t="n">
        <f aca="false">IF(B952+0.01&lt;=T_ini+ROUNDUP(Temps_fin_propu,0), 0.01, IF(K952&gt;0, 0.1, 0.0001))</f>
        <v>0.0001</v>
      </c>
      <c r="B953" s="449" t="n">
        <f aca="false">B952+pas</f>
        <v>35.723200000001</v>
      </c>
      <c r="C953" s="432"/>
      <c r="D953" s="450" t="n">
        <f aca="false">IF(AND(L952&lt;L_rampe,Poussee&lt;Poids*SIN(M952)),0,(-W952+Poussee)/m*COS(M952)-U952/m*SIN(M952))</f>
        <v>-0.823430317223179</v>
      </c>
      <c r="E953" s="451" t="n">
        <f aca="false">IF(AND(L952&lt;L_rampe,Poussee&lt;Poids*SIN(M952)),0,(-W952+Poussee)/m*SIN(M952)+U952/m*COS(M952)-Poids/m)</f>
        <v>-3.84053961703907</v>
      </c>
      <c r="F953" s="449" t="n">
        <f aca="false">SQRT(acc_x^2+acc_z^2)</f>
        <v>3.92782153838089</v>
      </c>
      <c r="G953" s="450" t="n">
        <f aca="false">G952+acc_x*pas</f>
        <v>18.8905560411006</v>
      </c>
      <c r="H953" s="451" t="n">
        <f aca="false">H952+acc_z*pas</f>
        <v>-136.94811974482</v>
      </c>
      <c r="I953" s="449" t="n">
        <f aca="false">SQRT(vit_x^2+vit_z^2)</f>
        <v>138.244857442089</v>
      </c>
      <c r="J953" s="450" t="n">
        <f aca="false">J952+0.5*(vit_x+G952)*pas*(K952&gt;=0)</f>
        <v>1017.12580762709</v>
      </c>
      <c r="K953" s="451" t="n">
        <f aca="false">K952+0.5*(vit_z+H952)*pas</f>
        <v>-15.5924817557736</v>
      </c>
      <c r="L953" s="449" t="n">
        <f aca="false">SQRT(pos_x^2+pos_z^2)</f>
        <v>1017.24531654285</v>
      </c>
      <c r="M953" s="450" t="n">
        <f aca="false">IF(AND(L952&gt;L_rampe,G953&gt;0),ATAN2(G953,H953),$M$4)</f>
        <v>-1.43372183873799</v>
      </c>
      <c r="N953" s="449" t="n">
        <f aca="false">DEGREES(Beta)</f>
        <v>-82.146210355423</v>
      </c>
      <c r="O953" s="438"/>
      <c r="P953" s="452" t="n">
        <f aca="false">MATCH(t-pas/2-T_ini,CdP_t)</f>
        <v>23</v>
      </c>
      <c r="Q953" s="449" t="n">
        <f aca="false">(INDEX(CdP,2,i_P+1)-INDEX(CdP,2,i_P+0))/(INDEX(CdP,1,i_P+1)-INDEX(CdP,1,i_P+0))*(t-pas/2-T_ini-INDEX(CdP,1,i_P+0))+INDEX(CdP,2,i_P+0)</f>
        <v>0</v>
      </c>
      <c r="R953" s="450" t="n">
        <f aca="false">Poussee/(g*ISP)</f>
        <v>0</v>
      </c>
      <c r="S953" s="451" t="n">
        <f aca="false">S952-Débit*pas</f>
        <v>8.652</v>
      </c>
      <c r="T953" s="449" t="n">
        <f aca="false">m*g</f>
        <v>84.87612</v>
      </c>
      <c r="U953" s="453" t="n">
        <f aca="false">IF(pos_xz&lt;L_rampe,Poids*COS(Beta),0)</f>
        <v>0</v>
      </c>
      <c r="V953" s="450" t="n">
        <f aca="false">Rho_moyen*(20000-Alt_rampe-pos_z)/(20000+Alt_rampe+pos_z)</f>
        <v>1.22691156932057</v>
      </c>
      <c r="W953" s="449" t="n">
        <f aca="false">1/2*Rho*Sref*Cx*vit_xz^2</f>
        <v>52.1371717604863</v>
      </c>
      <c r="X953" s="438"/>
      <c r="Y953" s="454" t="str">
        <f aca="false">IF(AND(pos_z&lt;=0,K952&gt;0),"Impact balistique","") &amp; IF(AND(H954&lt;0,vit_z&gt;=0),"Apogée","") &amp; IF(AND(Poussee=0,Q952&gt;0),"Fin de propulsion","") &amp; IF(AND(L954&gt;L_rampe,pos_xz&lt;=L_rampe),"Sortie de rampe","")</f>
        <v/>
      </c>
      <c r="Z953" s="455" t="str">
        <f aca="false">IF(ABS(t-T_para)&lt;pas/2,"Para","")</f>
        <v/>
      </c>
      <c r="AA953" s="456" t="str">
        <f aca="false">IF(ABS(t-T_satellite)&lt;pas/2,"Satellite","")</f>
        <v/>
      </c>
      <c r="AB953" s="444"/>
      <c r="AC953" s="452" t="e">
        <f aca="false">IF(ABS(t-ROUND(t,0))&lt;0.001,t,NA())</f>
        <v>#N/A</v>
      </c>
      <c r="AD953" s="457" t="e">
        <f aca="false">IF(ABS(t-ROUND(t,0))&lt;0.001,pos_x,NA())</f>
        <v>#N/A</v>
      </c>
      <c r="AE953" s="458" t="e">
        <f aca="false">IF(t&lt;T_para, pos_z, NA())</f>
        <v>#N/A</v>
      </c>
      <c r="AF953" s="444"/>
      <c r="AG953" s="450" t="n">
        <f aca="false">IF(AND(L952&lt;L_rampe,Poussee&lt;Poids*SIN(M952)),0,(-W952+Poussee)/m-Poids*SIN(M952)/m)</f>
        <v>3.69199587279217</v>
      </c>
      <c r="AH953" s="449" t="n">
        <f aca="false">IF(AND(L952&lt;L_rampe,Poussee&lt;Poids*SIN(M952)), g*SIN(M952), (-W952+Poussee)/m)</f>
        <v>-6.02598496107171</v>
      </c>
    </row>
    <row r="954" customFormat="false" ht="12" hidden="false" customHeight="false" outlineLevel="0" collapsed="false">
      <c r="A954" s="448" t="n">
        <f aca="false">IF(B953+0.01&lt;=T_ini+ROUNDUP(Temps_fin_propu,0), 0.01, IF(K953&gt;0, 0.1, 0.0001))</f>
        <v>0.0001</v>
      </c>
      <c r="B954" s="449" t="n">
        <f aca="false">B953+pas</f>
        <v>35.723300000001</v>
      </c>
      <c r="C954" s="432"/>
      <c r="D954" s="450" t="n">
        <f aca="false">IF(AND(L953&lt;L_rampe,Poussee&lt;Poids*SIN(M953)),0,(-W953+Poussee)/m*COS(M953)-U953/m*SIN(M953))</f>
        <v>-0.823430054682482</v>
      </c>
      <c r="E954" s="451" t="n">
        <f aca="false">IF(AND(L953&lt;L_rampe,Poussee&lt;Poids*SIN(M953)),0,(-W953+Poussee)/m*SIN(M953)+U953/m*COS(M953)-Poids/m)</f>
        <v>-3.84049875902067</v>
      </c>
      <c r="F954" s="449" t="n">
        <f aca="false">SQRT(acc_x^2+acc_z^2)</f>
        <v>3.92778153325687</v>
      </c>
      <c r="G954" s="450" t="n">
        <f aca="false">G953+acc_x*pas</f>
        <v>18.8904736980951</v>
      </c>
      <c r="H954" s="451" t="n">
        <f aca="false">H953+acc_z*pas</f>
        <v>-136.948503794695</v>
      </c>
      <c r="I954" s="449" t="n">
        <f aca="false">SQRT(vit_x^2+vit_z^2)</f>
        <v>138.245226637827</v>
      </c>
      <c r="J954" s="450" t="n">
        <f aca="false">J953+0.5*(vit_x+G953)*pas*(K953&gt;=0)</f>
        <v>1017.12580762709</v>
      </c>
      <c r="K954" s="451" t="n">
        <f aca="false">K953+0.5*(vit_z+H953)*pas</f>
        <v>-15.6061765869505</v>
      </c>
      <c r="L954" s="449" t="n">
        <f aca="false">SQRT(pos_x^2+pos_z^2)</f>
        <v>1017.24552655134</v>
      </c>
      <c r="M954" s="450" t="n">
        <f aca="false">IF(AND(L953&gt;L_rampe,G954&gt;0),ATAN2(G954,H954),$M$4)</f>
        <v>-1.43372280838714</v>
      </c>
      <c r="N954" s="449" t="n">
        <f aca="false">DEGREES(Beta)</f>
        <v>-82.1462659122266</v>
      </c>
      <c r="O954" s="438"/>
      <c r="P954" s="452" t="n">
        <f aca="false">MATCH(t-pas/2-T_ini,CdP_t)</f>
        <v>23</v>
      </c>
      <c r="Q954" s="449" t="n">
        <f aca="false">(INDEX(CdP,2,i_P+1)-INDEX(CdP,2,i_P+0))/(INDEX(CdP,1,i_P+1)-INDEX(CdP,1,i_P+0))*(t-pas/2-T_ini-INDEX(CdP,1,i_P+0))+INDEX(CdP,2,i_P+0)</f>
        <v>0</v>
      </c>
      <c r="R954" s="450" t="n">
        <f aca="false">Poussee/(g*ISP)</f>
        <v>0</v>
      </c>
      <c r="S954" s="451" t="n">
        <f aca="false">S953-Débit*pas</f>
        <v>8.652</v>
      </c>
      <c r="T954" s="449" t="n">
        <f aca="false">m*g</f>
        <v>84.87612</v>
      </c>
      <c r="U954" s="453" t="n">
        <f aca="false">IF(pos_xz&lt;L_rampe,Poids*COS(Beta),0)</f>
        <v>0</v>
      </c>
      <c r="V954" s="450" t="n">
        <f aca="false">Rho_moyen*(20000-Alt_rampe-pos_z)/(20000+Alt_rampe+pos_z)</f>
        <v>1.22691324955742</v>
      </c>
      <c r="W954" s="449" t="n">
        <f aca="false">1/2*Rho*Sref*Cx*vit_xz^2</f>
        <v>52.1375216366326</v>
      </c>
      <c r="X954" s="438"/>
      <c r="Y954" s="454" t="str">
        <f aca="false">IF(AND(pos_z&lt;=0,K953&gt;0),"Impact balistique","") &amp; IF(AND(H955&lt;0,vit_z&gt;=0),"Apogée","") &amp; IF(AND(Poussee=0,Q953&gt;0),"Fin de propulsion","") &amp; IF(AND(L955&gt;L_rampe,pos_xz&lt;=L_rampe),"Sortie de rampe","")</f>
        <v/>
      </c>
      <c r="Z954" s="455" t="str">
        <f aca="false">IF(ABS(t-T_para)&lt;pas/2,"Para","")</f>
        <v/>
      </c>
      <c r="AA954" s="456" t="str">
        <f aca="false">IF(ABS(t-T_satellite)&lt;pas/2,"Satellite","")</f>
        <v/>
      </c>
      <c r="AB954" s="444"/>
      <c r="AC954" s="452" t="e">
        <f aca="false">IF(ABS(t-ROUND(t,0))&lt;0.001,t,NA())</f>
        <v>#N/A</v>
      </c>
      <c r="AD954" s="457" t="e">
        <f aca="false">IF(ABS(t-ROUND(t,0))&lt;0.001,pos_x,NA())</f>
        <v>#N/A</v>
      </c>
      <c r="AE954" s="458" t="e">
        <f aca="false">IF(t&lt;T_para, pos_z, NA())</f>
        <v>#N/A</v>
      </c>
      <c r="AF954" s="444"/>
      <c r="AG954" s="450" t="n">
        <f aca="false">IF(AND(L953&lt;L_rampe,Poussee&lt;Poids*SIN(M953)),0,(-W953+Poussee)/m-Poids*SIN(M953)/m)</f>
        <v>3.69195673372584</v>
      </c>
      <c r="AH954" s="449" t="n">
        <f aca="false">IF(AND(L953&lt;L_rampe,Poussee&lt;Poids*SIN(M953)), g*SIN(M953), (-W953+Poussee)/m)</f>
        <v>-6.02602539996375</v>
      </c>
    </row>
    <row r="955" customFormat="false" ht="12" hidden="false" customHeight="false" outlineLevel="0" collapsed="false">
      <c r="A955" s="448" t="n">
        <f aca="false">IF(B954+0.01&lt;=T_ini+ROUNDUP(Temps_fin_propu,0), 0.01, IF(K954&gt;0, 0.1, 0.0001))</f>
        <v>0.0001</v>
      </c>
      <c r="B955" s="449" t="n">
        <f aca="false">B954+pas</f>
        <v>35.723400000001</v>
      </c>
      <c r="C955" s="432"/>
      <c r="D955" s="450" t="n">
        <f aca="false">IF(AND(L954&lt;L_rampe,Poussee&lt;Poids*SIN(M954)),0,(-W954+Poussee)/m*COS(M954)-U954/m*SIN(M954))</f>
        <v>-0.823429792101345</v>
      </c>
      <c r="E955" s="451" t="n">
        <f aca="false">IF(AND(L954&lt;L_rampe,Poussee&lt;Poids*SIN(M954)),0,(-W954+Poussee)/m*SIN(M954)+U954/m*COS(M954)-Poids/m)</f>
        <v>-3.84045790113631</v>
      </c>
      <c r="F955" s="449" t="n">
        <f aca="false">SQRT(acc_x^2+acc_z^2)</f>
        <v>3.92774152827301</v>
      </c>
      <c r="G955" s="450" t="n">
        <f aca="false">G954+acc_x*pas</f>
        <v>18.8903913551159</v>
      </c>
      <c r="H955" s="451" t="n">
        <f aca="false">H954+acc_z*pas</f>
        <v>-136.948887840486</v>
      </c>
      <c r="I955" s="449" t="n">
        <f aca="false">SQRT(vit_x^2+vit_z^2)</f>
        <v>138.245595829651</v>
      </c>
      <c r="J955" s="450" t="n">
        <f aca="false">J954+0.5*(vit_x+G954)*pas*(K954&gt;=0)</f>
        <v>1017.12580762709</v>
      </c>
      <c r="K955" s="451" t="n">
        <f aca="false">K954+0.5*(vit_z+H954)*pas</f>
        <v>-15.6198714565323</v>
      </c>
      <c r="L955" s="449" t="n">
        <f aca="false">SQRT(pos_x^2+pos_z^2)</f>
        <v>1017.24573674475</v>
      </c>
      <c r="M955" s="450" t="n">
        <f aca="false">IF(AND(L954&gt;L_rampe,G955&gt;0),ATAN2(G955,H955),$M$4)</f>
        <v>-1.43372377802688</v>
      </c>
      <c r="N955" s="449" t="n">
        <f aca="false">DEGREES(Beta)</f>
        <v>-82.1463214684914</v>
      </c>
      <c r="O955" s="438"/>
      <c r="P955" s="452" t="n">
        <f aca="false">MATCH(t-pas/2-T_ini,CdP_t)</f>
        <v>23</v>
      </c>
      <c r="Q955" s="449" t="n">
        <f aca="false">(INDEX(CdP,2,i_P+1)-INDEX(CdP,2,i_P+0))/(INDEX(CdP,1,i_P+1)-INDEX(CdP,1,i_P+0))*(t-pas/2-T_ini-INDEX(CdP,1,i_P+0))+INDEX(CdP,2,i_P+0)</f>
        <v>0</v>
      </c>
      <c r="R955" s="450" t="n">
        <f aca="false">Poussee/(g*ISP)</f>
        <v>0</v>
      </c>
      <c r="S955" s="451" t="n">
        <f aca="false">S954-Débit*pas</f>
        <v>8.652</v>
      </c>
      <c r="T955" s="449" t="n">
        <f aca="false">m*g</f>
        <v>84.87612</v>
      </c>
      <c r="U955" s="453" t="n">
        <f aca="false">IF(pos_xz&lt;L_rampe,Poids*COS(Beta),0)</f>
        <v>0</v>
      </c>
      <c r="V955" s="450" t="n">
        <f aca="false">Rho_moyen*(20000-Alt_rampe-pos_z)/(20000+Alt_rampe+pos_z)</f>
        <v>1.22691492980129</v>
      </c>
      <c r="W955" s="449" t="n">
        <f aca="false">1/2*Rho*Sref*Cx*vit_xz^2</f>
        <v>52.1378715116312</v>
      </c>
      <c r="X955" s="438"/>
      <c r="Y955" s="454" t="str">
        <f aca="false">IF(AND(pos_z&lt;=0,K954&gt;0),"Impact balistique","") &amp; IF(AND(H956&lt;0,vit_z&gt;=0),"Apogée","") &amp; IF(AND(Poussee=0,Q954&gt;0),"Fin de propulsion","") &amp; IF(AND(L956&gt;L_rampe,pos_xz&lt;=L_rampe),"Sortie de rampe","")</f>
        <v/>
      </c>
      <c r="Z955" s="455" t="str">
        <f aca="false">IF(ABS(t-T_para)&lt;pas/2,"Para","")</f>
        <v/>
      </c>
      <c r="AA955" s="456" t="str">
        <f aca="false">IF(ABS(t-T_satellite)&lt;pas/2,"Satellite","")</f>
        <v/>
      </c>
      <c r="AB955" s="444"/>
      <c r="AC955" s="452" t="e">
        <f aca="false">IF(ABS(t-ROUND(t,0))&lt;0.001,t,NA())</f>
        <v>#N/A</v>
      </c>
      <c r="AD955" s="457" t="e">
        <f aca="false">IF(ABS(t-ROUND(t,0))&lt;0.001,pos_x,NA())</f>
        <v>#N/A</v>
      </c>
      <c r="AE955" s="458" t="e">
        <f aca="false">IF(t&lt;T_para, pos_z, NA())</f>
        <v>#N/A</v>
      </c>
      <c r="AF955" s="444"/>
      <c r="AG955" s="450" t="n">
        <f aca="false">IF(AND(L954&lt;L_rampe,Poussee&lt;Poids*SIN(M954)),0,(-W954+Poussee)/m-Poids*SIN(M954)/m)</f>
        <v>3.69191759477041</v>
      </c>
      <c r="AH955" s="449" t="n">
        <f aca="false">IF(AND(L954&lt;L_rampe,Poussee&lt;Poids*SIN(M954)), g*SIN(M954), (-W954+Poussee)/m)</f>
        <v>-6.02606583872313</v>
      </c>
    </row>
    <row r="956" customFormat="false" ht="12" hidden="false" customHeight="false" outlineLevel="0" collapsed="false">
      <c r="A956" s="448" t="n">
        <f aca="false">IF(B955+0.01&lt;=T_ini+ROUNDUP(Temps_fin_propu,0), 0.01, IF(K955&gt;0, 0.1, 0.0001))</f>
        <v>0.0001</v>
      </c>
      <c r="B956" s="449" t="n">
        <f aca="false">B955+pas</f>
        <v>35.723500000001</v>
      </c>
      <c r="C956" s="432"/>
      <c r="D956" s="450" t="n">
        <f aca="false">IF(AND(L955&lt;L_rampe,Poussee&lt;Poids*SIN(M955)),0,(-W955+Poussee)/m*COS(M955)-U955/m*SIN(M955))</f>
        <v>-0.823429529479768</v>
      </c>
      <c r="E956" s="451" t="n">
        <f aca="false">IF(AND(L955&lt;L_rampe,Poussee&lt;Poids*SIN(M955)),0,(-W955+Poussee)/m*SIN(M955)+U955/m*COS(M955)-Poids/m)</f>
        <v>-3.840417043386</v>
      </c>
      <c r="F956" s="449" t="n">
        <f aca="false">SQRT(acc_x^2+acc_z^2)</f>
        <v>3.92770152342931</v>
      </c>
      <c r="G956" s="450" t="n">
        <f aca="false">G955+acc_x*pas</f>
        <v>18.890309012163</v>
      </c>
      <c r="H956" s="451" t="n">
        <f aca="false">H955+acc_z*pas</f>
        <v>-136.94927188219</v>
      </c>
      <c r="I956" s="449" t="n">
        <f aca="false">SQRT(vit_x^2+vit_z^2)</f>
        <v>138.245965017562</v>
      </c>
      <c r="J956" s="450" t="n">
        <f aca="false">J955+0.5*(vit_x+G955)*pas*(K955&gt;=0)</f>
        <v>1017.12580762709</v>
      </c>
      <c r="K956" s="451" t="n">
        <f aca="false">K955+0.5*(vit_z+H955)*pas</f>
        <v>-15.6335663645184</v>
      </c>
      <c r="L956" s="449" t="n">
        <f aca="false">SQRT(pos_x^2+pos_z^2)</f>
        <v>1017.24594712308</v>
      </c>
      <c r="M956" s="450" t="n">
        <f aca="false">IF(AND(L955&gt;L_rampe,G956&gt;0),ATAN2(G956,H956),$M$4)</f>
        <v>-1.43372474765721</v>
      </c>
      <c r="N956" s="449" t="n">
        <f aca="false">DEGREES(Beta)</f>
        <v>-82.1463770242172</v>
      </c>
      <c r="O956" s="438"/>
      <c r="P956" s="452" t="n">
        <f aca="false">MATCH(t-pas/2-T_ini,CdP_t)</f>
        <v>23</v>
      </c>
      <c r="Q956" s="449" t="n">
        <f aca="false">(INDEX(CdP,2,i_P+1)-INDEX(CdP,2,i_P+0))/(INDEX(CdP,1,i_P+1)-INDEX(CdP,1,i_P+0))*(t-pas/2-T_ini-INDEX(CdP,1,i_P+0))+INDEX(CdP,2,i_P+0)</f>
        <v>0</v>
      </c>
      <c r="R956" s="450" t="n">
        <f aca="false">Poussee/(g*ISP)</f>
        <v>0</v>
      </c>
      <c r="S956" s="451" t="n">
        <f aca="false">S955-Débit*pas</f>
        <v>8.652</v>
      </c>
      <c r="T956" s="449" t="n">
        <f aca="false">m*g</f>
        <v>84.87612</v>
      </c>
      <c r="U956" s="453" t="n">
        <f aca="false">IF(pos_xz&lt;L_rampe,Poids*COS(Beta),0)</f>
        <v>0</v>
      </c>
      <c r="V956" s="450" t="n">
        <f aca="false">Rho_moyen*(20000-Alt_rampe-pos_z)/(20000+Alt_rampe+pos_z)</f>
        <v>1.22691661005218</v>
      </c>
      <c r="W956" s="449" t="n">
        <f aca="false">1/2*Rho*Sref*Cx*vit_xz^2</f>
        <v>52.1382213854821</v>
      </c>
      <c r="X956" s="438"/>
      <c r="Y956" s="454" t="str">
        <f aca="false">IF(AND(pos_z&lt;=0,K955&gt;0),"Impact balistique","") &amp; IF(AND(H957&lt;0,vit_z&gt;=0),"Apogée","") &amp; IF(AND(Poussee=0,Q955&gt;0),"Fin de propulsion","") &amp; IF(AND(L957&gt;L_rampe,pos_xz&lt;=L_rampe),"Sortie de rampe","")</f>
        <v/>
      </c>
      <c r="Z956" s="455" t="str">
        <f aca="false">IF(ABS(t-T_para)&lt;pas/2,"Para","")</f>
        <v/>
      </c>
      <c r="AA956" s="456" t="str">
        <f aca="false">IF(ABS(t-T_satellite)&lt;pas/2,"Satellite","")</f>
        <v/>
      </c>
      <c r="AB956" s="444"/>
      <c r="AC956" s="452" t="e">
        <f aca="false">IF(ABS(t-ROUND(t,0))&lt;0.001,t,NA())</f>
        <v>#N/A</v>
      </c>
      <c r="AD956" s="457" t="e">
        <f aca="false">IF(ABS(t-ROUND(t,0))&lt;0.001,pos_x,NA())</f>
        <v>#N/A</v>
      </c>
      <c r="AE956" s="458" t="e">
        <f aca="false">IF(t&lt;T_para, pos_z, NA())</f>
        <v>#N/A</v>
      </c>
      <c r="AF956" s="444"/>
      <c r="AG956" s="450" t="n">
        <f aca="false">IF(AND(L955&lt;L_rampe,Poussee&lt;Poids*SIN(M955)),0,(-W955+Poussee)/m-Poids*SIN(M955)/m)</f>
        <v>3.69187845592588</v>
      </c>
      <c r="AH956" s="449" t="n">
        <f aca="false">IF(AND(L955&lt;L_rampe,Poussee&lt;Poids*SIN(M955)), g*SIN(M955), (-W955+Poussee)/m)</f>
        <v>-6.02610627734988</v>
      </c>
    </row>
    <row r="957" customFormat="false" ht="12" hidden="false" customHeight="false" outlineLevel="0" collapsed="false">
      <c r="A957" s="448" t="n">
        <f aca="false">IF(B956+0.01&lt;=T_ini+ROUNDUP(Temps_fin_propu,0), 0.01, IF(K956&gt;0, 0.1, 0.0001))</f>
        <v>0.0001</v>
      </c>
      <c r="B957" s="449" t="n">
        <f aca="false">B956+pas</f>
        <v>35.723600000001</v>
      </c>
      <c r="C957" s="432"/>
      <c r="D957" s="450" t="n">
        <f aca="false">IF(AND(L956&lt;L_rampe,Poussee&lt;Poids*SIN(M956)),0,(-W956+Poussee)/m*COS(M956)-U956/m*SIN(M956))</f>
        <v>-0.823429266817755</v>
      </c>
      <c r="E957" s="451" t="n">
        <f aca="false">IF(AND(L956&lt;L_rampe,Poussee&lt;Poids*SIN(M956)),0,(-W956+Poussee)/m*SIN(M956)+U956/m*COS(M956)-Poids/m)</f>
        <v>-3.84037618576973</v>
      </c>
      <c r="F957" s="449" t="n">
        <f aca="false">SQRT(acc_x^2+acc_z^2)</f>
        <v>3.92766151872578</v>
      </c>
      <c r="G957" s="450" t="n">
        <f aca="false">G956+acc_x*pas</f>
        <v>18.8902266692363</v>
      </c>
      <c r="H957" s="451" t="n">
        <f aca="false">H956+acc_z*pas</f>
        <v>-136.949655919808</v>
      </c>
      <c r="I957" s="449" t="n">
        <f aca="false">SQRT(vit_x^2+vit_z^2)</f>
        <v>138.246334201559</v>
      </c>
      <c r="J957" s="450" t="n">
        <f aca="false">J956+0.5*(vit_x+G956)*pas*(K956&gt;=0)</f>
        <v>1017.12580762709</v>
      </c>
      <c r="K957" s="451" t="n">
        <f aca="false">K956+0.5*(vit_z+H956)*pas</f>
        <v>-15.6472613109085</v>
      </c>
      <c r="L957" s="449" t="n">
        <f aca="false">SQRT(pos_x^2+pos_z^2)</f>
        <v>1017.24615768632</v>
      </c>
      <c r="M957" s="450" t="n">
        <f aca="false">IF(AND(L956&gt;L_rampe,G957&gt;0),ATAN2(G957,H957),$M$4)</f>
        <v>-1.43372571727814</v>
      </c>
      <c r="N957" s="449" t="n">
        <f aca="false">DEGREES(Beta)</f>
        <v>-82.1464325794042</v>
      </c>
      <c r="O957" s="438"/>
      <c r="P957" s="452" t="n">
        <f aca="false">MATCH(t-pas/2-T_ini,CdP_t)</f>
        <v>23</v>
      </c>
      <c r="Q957" s="449" t="n">
        <f aca="false">(INDEX(CdP,2,i_P+1)-INDEX(CdP,2,i_P+0))/(INDEX(CdP,1,i_P+1)-INDEX(CdP,1,i_P+0))*(t-pas/2-T_ini-INDEX(CdP,1,i_P+0))+INDEX(CdP,2,i_P+0)</f>
        <v>0</v>
      </c>
      <c r="R957" s="450" t="n">
        <f aca="false">Poussee/(g*ISP)</f>
        <v>0</v>
      </c>
      <c r="S957" s="451" t="n">
        <f aca="false">S956-Débit*pas</f>
        <v>8.652</v>
      </c>
      <c r="T957" s="449" t="n">
        <f aca="false">m*g</f>
        <v>84.87612</v>
      </c>
      <c r="U957" s="453" t="n">
        <f aca="false">IF(pos_xz&lt;L_rampe,Poids*COS(Beta),0)</f>
        <v>0</v>
      </c>
      <c r="V957" s="450" t="n">
        <f aca="false">Rho_moyen*(20000-Alt_rampe-pos_z)/(20000+Alt_rampe+pos_z)</f>
        <v>1.22691829031007</v>
      </c>
      <c r="W957" s="449" t="n">
        <f aca="false">1/2*Rho*Sref*Cx*vit_xz^2</f>
        <v>52.1385712581854</v>
      </c>
      <c r="X957" s="438"/>
      <c r="Y957" s="454" t="str">
        <f aca="false">IF(AND(pos_z&lt;=0,K956&gt;0),"Impact balistique","") &amp; IF(AND(H958&lt;0,vit_z&gt;=0),"Apogée","") &amp; IF(AND(Poussee=0,Q956&gt;0),"Fin de propulsion","") &amp; IF(AND(L958&gt;L_rampe,pos_xz&lt;=L_rampe),"Sortie de rampe","")</f>
        <v/>
      </c>
      <c r="Z957" s="455" t="str">
        <f aca="false">IF(ABS(t-T_para)&lt;pas/2,"Para","")</f>
        <v/>
      </c>
      <c r="AA957" s="456" t="str">
        <f aca="false">IF(ABS(t-T_satellite)&lt;pas/2,"Satellite","")</f>
        <v/>
      </c>
      <c r="AB957" s="444"/>
      <c r="AC957" s="452" t="e">
        <f aca="false">IF(ABS(t-ROUND(t,0))&lt;0.001,t,NA())</f>
        <v>#N/A</v>
      </c>
      <c r="AD957" s="457" t="e">
        <f aca="false">IF(ABS(t-ROUND(t,0))&lt;0.001,pos_x,NA())</f>
        <v>#N/A</v>
      </c>
      <c r="AE957" s="458" t="e">
        <f aca="false">IF(t&lt;T_para, pos_z, NA())</f>
        <v>#N/A</v>
      </c>
      <c r="AF957" s="444"/>
      <c r="AG957" s="450" t="n">
        <f aca="false">IF(AND(L956&lt;L_rampe,Poussee&lt;Poids*SIN(M956)),0,(-W956+Poussee)/m-Poids*SIN(M956)/m)</f>
        <v>3.69183931719225</v>
      </c>
      <c r="AH957" s="449" t="n">
        <f aca="false">IF(AND(L956&lt;L_rampe,Poussee&lt;Poids*SIN(M956)), g*SIN(M956), (-W956+Poussee)/m)</f>
        <v>-6.02614671584398</v>
      </c>
    </row>
    <row r="958" customFormat="false" ht="12" hidden="false" customHeight="false" outlineLevel="0" collapsed="false">
      <c r="A958" s="448" t="n">
        <f aca="false">IF(B957+0.01&lt;=T_ini+ROUNDUP(Temps_fin_propu,0), 0.01, IF(K957&gt;0, 0.1, 0.0001))</f>
        <v>0.0001</v>
      </c>
      <c r="B958" s="449" t="n">
        <f aca="false">B957+pas</f>
        <v>35.723700000001</v>
      </c>
      <c r="C958" s="432"/>
      <c r="D958" s="450" t="n">
        <f aca="false">IF(AND(L957&lt;L_rampe,Poussee&lt;Poids*SIN(M957)),0,(-W957+Poussee)/m*COS(M957)-U957/m*SIN(M957))</f>
        <v>-0.823429004115303</v>
      </c>
      <c r="E958" s="451" t="n">
        <f aca="false">IF(AND(L957&lt;L_rampe,Poussee&lt;Poids*SIN(M957)),0,(-W957+Poussee)/m*SIN(M957)+U957/m*COS(M957)-Poids/m)</f>
        <v>-3.84033532828751</v>
      </c>
      <c r="F958" s="449" t="n">
        <f aca="false">SQRT(acc_x^2+acc_z^2)</f>
        <v>3.92762151416241</v>
      </c>
      <c r="G958" s="450" t="n">
        <f aca="false">G957+acc_x*pas</f>
        <v>18.8901443263359</v>
      </c>
      <c r="H958" s="451" t="n">
        <f aca="false">H957+acc_z*pas</f>
        <v>-136.950039953341</v>
      </c>
      <c r="I958" s="449" t="n">
        <f aca="false">SQRT(vit_x^2+vit_z^2)</f>
        <v>138.246703381642</v>
      </c>
      <c r="J958" s="450" t="n">
        <f aca="false">J957+0.5*(vit_x+G957)*pas*(K957&gt;=0)</f>
        <v>1017.12580762709</v>
      </c>
      <c r="K958" s="451" t="n">
        <f aca="false">K957+0.5*(vit_z+H957)*pas</f>
        <v>-15.6609562957022</v>
      </c>
      <c r="L958" s="449" t="n">
        <f aca="false">SQRT(pos_x^2+pos_z^2)</f>
        <v>1017.24636843449</v>
      </c>
      <c r="M958" s="450" t="n">
        <f aca="false">IF(AND(L957&gt;L_rampe,G958&gt;0),ATAN2(G958,H958),$M$4)</f>
        <v>-1.43372668688966</v>
      </c>
      <c r="N958" s="449" t="n">
        <f aca="false">DEGREES(Beta)</f>
        <v>-82.1464881340523</v>
      </c>
      <c r="O958" s="438"/>
      <c r="P958" s="452" t="n">
        <f aca="false">MATCH(t-pas/2-T_ini,CdP_t)</f>
        <v>23</v>
      </c>
      <c r="Q958" s="449" t="n">
        <f aca="false">(INDEX(CdP,2,i_P+1)-INDEX(CdP,2,i_P+0))/(INDEX(CdP,1,i_P+1)-INDEX(CdP,1,i_P+0))*(t-pas/2-T_ini-INDEX(CdP,1,i_P+0))+INDEX(CdP,2,i_P+0)</f>
        <v>0</v>
      </c>
      <c r="R958" s="450" t="n">
        <f aca="false">Poussee/(g*ISP)</f>
        <v>0</v>
      </c>
      <c r="S958" s="451" t="n">
        <f aca="false">S957-Débit*pas</f>
        <v>8.652</v>
      </c>
      <c r="T958" s="449" t="n">
        <f aca="false">m*g</f>
        <v>84.87612</v>
      </c>
      <c r="U958" s="453" t="n">
        <f aca="false">IF(pos_xz&lt;L_rampe,Poids*COS(Beta),0)</f>
        <v>0</v>
      </c>
      <c r="V958" s="450" t="n">
        <f aca="false">Rho_moyen*(20000-Alt_rampe-pos_z)/(20000+Alt_rampe+pos_z)</f>
        <v>1.22691997057499</v>
      </c>
      <c r="W958" s="449" t="n">
        <f aca="false">1/2*Rho*Sref*Cx*vit_xz^2</f>
        <v>52.1389211297409</v>
      </c>
      <c r="X958" s="438"/>
      <c r="Y958" s="454" t="str">
        <f aca="false">IF(AND(pos_z&lt;=0,K957&gt;0),"Impact balistique","") &amp; IF(AND(H959&lt;0,vit_z&gt;=0),"Apogée","") &amp; IF(AND(Poussee=0,Q957&gt;0),"Fin de propulsion","") &amp; IF(AND(L959&gt;L_rampe,pos_xz&lt;=L_rampe),"Sortie de rampe","")</f>
        <v/>
      </c>
      <c r="Z958" s="455" t="str">
        <f aca="false">IF(ABS(t-T_para)&lt;pas/2,"Para","")</f>
        <v/>
      </c>
      <c r="AA958" s="456" t="str">
        <f aca="false">IF(ABS(t-T_satellite)&lt;pas/2,"Satellite","")</f>
        <v/>
      </c>
      <c r="AB958" s="444"/>
      <c r="AC958" s="452" t="e">
        <f aca="false">IF(ABS(t-ROUND(t,0))&lt;0.001,t,NA())</f>
        <v>#N/A</v>
      </c>
      <c r="AD958" s="457" t="e">
        <f aca="false">IF(ABS(t-ROUND(t,0))&lt;0.001,pos_x,NA())</f>
        <v>#N/A</v>
      </c>
      <c r="AE958" s="458" t="e">
        <f aca="false">IF(t&lt;T_para, pos_z, NA())</f>
        <v>#N/A</v>
      </c>
      <c r="AF958" s="444"/>
      <c r="AG958" s="450" t="n">
        <f aca="false">IF(AND(L957&lt;L_rampe,Poussee&lt;Poids*SIN(M957)),0,(-W957+Poussee)/m-Poids*SIN(M957)/m)</f>
        <v>3.69180017856953</v>
      </c>
      <c r="AH958" s="449" t="n">
        <f aca="false">IF(AND(L957&lt;L_rampe,Poussee&lt;Poids*SIN(M957)), g*SIN(M957), (-W957+Poussee)/m)</f>
        <v>-6.02618715420543</v>
      </c>
    </row>
    <row r="959" customFormat="false" ht="12" hidden="false" customHeight="false" outlineLevel="0" collapsed="false">
      <c r="A959" s="448" t="n">
        <f aca="false">IF(B958+0.01&lt;=T_ini+ROUNDUP(Temps_fin_propu,0), 0.01, IF(K958&gt;0, 0.1, 0.0001))</f>
        <v>0.0001</v>
      </c>
      <c r="B959" s="449" t="n">
        <f aca="false">B958+pas</f>
        <v>35.723800000001</v>
      </c>
      <c r="C959" s="432"/>
      <c r="D959" s="450" t="n">
        <f aca="false">IF(AND(L958&lt;L_rampe,Poussee&lt;Poids*SIN(M958)),0,(-W958+Poussee)/m*COS(M958)-U958/m*SIN(M958))</f>
        <v>-0.823428741372411</v>
      </c>
      <c r="E959" s="451" t="n">
        <f aca="false">IF(AND(L958&lt;L_rampe,Poussee&lt;Poids*SIN(M958)),0,(-W958+Poussee)/m*SIN(M958)+U958/m*COS(M958)-Poids/m)</f>
        <v>-3.84029447093934</v>
      </c>
      <c r="F959" s="449" t="n">
        <f aca="false">SQRT(acc_x^2+acc_z^2)</f>
        <v>3.92758150973922</v>
      </c>
      <c r="G959" s="450" t="n">
        <f aca="false">G958+acc_x*pas</f>
        <v>18.8900619834618</v>
      </c>
      <c r="H959" s="451" t="n">
        <f aca="false">H958+acc_z*pas</f>
        <v>-136.950423982788</v>
      </c>
      <c r="I959" s="449" t="n">
        <f aca="false">SQRT(vit_x^2+vit_z^2)</f>
        <v>138.247072557811</v>
      </c>
      <c r="J959" s="450" t="n">
        <f aca="false">J958+0.5*(vit_x+G958)*pas*(K958&gt;=0)</f>
        <v>1017.12580762709</v>
      </c>
      <c r="K959" s="451" t="n">
        <f aca="false">K958+0.5*(vit_z+H958)*pas</f>
        <v>-15.674651318899</v>
      </c>
      <c r="L959" s="449" t="n">
        <f aca="false">SQRT(pos_x^2+pos_z^2)</f>
        <v>1017.24657936757</v>
      </c>
      <c r="M959" s="450" t="n">
        <f aca="false">IF(AND(L958&gt;L_rampe,G959&gt;0),ATAN2(G959,H959),$M$4)</f>
        <v>-1.43372765649178</v>
      </c>
      <c r="N959" s="449" t="n">
        <f aca="false">DEGREES(Beta)</f>
        <v>-82.1465436881614</v>
      </c>
      <c r="O959" s="438"/>
      <c r="P959" s="452" t="n">
        <f aca="false">MATCH(t-pas/2-T_ini,CdP_t)</f>
        <v>23</v>
      </c>
      <c r="Q959" s="449" t="n">
        <f aca="false">(INDEX(CdP,2,i_P+1)-INDEX(CdP,2,i_P+0))/(INDEX(CdP,1,i_P+1)-INDEX(CdP,1,i_P+0))*(t-pas/2-T_ini-INDEX(CdP,1,i_P+0))+INDEX(CdP,2,i_P+0)</f>
        <v>0</v>
      </c>
      <c r="R959" s="450" t="n">
        <f aca="false">Poussee/(g*ISP)</f>
        <v>0</v>
      </c>
      <c r="S959" s="451" t="n">
        <f aca="false">S958-Débit*pas</f>
        <v>8.652</v>
      </c>
      <c r="T959" s="449" t="n">
        <f aca="false">m*g</f>
        <v>84.87612</v>
      </c>
      <c r="U959" s="453" t="n">
        <f aca="false">IF(pos_xz&lt;L_rampe,Poids*COS(Beta),0)</f>
        <v>0</v>
      </c>
      <c r="V959" s="450" t="n">
        <f aca="false">Rho_moyen*(20000-Alt_rampe-pos_z)/(20000+Alt_rampe+pos_z)</f>
        <v>1.22692165084691</v>
      </c>
      <c r="W959" s="449" t="n">
        <f aca="false">1/2*Rho*Sref*Cx*vit_xz^2</f>
        <v>52.1392710001487</v>
      </c>
      <c r="X959" s="438"/>
      <c r="Y959" s="454" t="str">
        <f aca="false">IF(AND(pos_z&lt;=0,K958&gt;0),"Impact balistique","") &amp; IF(AND(H960&lt;0,vit_z&gt;=0),"Apogée","") &amp; IF(AND(Poussee=0,Q958&gt;0),"Fin de propulsion","") &amp; IF(AND(L960&gt;L_rampe,pos_xz&lt;=L_rampe),"Sortie de rampe","")</f>
        <v/>
      </c>
      <c r="Z959" s="455" t="str">
        <f aca="false">IF(ABS(t-T_para)&lt;pas/2,"Para","")</f>
        <v/>
      </c>
      <c r="AA959" s="456" t="str">
        <f aca="false">IF(ABS(t-T_satellite)&lt;pas/2,"Satellite","")</f>
        <v/>
      </c>
      <c r="AB959" s="444"/>
      <c r="AC959" s="452" t="e">
        <f aca="false">IF(ABS(t-ROUND(t,0))&lt;0.001,t,NA())</f>
        <v>#N/A</v>
      </c>
      <c r="AD959" s="457" t="e">
        <f aca="false">IF(ABS(t-ROUND(t,0))&lt;0.001,pos_x,NA())</f>
        <v>#N/A</v>
      </c>
      <c r="AE959" s="458" t="e">
        <f aca="false">IF(t&lt;T_para, pos_z, NA())</f>
        <v>#N/A</v>
      </c>
      <c r="AF959" s="444"/>
      <c r="AG959" s="450" t="n">
        <f aca="false">IF(AND(L958&lt;L_rampe,Poussee&lt;Poids*SIN(M958)),0,(-W958+Poussee)/m-Poids*SIN(M958)/m)</f>
        <v>3.69176104005772</v>
      </c>
      <c r="AH959" s="449" t="n">
        <f aca="false">IF(AND(L958&lt;L_rampe,Poussee&lt;Poids*SIN(M958)), g*SIN(M958), (-W958+Poussee)/m)</f>
        <v>-6.02622759243423</v>
      </c>
    </row>
    <row r="960" customFormat="false" ht="12" hidden="false" customHeight="false" outlineLevel="0" collapsed="false">
      <c r="A960" s="448" t="n">
        <f aca="false">IF(B959+0.01&lt;=T_ini+ROUNDUP(Temps_fin_propu,0), 0.01, IF(K959&gt;0, 0.1, 0.0001))</f>
        <v>0.0001</v>
      </c>
      <c r="B960" s="449" t="n">
        <f aca="false">B959+pas</f>
        <v>35.723900000001</v>
      </c>
      <c r="C960" s="432"/>
      <c r="D960" s="450" t="n">
        <f aca="false">IF(AND(L959&lt;L_rampe,Poussee&lt;Poids*SIN(M959)),0,(-W959+Poussee)/m*COS(M959)-U959/m*SIN(M959))</f>
        <v>-0.823428478589085</v>
      </c>
      <c r="E960" s="451" t="n">
        <f aca="false">IF(AND(L959&lt;L_rampe,Poussee&lt;Poids*SIN(M959)),0,(-W959+Poussee)/m*SIN(M959)+U959/m*COS(M959)-Poids/m)</f>
        <v>-3.84025361372522</v>
      </c>
      <c r="F960" s="449" t="n">
        <f aca="false">SQRT(acc_x^2+acc_z^2)</f>
        <v>3.9275415054562</v>
      </c>
      <c r="G960" s="450" t="n">
        <f aca="false">G959+acc_x*pas</f>
        <v>18.8899796406139</v>
      </c>
      <c r="H960" s="451" t="n">
        <f aca="false">H959+acc_z*pas</f>
        <v>-136.95080800815</v>
      </c>
      <c r="I960" s="449" t="n">
        <f aca="false">SQRT(vit_x^2+vit_z^2)</f>
        <v>138.247441730066</v>
      </c>
      <c r="J960" s="450" t="n">
        <f aca="false">J959+0.5*(vit_x+G959)*pas*(K959&gt;=0)</f>
        <v>1017.12580762709</v>
      </c>
      <c r="K960" s="451" t="n">
        <f aca="false">K959+0.5*(vit_z+H959)*pas</f>
        <v>-15.6883463804985</v>
      </c>
      <c r="L960" s="449" t="n">
        <f aca="false">SQRT(pos_x^2+pos_z^2)</f>
        <v>1017.24679048558</v>
      </c>
      <c r="M960" s="450" t="n">
        <f aca="false">IF(AND(L959&gt;L_rampe,G960&gt;0),ATAN2(G960,H960),$M$4)</f>
        <v>-1.4337286260845</v>
      </c>
      <c r="N960" s="449" t="n">
        <f aca="false">DEGREES(Beta)</f>
        <v>-82.1465992417318</v>
      </c>
      <c r="O960" s="438"/>
      <c r="P960" s="452" t="n">
        <f aca="false">MATCH(t-pas/2-T_ini,CdP_t)</f>
        <v>23</v>
      </c>
      <c r="Q960" s="449" t="n">
        <f aca="false">(INDEX(CdP,2,i_P+1)-INDEX(CdP,2,i_P+0))/(INDEX(CdP,1,i_P+1)-INDEX(CdP,1,i_P+0))*(t-pas/2-T_ini-INDEX(CdP,1,i_P+0))+INDEX(CdP,2,i_P+0)</f>
        <v>0</v>
      </c>
      <c r="R960" s="450" t="n">
        <f aca="false">Poussee/(g*ISP)</f>
        <v>0</v>
      </c>
      <c r="S960" s="451" t="n">
        <f aca="false">S959-Débit*pas</f>
        <v>8.652</v>
      </c>
      <c r="T960" s="449" t="n">
        <f aca="false">m*g</f>
        <v>84.87612</v>
      </c>
      <c r="U960" s="453" t="n">
        <f aca="false">IF(pos_xz&lt;L_rampe,Poids*COS(Beta),0)</f>
        <v>0</v>
      </c>
      <c r="V960" s="450" t="n">
        <f aca="false">Rho_moyen*(20000-Alt_rampe-pos_z)/(20000+Alt_rampe+pos_z)</f>
        <v>1.22692333112586</v>
      </c>
      <c r="W960" s="449" t="n">
        <f aca="false">1/2*Rho*Sref*Cx*vit_xz^2</f>
        <v>52.1396208694088</v>
      </c>
      <c r="X960" s="438"/>
      <c r="Y960" s="454" t="str">
        <f aca="false">IF(AND(pos_z&lt;=0,K959&gt;0),"Impact balistique","") &amp; IF(AND(H961&lt;0,vit_z&gt;=0),"Apogée","") &amp; IF(AND(Poussee=0,Q959&gt;0),"Fin de propulsion","") &amp; IF(AND(L961&gt;L_rampe,pos_xz&lt;=L_rampe),"Sortie de rampe","")</f>
        <v/>
      </c>
      <c r="Z960" s="455" t="str">
        <f aca="false">IF(ABS(t-T_para)&lt;pas/2,"Para","")</f>
        <v/>
      </c>
      <c r="AA960" s="456" t="str">
        <f aca="false">IF(ABS(t-T_satellite)&lt;pas/2,"Satellite","")</f>
        <v/>
      </c>
      <c r="AB960" s="444"/>
      <c r="AC960" s="452" t="e">
        <f aca="false">IF(ABS(t-ROUND(t,0))&lt;0.001,t,NA())</f>
        <v>#N/A</v>
      </c>
      <c r="AD960" s="457" t="e">
        <f aca="false">IF(ABS(t-ROUND(t,0))&lt;0.001,pos_x,NA())</f>
        <v>#N/A</v>
      </c>
      <c r="AE960" s="458" t="e">
        <f aca="false">IF(t&lt;T_para, pos_z, NA())</f>
        <v>#N/A</v>
      </c>
      <c r="AF960" s="444"/>
      <c r="AG960" s="450" t="n">
        <f aca="false">IF(AND(L959&lt;L_rampe,Poussee&lt;Poids*SIN(M959)),0,(-W959+Poussee)/m-Poids*SIN(M959)/m)</f>
        <v>3.69172190165682</v>
      </c>
      <c r="AH960" s="449" t="n">
        <f aca="false">IF(AND(L959&lt;L_rampe,Poussee&lt;Poids*SIN(M959)), g*SIN(M959), (-W959+Poussee)/m)</f>
        <v>-6.02626803053037</v>
      </c>
    </row>
    <row r="961" customFormat="false" ht="12" hidden="false" customHeight="false" outlineLevel="0" collapsed="false">
      <c r="A961" s="448" t="n">
        <f aca="false">IF(B960+0.01&lt;=T_ini+ROUNDUP(Temps_fin_propu,0), 0.01, IF(K960&gt;0, 0.1, 0.0001))</f>
        <v>0.0001</v>
      </c>
      <c r="B961" s="449" t="n">
        <f aca="false">B960+pas</f>
        <v>35.724000000001</v>
      </c>
      <c r="C961" s="432"/>
      <c r="D961" s="450" t="n">
        <f aca="false">IF(AND(L960&lt;L_rampe,Poussee&lt;Poids*SIN(M960)),0,(-W960+Poussee)/m*COS(M960)-U960/m*SIN(M960))</f>
        <v>-0.82342821576532</v>
      </c>
      <c r="E961" s="451" t="n">
        <f aca="false">IF(AND(L960&lt;L_rampe,Poussee&lt;Poids*SIN(M960)),0,(-W960+Poussee)/m*SIN(M960)+U960/m*COS(M960)-Poids/m)</f>
        <v>-3.84021275664516</v>
      </c>
      <c r="F961" s="449" t="n">
        <f aca="false">SQRT(acc_x^2+acc_z^2)</f>
        <v>3.92750150131335</v>
      </c>
      <c r="G961" s="450" t="n">
        <f aca="false">G960+acc_x*pas</f>
        <v>18.8898972977923</v>
      </c>
      <c r="H961" s="451" t="n">
        <f aca="false">H960+acc_z*pas</f>
        <v>-136.951192029425</v>
      </c>
      <c r="I961" s="449" t="n">
        <f aca="false">SQRT(vit_x^2+vit_z^2)</f>
        <v>138.247810898407</v>
      </c>
      <c r="J961" s="450" t="n">
        <f aca="false">J960+0.5*(vit_x+G960)*pas*(K960&gt;=0)</f>
        <v>1017.12580762709</v>
      </c>
      <c r="K961" s="451" t="n">
        <f aca="false">K960+0.5*(vit_z+H960)*pas</f>
        <v>-15.7020414805004</v>
      </c>
      <c r="L961" s="449" t="n">
        <f aca="false">SQRT(pos_x^2+pos_z^2)</f>
        <v>1017.24700178851</v>
      </c>
      <c r="M961" s="450" t="n">
        <f aca="false">IF(AND(L960&gt;L_rampe,G961&gt;0),ATAN2(G961,H961),$M$4)</f>
        <v>-1.43372959566781</v>
      </c>
      <c r="N961" s="449" t="n">
        <f aca="false">DEGREES(Beta)</f>
        <v>-82.1466547947633</v>
      </c>
      <c r="O961" s="438"/>
      <c r="P961" s="452" t="n">
        <f aca="false">MATCH(t-pas/2-T_ini,CdP_t)</f>
        <v>23</v>
      </c>
      <c r="Q961" s="449" t="n">
        <f aca="false">(INDEX(CdP,2,i_P+1)-INDEX(CdP,2,i_P+0))/(INDEX(CdP,1,i_P+1)-INDEX(CdP,1,i_P+0))*(t-pas/2-T_ini-INDEX(CdP,1,i_P+0))+INDEX(CdP,2,i_P+0)</f>
        <v>0</v>
      </c>
      <c r="R961" s="450" t="n">
        <f aca="false">Poussee/(g*ISP)</f>
        <v>0</v>
      </c>
      <c r="S961" s="451" t="n">
        <f aca="false">S960-Débit*pas</f>
        <v>8.652</v>
      </c>
      <c r="T961" s="449" t="n">
        <f aca="false">m*g</f>
        <v>84.87612</v>
      </c>
      <c r="U961" s="453" t="n">
        <f aca="false">IF(pos_xz&lt;L_rampe,Poids*COS(Beta),0)</f>
        <v>0</v>
      </c>
      <c r="V961" s="450" t="n">
        <f aca="false">Rho_moyen*(20000-Alt_rampe-pos_z)/(20000+Alt_rampe+pos_z)</f>
        <v>1.22692501141181</v>
      </c>
      <c r="W961" s="449" t="n">
        <f aca="false">1/2*Rho*Sref*Cx*vit_xz^2</f>
        <v>52.1399707375211</v>
      </c>
      <c r="X961" s="438"/>
      <c r="Y961" s="454" t="str">
        <f aca="false">IF(AND(pos_z&lt;=0,K960&gt;0),"Impact balistique","") &amp; IF(AND(H962&lt;0,vit_z&gt;=0),"Apogée","") &amp; IF(AND(Poussee=0,Q960&gt;0),"Fin de propulsion","") &amp; IF(AND(L962&gt;L_rampe,pos_xz&lt;=L_rampe),"Sortie de rampe","")</f>
        <v/>
      </c>
      <c r="Z961" s="455" t="str">
        <f aca="false">IF(ABS(t-T_para)&lt;pas/2,"Para","")</f>
        <v/>
      </c>
      <c r="AA961" s="456" t="str">
        <f aca="false">IF(ABS(t-T_satellite)&lt;pas/2,"Satellite","")</f>
        <v/>
      </c>
      <c r="AB961" s="444"/>
      <c r="AC961" s="452" t="e">
        <f aca="false">IF(ABS(t-ROUND(t,0))&lt;0.001,t,NA())</f>
        <v>#N/A</v>
      </c>
      <c r="AD961" s="457" t="e">
        <f aca="false">IF(ABS(t-ROUND(t,0))&lt;0.001,pos_x,NA())</f>
        <v>#N/A</v>
      </c>
      <c r="AE961" s="458" t="e">
        <f aca="false">IF(t&lt;T_para, pos_z, NA())</f>
        <v>#N/A</v>
      </c>
      <c r="AF961" s="444"/>
      <c r="AG961" s="450" t="n">
        <f aca="false">IF(AND(L960&lt;L_rampe,Poussee&lt;Poids*SIN(M960)),0,(-W960+Poussee)/m-Poids*SIN(M960)/m)</f>
        <v>3.69168276336683</v>
      </c>
      <c r="AH961" s="449" t="n">
        <f aca="false">IF(AND(L960&lt;L_rampe,Poussee&lt;Poids*SIN(M960)), g*SIN(M960), (-W960+Poussee)/m)</f>
        <v>-6.02630846849385</v>
      </c>
    </row>
    <row r="962" customFormat="false" ht="12" hidden="false" customHeight="false" outlineLevel="0" collapsed="false">
      <c r="A962" s="448" t="n">
        <f aca="false">IF(B961+0.01&lt;=T_ini+ROUNDUP(Temps_fin_propu,0), 0.01, IF(K961&gt;0, 0.1, 0.0001))</f>
        <v>0.0001</v>
      </c>
      <c r="B962" s="449" t="n">
        <f aca="false">B961+pas</f>
        <v>35.724100000001</v>
      </c>
      <c r="C962" s="432"/>
      <c r="D962" s="450" t="n">
        <f aca="false">IF(AND(L961&lt;L_rampe,Poussee&lt;Poids*SIN(M961)),0,(-W961+Poussee)/m*COS(M961)-U961/m*SIN(M961))</f>
        <v>-0.823427952901119</v>
      </c>
      <c r="E962" s="451" t="n">
        <f aca="false">IF(AND(L961&lt;L_rampe,Poussee&lt;Poids*SIN(M961)),0,(-W961+Poussee)/m*SIN(M961)+U961/m*COS(M961)-Poids/m)</f>
        <v>-3.84017189969915</v>
      </c>
      <c r="F962" s="449" t="n">
        <f aca="false">SQRT(acc_x^2+acc_z^2)</f>
        <v>3.92746149731068</v>
      </c>
      <c r="G962" s="450" t="n">
        <f aca="false">G961+acc_x*pas</f>
        <v>18.889814954997</v>
      </c>
      <c r="H962" s="451" t="n">
        <f aca="false">H961+acc_z*pas</f>
        <v>-136.951576046615</v>
      </c>
      <c r="I962" s="449" t="n">
        <f aca="false">SQRT(vit_x^2+vit_z^2)</f>
        <v>138.248180062834</v>
      </c>
      <c r="J962" s="450" t="n">
        <f aca="false">J961+0.5*(vit_x+G961)*pas*(K961&gt;=0)</f>
        <v>1017.12580762709</v>
      </c>
      <c r="K962" s="451" t="n">
        <f aca="false">K961+0.5*(vit_z+H961)*pas</f>
        <v>-15.7157366189042</v>
      </c>
      <c r="L962" s="449" t="n">
        <f aca="false">SQRT(pos_x^2+pos_z^2)</f>
        <v>1017.24721327637</v>
      </c>
      <c r="M962" s="450" t="n">
        <f aca="false">IF(AND(L961&gt;L_rampe,G962&gt;0),ATAN2(G962,H962),$M$4)</f>
        <v>-1.43373056524171</v>
      </c>
      <c r="N962" s="449" t="n">
        <f aca="false">DEGREES(Beta)</f>
        <v>-82.1467103472559</v>
      </c>
      <c r="O962" s="438"/>
      <c r="P962" s="452" t="n">
        <f aca="false">MATCH(t-pas/2-T_ini,CdP_t)</f>
        <v>23</v>
      </c>
      <c r="Q962" s="449" t="n">
        <f aca="false">(INDEX(CdP,2,i_P+1)-INDEX(CdP,2,i_P+0))/(INDEX(CdP,1,i_P+1)-INDEX(CdP,1,i_P+0))*(t-pas/2-T_ini-INDEX(CdP,1,i_P+0))+INDEX(CdP,2,i_P+0)</f>
        <v>0</v>
      </c>
      <c r="R962" s="450" t="n">
        <f aca="false">Poussee/(g*ISP)</f>
        <v>0</v>
      </c>
      <c r="S962" s="451" t="n">
        <f aca="false">S961-Débit*pas</f>
        <v>8.652</v>
      </c>
      <c r="T962" s="449" t="n">
        <f aca="false">m*g</f>
        <v>84.87612</v>
      </c>
      <c r="U962" s="453" t="n">
        <f aca="false">IF(pos_xz&lt;L_rampe,Poids*COS(Beta),0)</f>
        <v>0</v>
      </c>
      <c r="V962" s="450" t="n">
        <f aca="false">Rho_moyen*(20000-Alt_rampe-pos_z)/(20000+Alt_rampe+pos_z)</f>
        <v>1.22692669170479</v>
      </c>
      <c r="W962" s="449" t="n">
        <f aca="false">1/2*Rho*Sref*Cx*vit_xz^2</f>
        <v>52.1403206044856</v>
      </c>
      <c r="X962" s="438"/>
      <c r="Y962" s="454" t="str">
        <f aca="false">IF(AND(pos_z&lt;=0,K961&gt;0),"Impact balistique","") &amp; IF(AND(H963&lt;0,vit_z&gt;=0),"Apogée","") &amp; IF(AND(Poussee=0,Q961&gt;0),"Fin de propulsion","") &amp; IF(AND(L963&gt;L_rampe,pos_xz&lt;=L_rampe),"Sortie de rampe","")</f>
        <v/>
      </c>
      <c r="Z962" s="455" t="str">
        <f aca="false">IF(ABS(t-T_para)&lt;pas/2,"Para","")</f>
        <v/>
      </c>
      <c r="AA962" s="456" t="str">
        <f aca="false">IF(ABS(t-T_satellite)&lt;pas/2,"Satellite","")</f>
        <v/>
      </c>
      <c r="AB962" s="444"/>
      <c r="AC962" s="452" t="e">
        <f aca="false">IF(ABS(t-ROUND(t,0))&lt;0.001,t,NA())</f>
        <v>#N/A</v>
      </c>
      <c r="AD962" s="457" t="e">
        <f aca="false">IF(ABS(t-ROUND(t,0))&lt;0.001,pos_x,NA())</f>
        <v>#N/A</v>
      </c>
      <c r="AE962" s="458" t="e">
        <f aca="false">IF(t&lt;T_para, pos_z, NA())</f>
        <v>#N/A</v>
      </c>
      <c r="AF962" s="444"/>
      <c r="AG962" s="450" t="n">
        <f aca="false">IF(AND(L961&lt;L_rampe,Poussee&lt;Poids*SIN(M961)),0,(-W961+Poussee)/m-Poids*SIN(M961)/m)</f>
        <v>3.69164362518777</v>
      </c>
      <c r="AH962" s="449" t="n">
        <f aca="false">IF(AND(L961&lt;L_rampe,Poussee&lt;Poids*SIN(M961)), g*SIN(M961), (-W961+Poussee)/m)</f>
        <v>-6.02634890632468</v>
      </c>
    </row>
    <row r="963" customFormat="false" ht="12" hidden="false" customHeight="false" outlineLevel="0" collapsed="false">
      <c r="A963" s="448" t="n">
        <f aca="false">IF(B962+0.01&lt;=T_ini+ROUNDUP(Temps_fin_propu,0), 0.01, IF(K962&gt;0, 0.1, 0.0001))</f>
        <v>0.0001</v>
      </c>
      <c r="B963" s="449" t="n">
        <f aca="false">B962+pas</f>
        <v>35.724200000001</v>
      </c>
      <c r="C963" s="432"/>
      <c r="D963" s="450" t="n">
        <f aca="false">IF(AND(L962&lt;L_rampe,Poussee&lt;Poids*SIN(M962)),0,(-W962+Poussee)/m*COS(M962)-U962/m*SIN(M962))</f>
        <v>-0.823427689996482</v>
      </c>
      <c r="E963" s="451" t="n">
        <f aca="false">IF(AND(L962&lt;L_rampe,Poussee&lt;Poids*SIN(M962)),0,(-W962+Poussee)/m*SIN(M962)+U962/m*COS(M962)-Poids/m)</f>
        <v>-3.8401310428872</v>
      </c>
      <c r="F963" s="449" t="n">
        <f aca="false">SQRT(acc_x^2+acc_z^2)</f>
        <v>3.9274214934482</v>
      </c>
      <c r="G963" s="450" t="n">
        <f aca="false">G962+acc_x*pas</f>
        <v>18.889732612228</v>
      </c>
      <c r="H963" s="451" t="n">
        <f aca="false">H962+acc_z*pas</f>
        <v>-136.95196005972</v>
      </c>
      <c r="I963" s="449" t="n">
        <f aca="false">SQRT(vit_x^2+vit_z^2)</f>
        <v>138.248549223348</v>
      </c>
      <c r="J963" s="450" t="n">
        <f aca="false">J962+0.5*(vit_x+G962)*pas*(K962&gt;=0)</f>
        <v>1017.12580762709</v>
      </c>
      <c r="K963" s="451" t="n">
        <f aca="false">K962+0.5*(vit_z+H962)*pas</f>
        <v>-15.7294317957095</v>
      </c>
      <c r="L963" s="449" t="n">
        <f aca="false">SQRT(pos_x^2+pos_z^2)</f>
        <v>1017.24742494915</v>
      </c>
      <c r="M963" s="450" t="n">
        <f aca="false">IF(AND(L962&gt;L_rampe,G963&gt;0),ATAN2(G963,H963),$M$4)</f>
        <v>-1.43373153480621</v>
      </c>
      <c r="N963" s="449" t="n">
        <f aca="false">DEGREES(Beta)</f>
        <v>-82.1467658992097</v>
      </c>
      <c r="O963" s="438"/>
      <c r="P963" s="452" t="n">
        <f aca="false">MATCH(t-pas/2-T_ini,CdP_t)</f>
        <v>23</v>
      </c>
      <c r="Q963" s="449" t="n">
        <f aca="false">(INDEX(CdP,2,i_P+1)-INDEX(CdP,2,i_P+0))/(INDEX(CdP,1,i_P+1)-INDEX(CdP,1,i_P+0))*(t-pas/2-T_ini-INDEX(CdP,1,i_P+0))+INDEX(CdP,2,i_P+0)</f>
        <v>0</v>
      </c>
      <c r="R963" s="450" t="n">
        <f aca="false">Poussee/(g*ISP)</f>
        <v>0</v>
      </c>
      <c r="S963" s="451" t="n">
        <f aca="false">S962-Débit*pas</f>
        <v>8.652</v>
      </c>
      <c r="T963" s="449" t="n">
        <f aca="false">m*g</f>
        <v>84.87612</v>
      </c>
      <c r="U963" s="453" t="n">
        <f aca="false">IF(pos_xz&lt;L_rampe,Poids*COS(Beta),0)</f>
        <v>0</v>
      </c>
      <c r="V963" s="450" t="n">
        <f aca="false">Rho_moyen*(20000-Alt_rampe-pos_z)/(20000+Alt_rampe+pos_z)</f>
        <v>1.22692837200477</v>
      </c>
      <c r="W963" s="449" t="n">
        <f aca="false">1/2*Rho*Sref*Cx*vit_xz^2</f>
        <v>52.1406704703023</v>
      </c>
      <c r="X963" s="438"/>
      <c r="Y963" s="454" t="str">
        <f aca="false">IF(AND(pos_z&lt;=0,K962&gt;0),"Impact balistique","") &amp; IF(AND(H964&lt;0,vit_z&gt;=0),"Apogée","") &amp; IF(AND(Poussee=0,Q962&gt;0),"Fin de propulsion","") &amp; IF(AND(L964&gt;L_rampe,pos_xz&lt;=L_rampe),"Sortie de rampe","")</f>
        <v/>
      </c>
      <c r="Z963" s="455" t="str">
        <f aca="false">IF(ABS(t-T_para)&lt;pas/2,"Para","")</f>
        <v/>
      </c>
      <c r="AA963" s="456" t="str">
        <f aca="false">IF(ABS(t-T_satellite)&lt;pas/2,"Satellite","")</f>
        <v/>
      </c>
      <c r="AB963" s="444"/>
      <c r="AC963" s="452" t="e">
        <f aca="false">IF(ABS(t-ROUND(t,0))&lt;0.001,t,NA())</f>
        <v>#N/A</v>
      </c>
      <c r="AD963" s="457" t="e">
        <f aca="false">IF(ABS(t-ROUND(t,0))&lt;0.001,pos_x,NA())</f>
        <v>#N/A</v>
      </c>
      <c r="AE963" s="458" t="e">
        <f aca="false">IF(t&lt;T_para, pos_z, NA())</f>
        <v>#N/A</v>
      </c>
      <c r="AF963" s="444"/>
      <c r="AG963" s="450" t="n">
        <f aca="false">IF(AND(L962&lt;L_rampe,Poussee&lt;Poids*SIN(M962)),0,(-W962+Poussee)/m-Poids*SIN(M962)/m)</f>
        <v>3.69160448711962</v>
      </c>
      <c r="AH963" s="449" t="n">
        <f aca="false">IF(AND(L962&lt;L_rampe,Poussee&lt;Poids*SIN(M962)), g*SIN(M962), (-W962+Poussee)/m)</f>
        <v>-6.02638934402284</v>
      </c>
    </row>
    <row r="964" customFormat="false" ht="12" hidden="false" customHeight="false" outlineLevel="0" collapsed="false">
      <c r="A964" s="448" t="n">
        <f aca="false">IF(B963+0.01&lt;=T_ini+ROUNDUP(Temps_fin_propu,0), 0.01, IF(K963&gt;0, 0.1, 0.0001))</f>
        <v>0.0001</v>
      </c>
      <c r="B964" s="449" t="n">
        <f aca="false">B963+pas</f>
        <v>35.724300000001</v>
      </c>
      <c r="C964" s="432"/>
      <c r="D964" s="450" t="n">
        <f aca="false">IF(AND(L963&lt;L_rampe,Poussee&lt;Poids*SIN(M963)),0,(-W963+Poussee)/m*COS(M963)-U963/m*SIN(M963))</f>
        <v>-0.823427427051408</v>
      </c>
      <c r="E964" s="451" t="n">
        <f aca="false">IF(AND(L963&lt;L_rampe,Poussee&lt;Poids*SIN(M963)),0,(-W963+Poussee)/m*SIN(M963)+U963/m*COS(M963)-Poids/m)</f>
        <v>-3.84009018620932</v>
      </c>
      <c r="F964" s="449" t="n">
        <f aca="false">SQRT(acc_x^2+acc_z^2)</f>
        <v>3.9273814897259</v>
      </c>
      <c r="G964" s="450" t="n">
        <f aca="false">G963+acc_x*pas</f>
        <v>18.8896502694853</v>
      </c>
      <c r="H964" s="451" t="n">
        <f aca="false">H963+acc_z*pas</f>
        <v>-136.952344068738</v>
      </c>
      <c r="I964" s="449" t="n">
        <f aca="false">SQRT(vit_x^2+vit_z^2)</f>
        <v>138.248918379948</v>
      </c>
      <c r="J964" s="450" t="n">
        <f aca="false">J963+0.5*(vit_x+G963)*pas*(K963&gt;=0)</f>
        <v>1017.12580762709</v>
      </c>
      <c r="K964" s="451" t="n">
        <f aca="false">K963+0.5*(vit_z+H963)*pas</f>
        <v>-15.743127010916</v>
      </c>
      <c r="L964" s="449" t="n">
        <f aca="false">SQRT(pos_x^2+pos_z^2)</f>
        <v>1017.24763680686</v>
      </c>
      <c r="M964" s="450" t="n">
        <f aca="false">IF(AND(L963&gt;L_rampe,G964&gt;0),ATAN2(G964,H964),$M$4)</f>
        <v>-1.43373250436131</v>
      </c>
      <c r="N964" s="449" t="n">
        <f aca="false">DEGREES(Beta)</f>
        <v>-82.1468214506247</v>
      </c>
      <c r="O964" s="438"/>
      <c r="P964" s="452" t="n">
        <f aca="false">MATCH(t-pas/2-T_ini,CdP_t)</f>
        <v>23</v>
      </c>
      <c r="Q964" s="449" t="n">
        <f aca="false">(INDEX(CdP,2,i_P+1)-INDEX(CdP,2,i_P+0))/(INDEX(CdP,1,i_P+1)-INDEX(CdP,1,i_P+0))*(t-pas/2-T_ini-INDEX(CdP,1,i_P+0))+INDEX(CdP,2,i_P+0)</f>
        <v>0</v>
      </c>
      <c r="R964" s="450" t="n">
        <f aca="false">Poussee/(g*ISP)</f>
        <v>0</v>
      </c>
      <c r="S964" s="451" t="n">
        <f aca="false">S963-Débit*pas</f>
        <v>8.652</v>
      </c>
      <c r="T964" s="449" t="n">
        <f aca="false">m*g</f>
        <v>84.87612</v>
      </c>
      <c r="U964" s="453" t="n">
        <f aca="false">IF(pos_xz&lt;L_rampe,Poids*COS(Beta),0)</f>
        <v>0</v>
      </c>
      <c r="V964" s="450" t="n">
        <f aca="false">Rho_moyen*(20000-Alt_rampe-pos_z)/(20000+Alt_rampe+pos_z)</f>
        <v>1.22693005231177</v>
      </c>
      <c r="W964" s="449" t="n">
        <f aca="false">1/2*Rho*Sref*Cx*vit_xz^2</f>
        <v>52.1410203349711</v>
      </c>
      <c r="X964" s="438"/>
      <c r="Y964" s="454" t="str">
        <f aca="false">IF(AND(pos_z&lt;=0,K963&gt;0),"Impact balistique","") &amp; IF(AND(H965&lt;0,vit_z&gt;=0),"Apogée","") &amp; IF(AND(Poussee=0,Q963&gt;0),"Fin de propulsion","") &amp; IF(AND(L965&gt;L_rampe,pos_xz&lt;=L_rampe),"Sortie de rampe","")</f>
        <v/>
      </c>
      <c r="Z964" s="455" t="str">
        <f aca="false">IF(ABS(t-T_para)&lt;pas/2,"Para","")</f>
        <v/>
      </c>
      <c r="AA964" s="456" t="str">
        <f aca="false">IF(ABS(t-T_satellite)&lt;pas/2,"Satellite","")</f>
        <v/>
      </c>
      <c r="AB964" s="444"/>
      <c r="AC964" s="452" t="e">
        <f aca="false">IF(ABS(t-ROUND(t,0))&lt;0.001,t,NA())</f>
        <v>#N/A</v>
      </c>
      <c r="AD964" s="457" t="e">
        <f aca="false">IF(ABS(t-ROUND(t,0))&lt;0.001,pos_x,NA())</f>
        <v>#N/A</v>
      </c>
      <c r="AE964" s="458" t="e">
        <f aca="false">IF(t&lt;T_para, pos_z, NA())</f>
        <v>#N/A</v>
      </c>
      <c r="AF964" s="444"/>
      <c r="AG964" s="450" t="n">
        <f aca="false">IF(AND(L963&lt;L_rampe,Poussee&lt;Poids*SIN(M963)),0,(-W963+Poussee)/m-Poids*SIN(M963)/m)</f>
        <v>3.6915653491624</v>
      </c>
      <c r="AH964" s="449" t="n">
        <f aca="false">IF(AND(L963&lt;L_rampe,Poussee&lt;Poids*SIN(M963)), g*SIN(M963), (-W963+Poussee)/m)</f>
        <v>-6.02642978158833</v>
      </c>
    </row>
    <row r="965" customFormat="false" ht="12" hidden="false" customHeight="false" outlineLevel="0" collapsed="false">
      <c r="A965" s="448" t="n">
        <f aca="false">IF(B964+0.01&lt;=T_ini+ROUNDUP(Temps_fin_propu,0), 0.01, IF(K964&gt;0, 0.1, 0.0001))</f>
        <v>0.0001</v>
      </c>
      <c r="B965" s="449" t="n">
        <f aca="false">B964+pas</f>
        <v>35.724400000001</v>
      </c>
      <c r="C965" s="432"/>
      <c r="D965" s="450" t="n">
        <f aca="false">IF(AND(L964&lt;L_rampe,Poussee&lt;Poids*SIN(M964)),0,(-W964+Poussee)/m*COS(M964)-U964/m*SIN(M964))</f>
        <v>-0.823427164065898</v>
      </c>
      <c r="E965" s="451" t="n">
        <f aca="false">IF(AND(L964&lt;L_rampe,Poussee&lt;Poids*SIN(M964)),0,(-W964+Poussee)/m*SIN(M964)+U964/m*COS(M964)-Poids/m)</f>
        <v>-3.8400493296655</v>
      </c>
      <c r="F965" s="449" t="n">
        <f aca="false">SQRT(acc_x^2+acc_z^2)</f>
        <v>3.92734148614378</v>
      </c>
      <c r="G965" s="450" t="n">
        <f aca="false">G964+acc_x*pas</f>
        <v>18.8895679267689</v>
      </c>
      <c r="H965" s="451" t="n">
        <f aca="false">H964+acc_z*pas</f>
        <v>-136.952728073671</v>
      </c>
      <c r="I965" s="449" t="n">
        <f aca="false">SQRT(vit_x^2+vit_z^2)</f>
        <v>138.249287532634</v>
      </c>
      <c r="J965" s="450" t="n">
        <f aca="false">J964+0.5*(vit_x+G964)*pas*(K964&gt;=0)</f>
        <v>1017.12580762709</v>
      </c>
      <c r="K965" s="451" t="n">
        <f aca="false">K964+0.5*(vit_z+H964)*pas</f>
        <v>-15.7568222645231</v>
      </c>
      <c r="L965" s="449" t="n">
        <f aca="false">SQRT(pos_x^2+pos_z^2)</f>
        <v>1017.2478488495</v>
      </c>
      <c r="M965" s="450" t="n">
        <f aca="false">IF(AND(L964&gt;L_rampe,G965&gt;0),ATAN2(G965,H965),$M$4)</f>
        <v>-1.433733473907</v>
      </c>
      <c r="N965" s="449" t="n">
        <f aca="false">DEGREES(Beta)</f>
        <v>-82.1468770015008</v>
      </c>
      <c r="O965" s="438"/>
      <c r="P965" s="452" t="n">
        <f aca="false">MATCH(t-pas/2-T_ini,CdP_t)</f>
        <v>23</v>
      </c>
      <c r="Q965" s="449" t="n">
        <f aca="false">(INDEX(CdP,2,i_P+1)-INDEX(CdP,2,i_P+0))/(INDEX(CdP,1,i_P+1)-INDEX(CdP,1,i_P+0))*(t-pas/2-T_ini-INDEX(CdP,1,i_P+0))+INDEX(CdP,2,i_P+0)</f>
        <v>0</v>
      </c>
      <c r="R965" s="450" t="n">
        <f aca="false">Poussee/(g*ISP)</f>
        <v>0</v>
      </c>
      <c r="S965" s="451" t="n">
        <f aca="false">S964-Débit*pas</f>
        <v>8.652</v>
      </c>
      <c r="T965" s="449" t="n">
        <f aca="false">m*g</f>
        <v>84.87612</v>
      </c>
      <c r="U965" s="453" t="n">
        <f aca="false">IF(pos_xz&lt;L_rampe,Poids*COS(Beta),0)</f>
        <v>0</v>
      </c>
      <c r="V965" s="450" t="n">
        <f aca="false">Rho_moyen*(20000-Alt_rampe-pos_z)/(20000+Alt_rampe+pos_z)</f>
        <v>1.22693173262579</v>
      </c>
      <c r="W965" s="449" t="n">
        <f aca="false">1/2*Rho*Sref*Cx*vit_xz^2</f>
        <v>52.1413701984921</v>
      </c>
      <c r="X965" s="438"/>
      <c r="Y965" s="454" t="str">
        <f aca="false">IF(AND(pos_z&lt;=0,K964&gt;0),"Impact balistique","") &amp; IF(AND(H966&lt;0,vit_z&gt;=0),"Apogée","") &amp; IF(AND(Poussee=0,Q964&gt;0),"Fin de propulsion","") &amp; IF(AND(L966&gt;L_rampe,pos_xz&lt;=L_rampe),"Sortie de rampe","")</f>
        <v/>
      </c>
      <c r="Z965" s="455" t="str">
        <f aca="false">IF(ABS(t-T_para)&lt;pas/2,"Para","")</f>
        <v/>
      </c>
      <c r="AA965" s="456" t="str">
        <f aca="false">IF(ABS(t-T_satellite)&lt;pas/2,"Satellite","")</f>
        <v/>
      </c>
      <c r="AB965" s="444"/>
      <c r="AC965" s="452" t="e">
        <f aca="false">IF(ABS(t-ROUND(t,0))&lt;0.001,t,NA())</f>
        <v>#N/A</v>
      </c>
      <c r="AD965" s="457" t="e">
        <f aca="false">IF(ABS(t-ROUND(t,0))&lt;0.001,pos_x,NA())</f>
        <v>#N/A</v>
      </c>
      <c r="AE965" s="458" t="e">
        <f aca="false">IF(t&lt;T_para, pos_z, NA())</f>
        <v>#N/A</v>
      </c>
      <c r="AF965" s="444"/>
      <c r="AG965" s="450" t="n">
        <f aca="false">IF(AND(L964&lt;L_rampe,Poussee&lt;Poids*SIN(M964)),0,(-W964+Poussee)/m-Poids*SIN(M964)/m)</f>
        <v>3.6915262113161</v>
      </c>
      <c r="AH965" s="449" t="n">
        <f aca="false">IF(AND(L964&lt;L_rampe,Poussee&lt;Poids*SIN(M964)), g*SIN(M964), (-W964+Poussee)/m)</f>
        <v>-6.02647021902116</v>
      </c>
    </row>
    <row r="966" customFormat="false" ht="12" hidden="false" customHeight="false" outlineLevel="0" collapsed="false">
      <c r="A966" s="448" t="n">
        <f aca="false">IF(B965+0.01&lt;=T_ini+ROUNDUP(Temps_fin_propu,0), 0.01, IF(K965&gt;0, 0.1, 0.0001))</f>
        <v>0.0001</v>
      </c>
      <c r="B966" s="449" t="n">
        <f aca="false">B965+pas</f>
        <v>35.724500000001</v>
      </c>
      <c r="C966" s="432"/>
      <c r="D966" s="450" t="n">
        <f aca="false">IF(AND(L965&lt;L_rampe,Poussee&lt;Poids*SIN(M965)),0,(-W965+Poussee)/m*COS(M965)-U965/m*SIN(M965))</f>
        <v>-0.823426901039954</v>
      </c>
      <c r="E966" s="451" t="n">
        <f aca="false">IF(AND(L965&lt;L_rampe,Poussee&lt;Poids*SIN(M965)),0,(-W965+Poussee)/m*SIN(M965)+U965/m*COS(M965)-Poids/m)</f>
        <v>-3.84000847325574</v>
      </c>
      <c r="F966" s="449" t="n">
        <f aca="false">SQRT(acc_x^2+acc_z^2)</f>
        <v>3.92730148270185</v>
      </c>
      <c r="G966" s="450" t="n">
        <f aca="false">G965+acc_x*pas</f>
        <v>18.8894855840788</v>
      </c>
      <c r="H966" s="451" t="n">
        <f aca="false">H965+acc_z*pas</f>
        <v>-136.953112074519</v>
      </c>
      <c r="I966" s="449" t="n">
        <f aca="false">SQRT(vit_x^2+vit_z^2)</f>
        <v>138.249656681407</v>
      </c>
      <c r="J966" s="450" t="n">
        <f aca="false">J965+0.5*(vit_x+G965)*pas*(K965&gt;=0)</f>
        <v>1017.12580762709</v>
      </c>
      <c r="K966" s="451" t="n">
        <f aca="false">K965+0.5*(vit_z+H965)*pas</f>
        <v>-15.7705175565305</v>
      </c>
      <c r="L966" s="449" t="n">
        <f aca="false">SQRT(pos_x^2+pos_z^2)</f>
        <v>1017.24806107707</v>
      </c>
      <c r="M966" s="450" t="n">
        <f aca="false">IF(AND(L965&gt;L_rampe,G966&gt;0),ATAN2(G966,H966),$M$4)</f>
        <v>-1.43373444344328</v>
      </c>
      <c r="N966" s="449" t="n">
        <f aca="false">DEGREES(Beta)</f>
        <v>-82.1469325518382</v>
      </c>
      <c r="O966" s="438"/>
      <c r="P966" s="452" t="n">
        <f aca="false">MATCH(t-pas/2-T_ini,CdP_t)</f>
        <v>23</v>
      </c>
      <c r="Q966" s="449" t="n">
        <f aca="false">(INDEX(CdP,2,i_P+1)-INDEX(CdP,2,i_P+0))/(INDEX(CdP,1,i_P+1)-INDEX(CdP,1,i_P+0))*(t-pas/2-T_ini-INDEX(CdP,1,i_P+0))+INDEX(CdP,2,i_P+0)</f>
        <v>0</v>
      </c>
      <c r="R966" s="450" t="n">
        <f aca="false">Poussee/(g*ISP)</f>
        <v>0</v>
      </c>
      <c r="S966" s="451" t="n">
        <f aca="false">S965-Débit*pas</f>
        <v>8.652</v>
      </c>
      <c r="T966" s="449" t="n">
        <f aca="false">m*g</f>
        <v>84.87612</v>
      </c>
      <c r="U966" s="453" t="n">
        <f aca="false">IF(pos_xz&lt;L_rampe,Poids*COS(Beta),0)</f>
        <v>0</v>
      </c>
      <c r="V966" s="450" t="n">
        <f aca="false">Rho_moyen*(20000-Alt_rampe-pos_z)/(20000+Alt_rampe+pos_z)</f>
        <v>1.22693341294682</v>
      </c>
      <c r="W966" s="449" t="n">
        <f aca="false">1/2*Rho*Sref*Cx*vit_xz^2</f>
        <v>52.1417200608652</v>
      </c>
      <c r="X966" s="438"/>
      <c r="Y966" s="454" t="str">
        <f aca="false">IF(AND(pos_z&lt;=0,K965&gt;0),"Impact balistique","") &amp; IF(AND(H967&lt;0,vit_z&gt;=0),"Apogée","") &amp; IF(AND(Poussee=0,Q965&gt;0),"Fin de propulsion","") &amp; IF(AND(L967&gt;L_rampe,pos_xz&lt;=L_rampe),"Sortie de rampe","")</f>
        <v/>
      </c>
      <c r="Z966" s="455" t="str">
        <f aca="false">IF(ABS(t-T_para)&lt;pas/2,"Para","")</f>
        <v/>
      </c>
      <c r="AA966" s="456" t="str">
        <f aca="false">IF(ABS(t-T_satellite)&lt;pas/2,"Satellite","")</f>
        <v/>
      </c>
      <c r="AB966" s="444"/>
      <c r="AC966" s="452" t="e">
        <f aca="false">IF(ABS(t-ROUND(t,0))&lt;0.001,t,NA())</f>
        <v>#N/A</v>
      </c>
      <c r="AD966" s="457" t="e">
        <f aca="false">IF(ABS(t-ROUND(t,0))&lt;0.001,pos_x,NA())</f>
        <v>#N/A</v>
      </c>
      <c r="AE966" s="458" t="e">
        <f aca="false">IF(t&lt;T_para, pos_z, NA())</f>
        <v>#N/A</v>
      </c>
      <c r="AF966" s="444"/>
      <c r="AG966" s="450" t="n">
        <f aca="false">IF(AND(L965&lt;L_rampe,Poussee&lt;Poids*SIN(M965)),0,(-W965+Poussee)/m-Poids*SIN(M965)/m)</f>
        <v>3.69148707358073</v>
      </c>
      <c r="AH966" s="449" t="n">
        <f aca="false">IF(AND(L965&lt;L_rampe,Poussee&lt;Poids*SIN(M965)), g*SIN(M965), (-W965+Poussee)/m)</f>
        <v>-6.02651065632132</v>
      </c>
    </row>
    <row r="967" customFormat="false" ht="12" hidden="false" customHeight="false" outlineLevel="0" collapsed="false">
      <c r="A967" s="448" t="n">
        <f aca="false">IF(B966+0.01&lt;=T_ini+ROUNDUP(Temps_fin_propu,0), 0.01, IF(K966&gt;0, 0.1, 0.0001))</f>
        <v>0.0001</v>
      </c>
      <c r="B967" s="449" t="n">
        <f aca="false">B966+pas</f>
        <v>35.724600000001</v>
      </c>
      <c r="C967" s="432"/>
      <c r="D967" s="450" t="n">
        <f aca="false">IF(AND(L966&lt;L_rampe,Poussee&lt;Poids*SIN(M966)),0,(-W966+Poussee)/m*COS(M966)-U966/m*SIN(M966))</f>
        <v>-0.823426637973574</v>
      </c>
      <c r="E967" s="451" t="n">
        <f aca="false">IF(AND(L966&lt;L_rampe,Poussee&lt;Poids*SIN(M966)),0,(-W966+Poussee)/m*SIN(M966)+U966/m*COS(M966)-Poids/m)</f>
        <v>-3.83996761698006</v>
      </c>
      <c r="F967" s="449" t="n">
        <f aca="false">SQRT(acc_x^2+acc_z^2)</f>
        <v>3.92726147940012</v>
      </c>
      <c r="G967" s="450" t="n">
        <f aca="false">G966+acc_x*pas</f>
        <v>18.889403241415</v>
      </c>
      <c r="H967" s="451" t="n">
        <f aca="false">H966+acc_z*pas</f>
        <v>-136.95349607128</v>
      </c>
      <c r="I967" s="449" t="n">
        <f aca="false">SQRT(vit_x^2+vit_z^2)</f>
        <v>138.250025826265</v>
      </c>
      <c r="J967" s="450" t="n">
        <f aca="false">J966+0.5*(vit_x+G966)*pas*(K966&gt;=0)</f>
        <v>1017.12580762709</v>
      </c>
      <c r="K967" s="451" t="n">
        <f aca="false">K966+0.5*(vit_z+H966)*pas</f>
        <v>-15.7842128869378</v>
      </c>
      <c r="L967" s="449" t="n">
        <f aca="false">SQRT(pos_x^2+pos_z^2)</f>
        <v>1017.24827348957</v>
      </c>
      <c r="M967" s="450" t="n">
        <f aca="false">IF(AND(L966&gt;L_rampe,G967&gt;0),ATAN2(G967,H967),$M$4)</f>
        <v>-1.43373541297017</v>
      </c>
      <c r="N967" s="449" t="n">
        <f aca="false">DEGREES(Beta)</f>
        <v>-82.1469881016367</v>
      </c>
      <c r="O967" s="438"/>
      <c r="P967" s="452" t="n">
        <f aca="false">MATCH(t-pas/2-T_ini,CdP_t)</f>
        <v>23</v>
      </c>
      <c r="Q967" s="449" t="n">
        <f aca="false">(INDEX(CdP,2,i_P+1)-INDEX(CdP,2,i_P+0))/(INDEX(CdP,1,i_P+1)-INDEX(CdP,1,i_P+0))*(t-pas/2-T_ini-INDEX(CdP,1,i_P+0))+INDEX(CdP,2,i_P+0)</f>
        <v>0</v>
      </c>
      <c r="R967" s="450" t="n">
        <f aca="false">Poussee/(g*ISP)</f>
        <v>0</v>
      </c>
      <c r="S967" s="451" t="n">
        <f aca="false">S966-Débit*pas</f>
        <v>8.652</v>
      </c>
      <c r="T967" s="449" t="n">
        <f aca="false">m*g</f>
        <v>84.87612</v>
      </c>
      <c r="U967" s="453" t="n">
        <f aca="false">IF(pos_xz&lt;L_rampe,Poids*COS(Beta),0)</f>
        <v>0</v>
      </c>
      <c r="V967" s="450" t="n">
        <f aca="false">Rho_moyen*(20000-Alt_rampe-pos_z)/(20000+Alt_rampe+pos_z)</f>
        <v>1.22693509327486</v>
      </c>
      <c r="W967" s="449" t="n">
        <f aca="false">1/2*Rho*Sref*Cx*vit_xz^2</f>
        <v>52.1420699220904</v>
      </c>
      <c r="X967" s="438"/>
      <c r="Y967" s="454" t="str">
        <f aca="false">IF(AND(pos_z&lt;=0,K966&gt;0),"Impact balistique","") &amp; IF(AND(H968&lt;0,vit_z&gt;=0),"Apogée","") &amp; IF(AND(Poussee=0,Q966&gt;0),"Fin de propulsion","") &amp; IF(AND(L968&gt;L_rampe,pos_xz&lt;=L_rampe),"Sortie de rampe","")</f>
        <v/>
      </c>
      <c r="Z967" s="455" t="str">
        <f aca="false">IF(ABS(t-T_para)&lt;pas/2,"Para","")</f>
        <v/>
      </c>
      <c r="AA967" s="456" t="str">
        <f aca="false">IF(ABS(t-T_satellite)&lt;pas/2,"Satellite","")</f>
        <v/>
      </c>
      <c r="AB967" s="444"/>
      <c r="AC967" s="452" t="e">
        <f aca="false">IF(ABS(t-ROUND(t,0))&lt;0.001,t,NA())</f>
        <v>#N/A</v>
      </c>
      <c r="AD967" s="457" t="e">
        <f aca="false">IF(ABS(t-ROUND(t,0))&lt;0.001,pos_x,NA())</f>
        <v>#N/A</v>
      </c>
      <c r="AE967" s="458" t="e">
        <f aca="false">IF(t&lt;T_para, pos_z, NA())</f>
        <v>#N/A</v>
      </c>
      <c r="AF967" s="444"/>
      <c r="AG967" s="450" t="n">
        <f aca="false">IF(AND(L966&lt;L_rampe,Poussee&lt;Poids*SIN(M966)),0,(-W966+Poussee)/m-Poids*SIN(M966)/m)</f>
        <v>3.69144793595629</v>
      </c>
      <c r="AH967" s="449" t="n">
        <f aca="false">IF(AND(L966&lt;L_rampe,Poussee&lt;Poids*SIN(M966)), g*SIN(M966), (-W966+Poussee)/m)</f>
        <v>-6.02655109348881</v>
      </c>
    </row>
    <row r="968" customFormat="false" ht="12" hidden="false" customHeight="false" outlineLevel="0" collapsed="false">
      <c r="A968" s="448" t="n">
        <f aca="false">IF(B967+0.01&lt;=T_ini+ROUNDUP(Temps_fin_propu,0), 0.01, IF(K967&gt;0, 0.1, 0.0001))</f>
        <v>0.0001</v>
      </c>
      <c r="B968" s="449" t="n">
        <f aca="false">B967+pas</f>
        <v>35.724700000001</v>
      </c>
      <c r="C968" s="432"/>
      <c r="D968" s="450" t="n">
        <f aca="false">IF(AND(L967&lt;L_rampe,Poussee&lt;Poids*SIN(M967)),0,(-W967+Poussee)/m*COS(M967)-U967/m*SIN(M967))</f>
        <v>-0.823426374866759</v>
      </c>
      <c r="E968" s="451" t="n">
        <f aca="false">IF(AND(L967&lt;L_rampe,Poussee&lt;Poids*SIN(M967)),0,(-W967+Poussee)/m*SIN(M967)+U967/m*COS(M967)-Poids/m)</f>
        <v>-3.83992676083845</v>
      </c>
      <c r="F968" s="449" t="n">
        <f aca="false">SQRT(acc_x^2+acc_z^2)</f>
        <v>3.92722147623857</v>
      </c>
      <c r="G968" s="450" t="n">
        <f aca="false">G967+acc_x*pas</f>
        <v>18.8893208987775</v>
      </c>
      <c r="H968" s="451" t="n">
        <f aca="false">H967+acc_z*pas</f>
        <v>-136.953880063956</v>
      </c>
      <c r="I968" s="449" t="n">
        <f aca="false">SQRT(vit_x^2+vit_z^2)</f>
        <v>138.25039496721</v>
      </c>
      <c r="J968" s="450" t="n">
        <f aca="false">J967+0.5*(vit_x+G967)*pas*(K967&gt;=0)</f>
        <v>1017.12580762709</v>
      </c>
      <c r="K968" s="451" t="n">
        <f aca="false">K967+0.5*(vit_z+H967)*pas</f>
        <v>-15.7979082557445</v>
      </c>
      <c r="L968" s="449" t="n">
        <f aca="false">SQRT(pos_x^2+pos_z^2)</f>
        <v>1017.24848608701</v>
      </c>
      <c r="M968" s="450" t="n">
        <f aca="false">IF(AND(L967&gt;L_rampe,G968&gt;0),ATAN2(G968,H968),$M$4)</f>
        <v>-1.43373638248765</v>
      </c>
      <c r="N968" s="449" t="n">
        <f aca="false">DEGREES(Beta)</f>
        <v>-82.1470436508965</v>
      </c>
      <c r="O968" s="438"/>
      <c r="P968" s="452" t="n">
        <f aca="false">MATCH(t-pas/2-T_ini,CdP_t)</f>
        <v>23</v>
      </c>
      <c r="Q968" s="449" t="n">
        <f aca="false">(INDEX(CdP,2,i_P+1)-INDEX(CdP,2,i_P+0))/(INDEX(CdP,1,i_P+1)-INDEX(CdP,1,i_P+0))*(t-pas/2-T_ini-INDEX(CdP,1,i_P+0))+INDEX(CdP,2,i_P+0)</f>
        <v>0</v>
      </c>
      <c r="R968" s="450" t="n">
        <f aca="false">Poussee/(g*ISP)</f>
        <v>0</v>
      </c>
      <c r="S968" s="451" t="n">
        <f aca="false">S967-Débit*pas</f>
        <v>8.652</v>
      </c>
      <c r="T968" s="449" t="n">
        <f aca="false">m*g</f>
        <v>84.87612</v>
      </c>
      <c r="U968" s="453" t="n">
        <f aca="false">IF(pos_xz&lt;L_rampe,Poids*COS(Beta),0)</f>
        <v>0</v>
      </c>
      <c r="V968" s="450" t="n">
        <f aca="false">Rho_moyen*(20000-Alt_rampe-pos_z)/(20000+Alt_rampe+pos_z)</f>
        <v>1.22693677360992</v>
      </c>
      <c r="W968" s="449" t="n">
        <f aca="false">1/2*Rho*Sref*Cx*vit_xz^2</f>
        <v>52.1424197821677</v>
      </c>
      <c r="X968" s="438"/>
      <c r="Y968" s="454" t="str">
        <f aca="false">IF(AND(pos_z&lt;=0,K967&gt;0),"Impact balistique","") &amp; IF(AND(H969&lt;0,vit_z&gt;=0),"Apogée","") &amp; IF(AND(Poussee=0,Q967&gt;0),"Fin de propulsion","") &amp; IF(AND(L969&gt;L_rampe,pos_xz&lt;=L_rampe),"Sortie de rampe","")</f>
        <v/>
      </c>
      <c r="Z968" s="455" t="str">
        <f aca="false">IF(ABS(t-T_para)&lt;pas/2,"Para","")</f>
        <v/>
      </c>
      <c r="AA968" s="456" t="str">
        <f aca="false">IF(ABS(t-T_satellite)&lt;pas/2,"Satellite","")</f>
        <v/>
      </c>
      <c r="AB968" s="444"/>
      <c r="AC968" s="452" t="e">
        <f aca="false">IF(ABS(t-ROUND(t,0))&lt;0.001,t,NA())</f>
        <v>#N/A</v>
      </c>
      <c r="AD968" s="457" t="e">
        <f aca="false">IF(ABS(t-ROUND(t,0))&lt;0.001,pos_x,NA())</f>
        <v>#N/A</v>
      </c>
      <c r="AE968" s="458" t="e">
        <f aca="false">IF(t&lt;T_para, pos_z, NA())</f>
        <v>#N/A</v>
      </c>
      <c r="AF968" s="444"/>
      <c r="AG968" s="450" t="n">
        <f aca="false">IF(AND(L967&lt;L_rampe,Poussee&lt;Poids*SIN(M967)),0,(-W967+Poussee)/m-Poids*SIN(M967)/m)</f>
        <v>3.69140879844279</v>
      </c>
      <c r="AH968" s="449" t="n">
        <f aca="false">IF(AND(L967&lt;L_rampe,Poussee&lt;Poids*SIN(M967)), g*SIN(M967), (-W967+Poussee)/m)</f>
        <v>-6.02659153052363</v>
      </c>
    </row>
    <row r="969" customFormat="false" ht="12" hidden="false" customHeight="false" outlineLevel="0" collapsed="false">
      <c r="A969" s="448" t="n">
        <f aca="false">IF(B968+0.01&lt;=T_ini+ROUNDUP(Temps_fin_propu,0), 0.01, IF(K968&gt;0, 0.1, 0.0001))</f>
        <v>0.0001</v>
      </c>
      <c r="B969" s="449" t="n">
        <f aca="false">B968+pas</f>
        <v>35.724800000001</v>
      </c>
      <c r="C969" s="432"/>
      <c r="D969" s="450" t="n">
        <f aca="false">IF(AND(L968&lt;L_rampe,Poussee&lt;Poids*SIN(M968)),0,(-W968+Poussee)/m*COS(M968)-U968/m*SIN(M968))</f>
        <v>-0.823426111719511</v>
      </c>
      <c r="E969" s="451" t="n">
        <f aca="false">IF(AND(L968&lt;L_rampe,Poussee&lt;Poids*SIN(M968)),0,(-W968+Poussee)/m*SIN(M968)+U968/m*COS(M968)-Poids/m)</f>
        <v>-3.83988590483091</v>
      </c>
      <c r="F969" s="449" t="n">
        <f aca="false">SQRT(acc_x^2+acc_z^2)</f>
        <v>3.92718147321722</v>
      </c>
      <c r="G969" s="450" t="n">
        <f aca="false">G968+acc_x*pas</f>
        <v>18.8892385561664</v>
      </c>
      <c r="H969" s="451" t="n">
        <f aca="false">H968+acc_z*pas</f>
        <v>-136.954264052547</v>
      </c>
      <c r="I969" s="449" t="n">
        <f aca="false">SQRT(vit_x^2+vit_z^2)</f>
        <v>138.250764104241</v>
      </c>
      <c r="J969" s="450" t="n">
        <f aca="false">J968+0.5*(vit_x+G968)*pas*(K968&gt;=0)</f>
        <v>1017.12580762709</v>
      </c>
      <c r="K969" s="451" t="n">
        <f aca="false">K968+0.5*(vit_z+H968)*pas</f>
        <v>-15.8116036629504</v>
      </c>
      <c r="L969" s="449" t="n">
        <f aca="false">SQRT(pos_x^2+pos_z^2)</f>
        <v>1017.24869886938</v>
      </c>
      <c r="M969" s="450" t="n">
        <f aca="false">IF(AND(L968&gt;L_rampe,G969&gt;0),ATAN2(G969,H969),$M$4)</f>
        <v>-1.43373735199572</v>
      </c>
      <c r="N969" s="449" t="n">
        <f aca="false">DEGREES(Beta)</f>
        <v>-82.1470991996174</v>
      </c>
      <c r="O969" s="438"/>
      <c r="P969" s="452" t="n">
        <f aca="false">MATCH(t-pas/2-T_ini,CdP_t)</f>
        <v>23</v>
      </c>
      <c r="Q969" s="449" t="n">
        <f aca="false">(INDEX(CdP,2,i_P+1)-INDEX(CdP,2,i_P+0))/(INDEX(CdP,1,i_P+1)-INDEX(CdP,1,i_P+0))*(t-pas/2-T_ini-INDEX(CdP,1,i_P+0))+INDEX(CdP,2,i_P+0)</f>
        <v>0</v>
      </c>
      <c r="R969" s="450" t="n">
        <f aca="false">Poussee/(g*ISP)</f>
        <v>0</v>
      </c>
      <c r="S969" s="451" t="n">
        <f aca="false">S968-Débit*pas</f>
        <v>8.652</v>
      </c>
      <c r="T969" s="449" t="n">
        <f aca="false">m*g</f>
        <v>84.87612</v>
      </c>
      <c r="U969" s="453" t="n">
        <f aca="false">IF(pos_xz&lt;L_rampe,Poids*COS(Beta),0)</f>
        <v>0</v>
      </c>
      <c r="V969" s="450" t="n">
        <f aca="false">Rho_moyen*(20000-Alt_rampe-pos_z)/(20000+Alt_rampe+pos_z)</f>
        <v>1.22693845395199</v>
      </c>
      <c r="W969" s="449" t="n">
        <f aca="false">1/2*Rho*Sref*Cx*vit_xz^2</f>
        <v>52.1427696410971</v>
      </c>
      <c r="X969" s="438"/>
      <c r="Y969" s="454" t="str">
        <f aca="false">IF(AND(pos_z&lt;=0,K968&gt;0),"Impact balistique","") &amp; IF(AND(H970&lt;0,vit_z&gt;=0),"Apogée","") &amp; IF(AND(Poussee=0,Q968&gt;0),"Fin de propulsion","") &amp; IF(AND(L970&gt;L_rampe,pos_xz&lt;=L_rampe),"Sortie de rampe","")</f>
        <v/>
      </c>
      <c r="Z969" s="455" t="str">
        <f aca="false">IF(ABS(t-T_para)&lt;pas/2,"Para","")</f>
        <v/>
      </c>
      <c r="AA969" s="456" t="str">
        <f aca="false">IF(ABS(t-T_satellite)&lt;pas/2,"Satellite","")</f>
        <v/>
      </c>
      <c r="AB969" s="444"/>
      <c r="AC969" s="452" t="e">
        <f aca="false">IF(ABS(t-ROUND(t,0))&lt;0.001,t,NA())</f>
        <v>#N/A</v>
      </c>
      <c r="AD969" s="457" t="e">
        <f aca="false">IF(ABS(t-ROUND(t,0))&lt;0.001,pos_x,NA())</f>
        <v>#N/A</v>
      </c>
      <c r="AE969" s="458" t="e">
        <f aca="false">IF(t&lt;T_para, pos_z, NA())</f>
        <v>#N/A</v>
      </c>
      <c r="AF969" s="444"/>
      <c r="AG969" s="450" t="n">
        <f aca="false">IF(AND(L968&lt;L_rampe,Poussee&lt;Poids*SIN(M968)),0,(-W968+Poussee)/m-Poids*SIN(M968)/m)</f>
        <v>3.69136966104022</v>
      </c>
      <c r="AH969" s="449" t="n">
        <f aca="false">IF(AND(L968&lt;L_rampe,Poussee&lt;Poids*SIN(M968)), g*SIN(M968), (-W968+Poussee)/m)</f>
        <v>-6.02663196742577</v>
      </c>
    </row>
    <row r="970" customFormat="false" ht="12" hidden="false" customHeight="false" outlineLevel="0" collapsed="false">
      <c r="A970" s="448" t="n">
        <f aca="false">IF(B969+0.01&lt;=T_ini+ROUNDUP(Temps_fin_propu,0), 0.01, IF(K969&gt;0, 0.1, 0.0001))</f>
        <v>0.0001</v>
      </c>
      <c r="B970" s="449" t="n">
        <f aca="false">B969+pas</f>
        <v>35.724900000001</v>
      </c>
      <c r="C970" s="432"/>
      <c r="D970" s="450" t="n">
        <f aca="false">IF(AND(L969&lt;L_rampe,Poussee&lt;Poids*SIN(M969)),0,(-W969+Poussee)/m*COS(M969)-U969/m*SIN(M969))</f>
        <v>-0.823425848531829</v>
      </c>
      <c r="E970" s="451" t="n">
        <f aca="false">IF(AND(L969&lt;L_rampe,Poussee&lt;Poids*SIN(M969)),0,(-W969+Poussee)/m*SIN(M969)+U969/m*COS(M969)-Poids/m)</f>
        <v>-3.83984504895745</v>
      </c>
      <c r="F970" s="449" t="n">
        <f aca="false">SQRT(acc_x^2+acc_z^2)</f>
        <v>3.92714147033607</v>
      </c>
      <c r="G970" s="450" t="n">
        <f aca="false">G969+acc_x*pas</f>
        <v>18.8891562135815</v>
      </c>
      <c r="H970" s="451" t="n">
        <f aca="false">H969+acc_z*pas</f>
        <v>-136.954648037052</v>
      </c>
      <c r="I970" s="449" t="n">
        <f aca="false">SQRT(vit_x^2+vit_z^2)</f>
        <v>138.251133237358</v>
      </c>
      <c r="J970" s="450" t="n">
        <f aca="false">J969+0.5*(vit_x+G969)*pas*(K969&gt;=0)</f>
        <v>1017.12580762709</v>
      </c>
      <c r="K970" s="451" t="n">
        <f aca="false">K969+0.5*(vit_z+H969)*pas</f>
        <v>-15.8252991085548</v>
      </c>
      <c r="L970" s="449" t="n">
        <f aca="false">SQRT(pos_x^2+pos_z^2)</f>
        <v>1017.24891183669</v>
      </c>
      <c r="M970" s="450" t="n">
        <f aca="false">IF(AND(L969&gt;L_rampe,G970&gt;0),ATAN2(G970,H970),$M$4)</f>
        <v>-1.43373832149439</v>
      </c>
      <c r="N970" s="449" t="n">
        <f aca="false">DEGREES(Beta)</f>
        <v>-82.1471547477996</v>
      </c>
      <c r="O970" s="438"/>
      <c r="P970" s="452" t="n">
        <f aca="false">MATCH(t-pas/2-T_ini,CdP_t)</f>
        <v>23</v>
      </c>
      <c r="Q970" s="449" t="n">
        <f aca="false">(INDEX(CdP,2,i_P+1)-INDEX(CdP,2,i_P+0))/(INDEX(CdP,1,i_P+1)-INDEX(CdP,1,i_P+0))*(t-pas/2-T_ini-INDEX(CdP,1,i_P+0))+INDEX(CdP,2,i_P+0)</f>
        <v>0</v>
      </c>
      <c r="R970" s="450" t="n">
        <f aca="false">Poussee/(g*ISP)</f>
        <v>0</v>
      </c>
      <c r="S970" s="451" t="n">
        <f aca="false">S969-Débit*pas</f>
        <v>8.652</v>
      </c>
      <c r="T970" s="449" t="n">
        <f aca="false">m*g</f>
        <v>84.87612</v>
      </c>
      <c r="U970" s="453" t="n">
        <f aca="false">IF(pos_xz&lt;L_rampe,Poids*COS(Beta),0)</f>
        <v>0</v>
      </c>
      <c r="V970" s="450" t="n">
        <f aca="false">Rho_moyen*(20000-Alt_rampe-pos_z)/(20000+Alt_rampe+pos_z)</f>
        <v>1.22694013430108</v>
      </c>
      <c r="W970" s="449" t="n">
        <f aca="false">1/2*Rho*Sref*Cx*vit_xz^2</f>
        <v>52.1431194988785</v>
      </c>
      <c r="X970" s="438"/>
      <c r="Y970" s="454" t="str">
        <f aca="false">IF(AND(pos_z&lt;=0,K969&gt;0),"Impact balistique","") &amp; IF(AND(H971&lt;0,vit_z&gt;=0),"Apogée","") &amp; IF(AND(Poussee=0,Q969&gt;0),"Fin de propulsion","") &amp; IF(AND(L971&gt;L_rampe,pos_xz&lt;=L_rampe),"Sortie de rampe","")</f>
        <v/>
      </c>
      <c r="Z970" s="455" t="str">
        <f aca="false">IF(ABS(t-T_para)&lt;pas/2,"Para","")</f>
        <v/>
      </c>
      <c r="AA970" s="456" t="str">
        <f aca="false">IF(ABS(t-T_satellite)&lt;pas/2,"Satellite","")</f>
        <v/>
      </c>
      <c r="AB970" s="444"/>
      <c r="AC970" s="452" t="e">
        <f aca="false">IF(ABS(t-ROUND(t,0))&lt;0.001,t,NA())</f>
        <v>#N/A</v>
      </c>
      <c r="AD970" s="457" t="e">
        <f aca="false">IF(ABS(t-ROUND(t,0))&lt;0.001,pos_x,NA())</f>
        <v>#N/A</v>
      </c>
      <c r="AE970" s="458" t="e">
        <f aca="false">IF(t&lt;T_para, pos_z, NA())</f>
        <v>#N/A</v>
      </c>
      <c r="AF970" s="444"/>
      <c r="AG970" s="450" t="n">
        <f aca="false">IF(AND(L969&lt;L_rampe,Poussee&lt;Poids*SIN(M969)),0,(-W969+Poussee)/m-Poids*SIN(M969)/m)</f>
        <v>3.6913305237486</v>
      </c>
      <c r="AH970" s="449" t="n">
        <f aca="false">IF(AND(L969&lt;L_rampe,Poussee&lt;Poids*SIN(M969)), g*SIN(M969), (-W969+Poussee)/m)</f>
        <v>-6.02667240419523</v>
      </c>
    </row>
    <row r="971" customFormat="false" ht="12" hidden="false" customHeight="false" outlineLevel="0" collapsed="false">
      <c r="A971" s="448" t="n">
        <f aca="false">IF(B970+0.01&lt;=T_ini+ROUNDUP(Temps_fin_propu,0), 0.01, IF(K970&gt;0, 0.1, 0.0001))</f>
        <v>0.0001</v>
      </c>
      <c r="B971" s="449" t="n">
        <f aca="false">B970+pas</f>
        <v>35.725000000001</v>
      </c>
      <c r="C971" s="432"/>
      <c r="D971" s="450" t="n">
        <f aca="false">IF(AND(L970&lt;L_rampe,Poussee&lt;Poids*SIN(M970)),0,(-W970+Poussee)/m*COS(M970)-U970/m*SIN(M970))</f>
        <v>-0.823425585303713</v>
      </c>
      <c r="E971" s="451" t="n">
        <f aca="false">IF(AND(L970&lt;L_rampe,Poussee&lt;Poids*SIN(M970)),0,(-W970+Poussee)/m*SIN(M970)+U970/m*COS(M970)-Poids/m)</f>
        <v>-3.83980419321806</v>
      </c>
      <c r="F971" s="449" t="n">
        <f aca="false">SQRT(acc_x^2+acc_z^2)</f>
        <v>3.92710146759512</v>
      </c>
      <c r="G971" s="450" t="n">
        <f aca="false">G970+acc_x*pas</f>
        <v>18.889073871023</v>
      </c>
      <c r="H971" s="451" t="n">
        <f aca="false">H970+acc_z*pas</f>
        <v>-136.955032017471</v>
      </c>
      <c r="I971" s="449" t="n">
        <f aca="false">SQRT(vit_x^2+vit_z^2)</f>
        <v>138.251502366562</v>
      </c>
      <c r="J971" s="450" t="n">
        <f aca="false">J970+0.5*(vit_x+G970)*pas*(K970&gt;=0)</f>
        <v>1017.12580762709</v>
      </c>
      <c r="K971" s="451" t="n">
        <f aca="false">K970+0.5*(vit_z+H970)*pas</f>
        <v>-15.8389945925576</v>
      </c>
      <c r="L971" s="449" t="n">
        <f aca="false">SQRT(pos_x^2+pos_z^2)</f>
        <v>1017.24912498894</v>
      </c>
      <c r="M971" s="450" t="n">
        <f aca="false">IF(AND(L970&gt;L_rampe,G971&gt;0),ATAN2(G971,H971),$M$4)</f>
        <v>-1.43373929098366</v>
      </c>
      <c r="N971" s="449" t="n">
        <f aca="false">DEGREES(Beta)</f>
        <v>-82.147210295443</v>
      </c>
      <c r="O971" s="438"/>
      <c r="P971" s="452" t="n">
        <f aca="false">MATCH(t-pas/2-T_ini,CdP_t)</f>
        <v>23</v>
      </c>
      <c r="Q971" s="449" t="n">
        <f aca="false">(INDEX(CdP,2,i_P+1)-INDEX(CdP,2,i_P+0))/(INDEX(CdP,1,i_P+1)-INDEX(CdP,1,i_P+0))*(t-pas/2-T_ini-INDEX(CdP,1,i_P+0))+INDEX(CdP,2,i_P+0)</f>
        <v>0</v>
      </c>
      <c r="R971" s="450" t="n">
        <f aca="false">Poussee/(g*ISP)</f>
        <v>0</v>
      </c>
      <c r="S971" s="451" t="n">
        <f aca="false">S970-Débit*pas</f>
        <v>8.652</v>
      </c>
      <c r="T971" s="449" t="n">
        <f aca="false">m*g</f>
        <v>84.87612</v>
      </c>
      <c r="U971" s="453" t="n">
        <f aca="false">IF(pos_xz&lt;L_rampe,Poids*COS(Beta),0)</f>
        <v>0</v>
      </c>
      <c r="V971" s="450" t="n">
        <f aca="false">Rho_moyen*(20000-Alt_rampe-pos_z)/(20000+Alt_rampe+pos_z)</f>
        <v>1.22694181465718</v>
      </c>
      <c r="W971" s="449" t="n">
        <f aca="false">1/2*Rho*Sref*Cx*vit_xz^2</f>
        <v>52.143469355512</v>
      </c>
      <c r="X971" s="438"/>
      <c r="Y971" s="454" t="str">
        <f aca="false">IF(AND(pos_z&lt;=0,K970&gt;0),"Impact balistique","") &amp; IF(AND(H972&lt;0,vit_z&gt;=0),"Apogée","") &amp; IF(AND(Poussee=0,Q970&gt;0),"Fin de propulsion","") &amp; IF(AND(L972&gt;L_rampe,pos_xz&lt;=L_rampe),"Sortie de rampe","")</f>
        <v/>
      </c>
      <c r="Z971" s="455" t="str">
        <f aca="false">IF(ABS(t-T_para)&lt;pas/2,"Para","")</f>
        <v/>
      </c>
      <c r="AA971" s="456" t="str">
        <f aca="false">IF(ABS(t-T_satellite)&lt;pas/2,"Satellite","")</f>
        <v/>
      </c>
      <c r="AB971" s="444"/>
      <c r="AC971" s="452" t="e">
        <f aca="false">IF(ABS(t-ROUND(t,0))&lt;0.001,t,NA())</f>
        <v>#N/A</v>
      </c>
      <c r="AD971" s="457" t="e">
        <f aca="false">IF(ABS(t-ROUND(t,0))&lt;0.001,pos_x,NA())</f>
        <v>#N/A</v>
      </c>
      <c r="AE971" s="458" t="e">
        <f aca="false">IF(t&lt;T_para, pos_z, NA())</f>
        <v>#N/A</v>
      </c>
      <c r="AF971" s="444"/>
      <c r="AG971" s="450" t="n">
        <f aca="false">IF(AND(L970&lt;L_rampe,Poussee&lt;Poids*SIN(M970)),0,(-W970+Poussee)/m-Poids*SIN(M970)/m)</f>
        <v>3.69129138656791</v>
      </c>
      <c r="AH971" s="449" t="n">
        <f aca="false">IF(AND(L970&lt;L_rampe,Poussee&lt;Poids*SIN(M970)), g*SIN(M970), (-W970+Poussee)/m)</f>
        <v>-6.02671284083201</v>
      </c>
    </row>
    <row r="972" customFormat="false" ht="12" hidden="false" customHeight="false" outlineLevel="0" collapsed="false">
      <c r="A972" s="448" t="n">
        <f aca="false">IF(B971+0.01&lt;=T_ini+ROUNDUP(Temps_fin_propu,0), 0.01, IF(K971&gt;0, 0.1, 0.0001))</f>
        <v>0.0001</v>
      </c>
      <c r="B972" s="449" t="n">
        <f aca="false">B971+pas</f>
        <v>35.725100000001</v>
      </c>
      <c r="C972" s="432"/>
      <c r="D972" s="450" t="n">
        <f aca="false">IF(AND(L971&lt;L_rampe,Poussee&lt;Poids*SIN(M971)),0,(-W971+Poussee)/m*COS(M971)-U971/m*SIN(M971))</f>
        <v>-0.823425322035164</v>
      </c>
      <c r="E972" s="451" t="n">
        <f aca="false">IF(AND(L971&lt;L_rampe,Poussee&lt;Poids*SIN(M971)),0,(-W971+Poussee)/m*SIN(M971)+U971/m*COS(M971)-Poids/m)</f>
        <v>-3.83976333761276</v>
      </c>
      <c r="F972" s="449" t="n">
        <f aca="false">SQRT(acc_x^2+acc_z^2)</f>
        <v>3.92706146499438</v>
      </c>
      <c r="G972" s="450" t="n">
        <f aca="false">G971+acc_x*pas</f>
        <v>18.8889915284908</v>
      </c>
      <c r="H972" s="451" t="n">
        <f aca="false">H971+acc_z*pas</f>
        <v>-136.955415993805</v>
      </c>
      <c r="I972" s="449" t="n">
        <f aca="false">SQRT(vit_x^2+vit_z^2)</f>
        <v>138.251871491852</v>
      </c>
      <c r="J972" s="450" t="n">
        <f aca="false">J971+0.5*(vit_x+G971)*pas*(K971&gt;=0)</f>
        <v>1017.12580762709</v>
      </c>
      <c r="K972" s="451" t="n">
        <f aca="false">K971+0.5*(vit_z+H971)*pas</f>
        <v>-15.8526901149581</v>
      </c>
      <c r="L972" s="449" t="n">
        <f aca="false">SQRT(pos_x^2+pos_z^2)</f>
        <v>1017.24933832613</v>
      </c>
      <c r="M972" s="450" t="n">
        <f aca="false">IF(AND(L971&gt;L_rampe,G972&gt;0),ATAN2(G972,H972),$M$4)</f>
        <v>-1.43374026046353</v>
      </c>
      <c r="N972" s="449" t="n">
        <f aca="false">DEGREES(Beta)</f>
        <v>-82.1472658425476</v>
      </c>
      <c r="O972" s="438"/>
      <c r="P972" s="452" t="n">
        <f aca="false">MATCH(t-pas/2-T_ini,CdP_t)</f>
        <v>23</v>
      </c>
      <c r="Q972" s="449" t="n">
        <f aca="false">(INDEX(CdP,2,i_P+1)-INDEX(CdP,2,i_P+0))/(INDEX(CdP,1,i_P+1)-INDEX(CdP,1,i_P+0))*(t-pas/2-T_ini-INDEX(CdP,1,i_P+0))+INDEX(CdP,2,i_P+0)</f>
        <v>0</v>
      </c>
      <c r="R972" s="450" t="n">
        <f aca="false">Poussee/(g*ISP)</f>
        <v>0</v>
      </c>
      <c r="S972" s="451" t="n">
        <f aca="false">S971-Débit*pas</f>
        <v>8.652</v>
      </c>
      <c r="T972" s="449" t="n">
        <f aca="false">m*g</f>
        <v>84.87612</v>
      </c>
      <c r="U972" s="453" t="n">
        <f aca="false">IF(pos_xz&lt;L_rampe,Poids*COS(Beta),0)</f>
        <v>0</v>
      </c>
      <c r="V972" s="450" t="n">
        <f aca="false">Rho_moyen*(20000-Alt_rampe-pos_z)/(20000+Alt_rampe+pos_z)</f>
        <v>1.2269434950203</v>
      </c>
      <c r="W972" s="449" t="n">
        <f aca="false">1/2*Rho*Sref*Cx*vit_xz^2</f>
        <v>52.1438192109974</v>
      </c>
      <c r="X972" s="438"/>
      <c r="Y972" s="454" t="str">
        <f aca="false">IF(AND(pos_z&lt;=0,K971&gt;0),"Impact balistique","") &amp; IF(AND(H973&lt;0,vit_z&gt;=0),"Apogée","") &amp; IF(AND(Poussee=0,Q971&gt;0),"Fin de propulsion","") &amp; IF(AND(L973&gt;L_rampe,pos_xz&lt;=L_rampe),"Sortie de rampe","")</f>
        <v/>
      </c>
      <c r="Z972" s="455" t="str">
        <f aca="false">IF(ABS(t-T_para)&lt;pas/2,"Para","")</f>
        <v/>
      </c>
      <c r="AA972" s="456" t="str">
        <f aca="false">IF(ABS(t-T_satellite)&lt;pas/2,"Satellite","")</f>
        <v/>
      </c>
      <c r="AB972" s="444"/>
      <c r="AC972" s="452" t="e">
        <f aca="false">IF(ABS(t-ROUND(t,0))&lt;0.001,t,NA())</f>
        <v>#N/A</v>
      </c>
      <c r="AD972" s="457" t="e">
        <f aca="false">IF(ABS(t-ROUND(t,0))&lt;0.001,pos_x,NA())</f>
        <v>#N/A</v>
      </c>
      <c r="AE972" s="458" t="e">
        <f aca="false">IF(t&lt;T_para, pos_z, NA())</f>
        <v>#N/A</v>
      </c>
      <c r="AF972" s="444"/>
      <c r="AG972" s="450" t="n">
        <f aca="false">IF(AND(L971&lt;L_rampe,Poussee&lt;Poids*SIN(M971)),0,(-W971+Poussee)/m-Poids*SIN(M971)/m)</f>
        <v>3.69125224949818</v>
      </c>
      <c r="AH972" s="449" t="n">
        <f aca="false">IF(AND(L971&lt;L_rampe,Poussee&lt;Poids*SIN(M971)), g*SIN(M971), (-W971+Poussee)/m)</f>
        <v>-6.0267532773361</v>
      </c>
    </row>
    <row r="973" customFormat="false" ht="12" hidden="false" customHeight="false" outlineLevel="0" collapsed="false">
      <c r="A973" s="448" t="n">
        <f aca="false">IF(B972+0.01&lt;=T_ini+ROUNDUP(Temps_fin_propu,0), 0.01, IF(K972&gt;0, 0.1, 0.0001))</f>
        <v>0.0001</v>
      </c>
      <c r="B973" s="449" t="n">
        <f aca="false">B972+pas</f>
        <v>35.725200000001</v>
      </c>
      <c r="C973" s="432"/>
      <c r="D973" s="450" t="n">
        <f aca="false">IF(AND(L972&lt;L_rampe,Poussee&lt;Poids*SIN(M972)),0,(-W972+Poussee)/m*COS(M972)-U972/m*SIN(M972))</f>
        <v>-0.823425058726181</v>
      </c>
      <c r="E973" s="451" t="n">
        <f aca="false">IF(AND(L972&lt;L_rampe,Poussee&lt;Poids*SIN(M972)),0,(-W972+Poussee)/m*SIN(M972)+U972/m*COS(M972)-Poids/m)</f>
        <v>-3.83972248214154</v>
      </c>
      <c r="F973" s="449" t="n">
        <f aca="false">SQRT(acc_x^2+acc_z^2)</f>
        <v>3.92702146253384</v>
      </c>
      <c r="G973" s="450" t="n">
        <f aca="false">G972+acc_x*pas</f>
        <v>18.8889091859849</v>
      </c>
      <c r="H973" s="451" t="n">
        <f aca="false">H972+acc_z*pas</f>
        <v>-136.955799966053</v>
      </c>
      <c r="I973" s="449" t="n">
        <f aca="false">SQRT(vit_x^2+vit_z^2)</f>
        <v>138.252240613228</v>
      </c>
      <c r="J973" s="450" t="n">
        <f aca="false">J972+0.5*(vit_x+G972)*pas*(K972&gt;=0)</f>
        <v>1017.12580762709</v>
      </c>
      <c r="K973" s="451" t="n">
        <f aca="false">K972+0.5*(vit_z+H972)*pas</f>
        <v>-15.8663856757561</v>
      </c>
      <c r="L973" s="449" t="n">
        <f aca="false">SQRT(pos_x^2+pos_z^2)</f>
        <v>1017.24955184825</v>
      </c>
      <c r="M973" s="450" t="n">
        <f aca="false">IF(AND(L972&gt;L_rampe,G973&gt;0),ATAN2(G973,H973),$M$4)</f>
        <v>-1.43374122993399</v>
      </c>
      <c r="N973" s="449" t="n">
        <f aca="false">DEGREES(Beta)</f>
        <v>-82.1473213891134</v>
      </c>
      <c r="O973" s="438"/>
      <c r="P973" s="452" t="n">
        <f aca="false">MATCH(t-pas/2-T_ini,CdP_t)</f>
        <v>23</v>
      </c>
      <c r="Q973" s="449" t="n">
        <f aca="false">(INDEX(CdP,2,i_P+1)-INDEX(CdP,2,i_P+0))/(INDEX(CdP,1,i_P+1)-INDEX(CdP,1,i_P+0))*(t-pas/2-T_ini-INDEX(CdP,1,i_P+0))+INDEX(CdP,2,i_P+0)</f>
        <v>0</v>
      </c>
      <c r="R973" s="450" t="n">
        <f aca="false">Poussee/(g*ISP)</f>
        <v>0</v>
      </c>
      <c r="S973" s="451" t="n">
        <f aca="false">S972-Débit*pas</f>
        <v>8.652</v>
      </c>
      <c r="T973" s="449" t="n">
        <f aca="false">m*g</f>
        <v>84.87612</v>
      </c>
      <c r="U973" s="453" t="n">
        <f aca="false">IF(pos_xz&lt;L_rampe,Poids*COS(Beta),0)</f>
        <v>0</v>
      </c>
      <c r="V973" s="450" t="n">
        <f aca="false">Rho_moyen*(20000-Alt_rampe-pos_z)/(20000+Alt_rampe+pos_z)</f>
        <v>1.22694517539043</v>
      </c>
      <c r="W973" s="449" t="n">
        <f aca="false">1/2*Rho*Sref*Cx*vit_xz^2</f>
        <v>52.1441690653348</v>
      </c>
      <c r="X973" s="438"/>
      <c r="Y973" s="454" t="str">
        <f aca="false">IF(AND(pos_z&lt;=0,K972&gt;0),"Impact balistique","") &amp; IF(AND(H974&lt;0,vit_z&gt;=0),"Apogée","") &amp; IF(AND(Poussee=0,Q972&gt;0),"Fin de propulsion","") &amp; IF(AND(L974&gt;L_rampe,pos_xz&lt;=L_rampe),"Sortie de rampe","")</f>
        <v/>
      </c>
      <c r="Z973" s="455" t="str">
        <f aca="false">IF(ABS(t-T_para)&lt;pas/2,"Para","")</f>
        <v/>
      </c>
      <c r="AA973" s="456" t="str">
        <f aca="false">IF(ABS(t-T_satellite)&lt;pas/2,"Satellite","")</f>
        <v/>
      </c>
      <c r="AB973" s="444"/>
      <c r="AC973" s="452" t="e">
        <f aca="false">IF(ABS(t-ROUND(t,0))&lt;0.001,t,NA())</f>
        <v>#N/A</v>
      </c>
      <c r="AD973" s="457" t="e">
        <f aca="false">IF(ABS(t-ROUND(t,0))&lt;0.001,pos_x,NA())</f>
        <v>#N/A</v>
      </c>
      <c r="AE973" s="458" t="e">
        <f aca="false">IF(t&lt;T_para, pos_z, NA())</f>
        <v>#N/A</v>
      </c>
      <c r="AF973" s="444"/>
      <c r="AG973" s="450" t="n">
        <f aca="false">IF(AND(L972&lt;L_rampe,Poussee&lt;Poids*SIN(M972)),0,(-W972+Poussee)/m-Poids*SIN(M972)/m)</f>
        <v>3.69121311253939</v>
      </c>
      <c r="AH973" s="449" t="n">
        <f aca="false">IF(AND(L972&lt;L_rampe,Poussee&lt;Poids*SIN(M972)), g*SIN(M972), (-W972+Poussee)/m)</f>
        <v>-6.02679371370751</v>
      </c>
    </row>
    <row r="974" customFormat="false" ht="12" hidden="false" customHeight="false" outlineLevel="0" collapsed="false">
      <c r="A974" s="448" t="n">
        <f aca="false">IF(B973+0.01&lt;=T_ini+ROUNDUP(Temps_fin_propu,0), 0.01, IF(K973&gt;0, 0.1, 0.0001))</f>
        <v>0.0001</v>
      </c>
      <c r="B974" s="449" t="n">
        <f aca="false">B973+pas</f>
        <v>35.725300000001</v>
      </c>
      <c r="C974" s="432"/>
      <c r="D974" s="450" t="n">
        <f aca="false">IF(AND(L973&lt;L_rampe,Poussee&lt;Poids*SIN(M973)),0,(-W973+Poussee)/m*COS(M973)-U973/m*SIN(M973))</f>
        <v>-0.823424795376766</v>
      </c>
      <c r="E974" s="451" t="n">
        <f aca="false">IF(AND(L973&lt;L_rampe,Poussee&lt;Poids*SIN(M973)),0,(-W973+Poussee)/m*SIN(M973)+U973/m*COS(M973)-Poids/m)</f>
        <v>-3.83968162680441</v>
      </c>
      <c r="F974" s="449" t="n">
        <f aca="false">SQRT(acc_x^2+acc_z^2)</f>
        <v>3.92698146021351</v>
      </c>
      <c r="G974" s="450" t="n">
        <f aca="false">G973+acc_x*pas</f>
        <v>18.8888268435054</v>
      </c>
      <c r="H974" s="451" t="n">
        <f aca="false">H973+acc_z*pas</f>
        <v>-136.956183934216</v>
      </c>
      <c r="I974" s="449" t="n">
        <f aca="false">SQRT(vit_x^2+vit_z^2)</f>
        <v>138.252609730691</v>
      </c>
      <c r="J974" s="450" t="n">
        <f aca="false">J973+0.5*(vit_x+G973)*pas*(K973&gt;=0)</f>
        <v>1017.12580762709</v>
      </c>
      <c r="K974" s="451" t="n">
        <f aca="false">K973+0.5*(vit_z+H973)*pas</f>
        <v>-15.8800812749511</v>
      </c>
      <c r="L974" s="449" t="n">
        <f aca="false">SQRT(pos_x^2+pos_z^2)</f>
        <v>1017.24976555532</v>
      </c>
      <c r="M974" s="450" t="n">
        <f aca="false">IF(AND(L973&gt;L_rampe,G974&gt;0),ATAN2(G974,H974),$M$4)</f>
        <v>-1.43374219939505</v>
      </c>
      <c r="N974" s="449" t="n">
        <f aca="false">DEGREES(Beta)</f>
        <v>-82.1473769351406</v>
      </c>
      <c r="O974" s="438"/>
      <c r="P974" s="452" t="n">
        <f aca="false">MATCH(t-pas/2-T_ini,CdP_t)</f>
        <v>23</v>
      </c>
      <c r="Q974" s="449" t="n">
        <f aca="false">(INDEX(CdP,2,i_P+1)-INDEX(CdP,2,i_P+0))/(INDEX(CdP,1,i_P+1)-INDEX(CdP,1,i_P+0))*(t-pas/2-T_ini-INDEX(CdP,1,i_P+0))+INDEX(CdP,2,i_P+0)</f>
        <v>0</v>
      </c>
      <c r="R974" s="450" t="n">
        <f aca="false">Poussee/(g*ISP)</f>
        <v>0</v>
      </c>
      <c r="S974" s="451" t="n">
        <f aca="false">S973-Débit*pas</f>
        <v>8.652</v>
      </c>
      <c r="T974" s="449" t="n">
        <f aca="false">m*g</f>
        <v>84.87612</v>
      </c>
      <c r="U974" s="453" t="n">
        <f aca="false">IF(pos_xz&lt;L_rampe,Poids*COS(Beta),0)</f>
        <v>0</v>
      </c>
      <c r="V974" s="450" t="n">
        <f aca="false">Rho_moyen*(20000-Alt_rampe-pos_z)/(20000+Alt_rampe+pos_z)</f>
        <v>1.22694685576757</v>
      </c>
      <c r="W974" s="449" t="n">
        <f aca="false">1/2*Rho*Sref*Cx*vit_xz^2</f>
        <v>52.1445189185241</v>
      </c>
      <c r="X974" s="438"/>
      <c r="Y974" s="454" t="str">
        <f aca="false">IF(AND(pos_z&lt;=0,K973&gt;0),"Impact balistique","") &amp; IF(AND(H975&lt;0,vit_z&gt;=0),"Apogée","") &amp; IF(AND(Poussee=0,Q973&gt;0),"Fin de propulsion","") &amp; IF(AND(L975&gt;L_rampe,pos_xz&lt;=L_rampe),"Sortie de rampe","")</f>
        <v/>
      </c>
      <c r="Z974" s="455" t="str">
        <f aca="false">IF(ABS(t-T_para)&lt;pas/2,"Para","")</f>
        <v/>
      </c>
      <c r="AA974" s="456" t="str">
        <f aca="false">IF(ABS(t-T_satellite)&lt;pas/2,"Satellite","")</f>
        <v/>
      </c>
      <c r="AB974" s="444"/>
      <c r="AC974" s="452" t="e">
        <f aca="false">IF(ABS(t-ROUND(t,0))&lt;0.001,t,NA())</f>
        <v>#N/A</v>
      </c>
      <c r="AD974" s="457" t="e">
        <f aca="false">IF(ABS(t-ROUND(t,0))&lt;0.001,pos_x,NA())</f>
        <v>#N/A</v>
      </c>
      <c r="AE974" s="458" t="e">
        <f aca="false">IF(t&lt;T_para, pos_z, NA())</f>
        <v>#N/A</v>
      </c>
      <c r="AF974" s="444"/>
      <c r="AG974" s="450" t="n">
        <f aca="false">IF(AND(L973&lt;L_rampe,Poussee&lt;Poids*SIN(M973)),0,(-W973+Poussee)/m-Poids*SIN(M973)/m)</f>
        <v>3.69117397569155</v>
      </c>
      <c r="AH974" s="449" t="n">
        <f aca="false">IF(AND(L973&lt;L_rampe,Poussee&lt;Poids*SIN(M973)), g*SIN(M973), (-W973+Poussee)/m)</f>
        <v>-6.02683414994623</v>
      </c>
    </row>
    <row r="975" customFormat="false" ht="12" hidden="false" customHeight="false" outlineLevel="0" collapsed="false">
      <c r="A975" s="448" t="n">
        <f aca="false">IF(B974+0.01&lt;=T_ini+ROUNDUP(Temps_fin_propu,0), 0.01, IF(K974&gt;0, 0.1, 0.0001))</f>
        <v>0.0001</v>
      </c>
      <c r="B975" s="449" t="n">
        <f aca="false">B974+pas</f>
        <v>35.725400000001</v>
      </c>
      <c r="C975" s="432"/>
      <c r="D975" s="450" t="n">
        <f aca="false">IF(AND(L974&lt;L_rampe,Poussee&lt;Poids*SIN(M974)),0,(-W974+Poussee)/m*COS(M974)-U974/m*SIN(M974))</f>
        <v>-0.823424531986919</v>
      </c>
      <c r="E975" s="451" t="n">
        <f aca="false">IF(AND(L974&lt;L_rampe,Poussee&lt;Poids*SIN(M974)),0,(-W974+Poussee)/m*SIN(M974)+U974/m*COS(M974)-Poids/m)</f>
        <v>-3.83964077160137</v>
      </c>
      <c r="F975" s="449" t="n">
        <f aca="false">SQRT(acc_x^2+acc_z^2)</f>
        <v>3.92694145803339</v>
      </c>
      <c r="G975" s="450" t="n">
        <f aca="false">G974+acc_x*pas</f>
        <v>18.8887445010522</v>
      </c>
      <c r="H975" s="451" t="n">
        <f aca="false">H974+acc_z*pas</f>
        <v>-136.956567898293</v>
      </c>
      <c r="I975" s="449" t="n">
        <f aca="false">SQRT(vit_x^2+vit_z^2)</f>
        <v>138.25297884424</v>
      </c>
      <c r="J975" s="450" t="n">
        <f aca="false">J974+0.5*(vit_x+G974)*pas*(K974&gt;=0)</f>
        <v>1017.12580762709</v>
      </c>
      <c r="K975" s="451" t="n">
        <f aca="false">K974+0.5*(vit_z+H974)*pas</f>
        <v>-15.8937769125428</v>
      </c>
      <c r="L975" s="449" t="n">
        <f aca="false">SQRT(pos_x^2+pos_z^2)</f>
        <v>1017.24997944734</v>
      </c>
      <c r="M975" s="450" t="n">
        <f aca="false">IF(AND(L974&gt;L_rampe,G975&gt;0),ATAN2(G975,H975),$M$4)</f>
        <v>-1.43374316884671</v>
      </c>
      <c r="N975" s="449" t="n">
        <f aca="false">DEGREES(Beta)</f>
        <v>-82.1474324806289</v>
      </c>
      <c r="O975" s="438"/>
      <c r="P975" s="452" t="n">
        <f aca="false">MATCH(t-pas/2-T_ini,CdP_t)</f>
        <v>23</v>
      </c>
      <c r="Q975" s="449" t="n">
        <f aca="false">(INDEX(CdP,2,i_P+1)-INDEX(CdP,2,i_P+0))/(INDEX(CdP,1,i_P+1)-INDEX(CdP,1,i_P+0))*(t-pas/2-T_ini-INDEX(CdP,1,i_P+0))+INDEX(CdP,2,i_P+0)</f>
        <v>0</v>
      </c>
      <c r="R975" s="450" t="n">
        <f aca="false">Poussee/(g*ISP)</f>
        <v>0</v>
      </c>
      <c r="S975" s="451" t="n">
        <f aca="false">S974-Débit*pas</f>
        <v>8.652</v>
      </c>
      <c r="T975" s="449" t="n">
        <f aca="false">m*g</f>
        <v>84.87612</v>
      </c>
      <c r="U975" s="453" t="n">
        <f aca="false">IF(pos_xz&lt;L_rampe,Poids*COS(Beta),0)</f>
        <v>0</v>
      </c>
      <c r="V975" s="450" t="n">
        <f aca="false">Rho_moyen*(20000-Alt_rampe-pos_z)/(20000+Alt_rampe+pos_z)</f>
        <v>1.22694853615173</v>
      </c>
      <c r="W975" s="449" t="n">
        <f aca="false">1/2*Rho*Sref*Cx*vit_xz^2</f>
        <v>52.1448687705655</v>
      </c>
      <c r="X975" s="438"/>
      <c r="Y975" s="454" t="str">
        <f aca="false">IF(AND(pos_z&lt;=0,K974&gt;0),"Impact balistique","") &amp; IF(AND(H976&lt;0,vit_z&gt;=0),"Apogée","") &amp; IF(AND(Poussee=0,Q974&gt;0),"Fin de propulsion","") &amp; IF(AND(L976&gt;L_rampe,pos_xz&lt;=L_rampe),"Sortie de rampe","")</f>
        <v/>
      </c>
      <c r="Z975" s="455" t="str">
        <f aca="false">IF(ABS(t-T_para)&lt;pas/2,"Para","")</f>
        <v/>
      </c>
      <c r="AA975" s="456" t="str">
        <f aca="false">IF(ABS(t-T_satellite)&lt;pas/2,"Satellite","")</f>
        <v/>
      </c>
      <c r="AB975" s="444"/>
      <c r="AC975" s="452" t="e">
        <f aca="false">IF(ABS(t-ROUND(t,0))&lt;0.001,t,NA())</f>
        <v>#N/A</v>
      </c>
      <c r="AD975" s="457" t="e">
        <f aca="false">IF(ABS(t-ROUND(t,0))&lt;0.001,pos_x,NA())</f>
        <v>#N/A</v>
      </c>
      <c r="AE975" s="458" t="e">
        <f aca="false">IF(t&lt;T_para, pos_z, NA())</f>
        <v>#N/A</v>
      </c>
      <c r="AF975" s="444"/>
      <c r="AG975" s="450" t="n">
        <f aca="false">IF(AND(L974&lt;L_rampe,Poussee&lt;Poids*SIN(M974)),0,(-W974+Poussee)/m-Poids*SIN(M974)/m)</f>
        <v>3.69113483895467</v>
      </c>
      <c r="AH975" s="449" t="n">
        <f aca="false">IF(AND(L974&lt;L_rampe,Poussee&lt;Poids*SIN(M974)), g*SIN(M974), (-W974+Poussee)/m)</f>
        <v>-6.02687458605226</v>
      </c>
    </row>
    <row r="976" customFormat="false" ht="12" hidden="false" customHeight="false" outlineLevel="0" collapsed="false">
      <c r="A976" s="448" t="n">
        <f aca="false">IF(B975+0.01&lt;=T_ini+ROUNDUP(Temps_fin_propu,0), 0.01, IF(K975&gt;0, 0.1, 0.0001))</f>
        <v>0.0001</v>
      </c>
      <c r="B976" s="449" t="n">
        <f aca="false">B975+pas</f>
        <v>35.725500000001</v>
      </c>
      <c r="C976" s="432"/>
      <c r="D976" s="450" t="n">
        <f aca="false">IF(AND(L975&lt;L_rampe,Poussee&lt;Poids*SIN(M975)),0,(-W975+Poussee)/m*COS(M975)-U975/m*SIN(M975))</f>
        <v>-0.823424268556642</v>
      </c>
      <c r="E976" s="451" t="n">
        <f aca="false">IF(AND(L975&lt;L_rampe,Poussee&lt;Poids*SIN(M975)),0,(-W975+Poussee)/m*SIN(M975)+U975/m*COS(M975)-Poids/m)</f>
        <v>-3.83959991653241</v>
      </c>
      <c r="F976" s="449" t="n">
        <f aca="false">SQRT(acc_x^2+acc_z^2)</f>
        <v>3.92690145599349</v>
      </c>
      <c r="G976" s="450" t="n">
        <f aca="false">G975+acc_x*pas</f>
        <v>18.8886621586253</v>
      </c>
      <c r="H976" s="451" t="n">
        <f aca="false">H975+acc_z*pas</f>
        <v>-136.956951858285</v>
      </c>
      <c r="I976" s="449" t="n">
        <f aca="false">SQRT(vit_x^2+vit_z^2)</f>
        <v>138.253347953875</v>
      </c>
      <c r="J976" s="450" t="n">
        <f aca="false">J975+0.5*(vit_x+G975)*pas*(K975&gt;=0)</f>
        <v>1017.12580762709</v>
      </c>
      <c r="K976" s="451" t="n">
        <f aca="false">K975+0.5*(vit_z+H975)*pas</f>
        <v>-15.9074725885306</v>
      </c>
      <c r="L976" s="449" t="n">
        <f aca="false">SQRT(pos_x^2+pos_z^2)</f>
        <v>1017.25019352429</v>
      </c>
      <c r="M976" s="450" t="n">
        <f aca="false">IF(AND(L975&gt;L_rampe,G976&gt;0),ATAN2(G976,H976),$M$4)</f>
        <v>-1.43374413828896</v>
      </c>
      <c r="N976" s="449" t="n">
        <f aca="false">DEGREES(Beta)</f>
        <v>-82.1474880255786</v>
      </c>
      <c r="O976" s="438"/>
      <c r="P976" s="452" t="n">
        <f aca="false">MATCH(t-pas/2-T_ini,CdP_t)</f>
        <v>23</v>
      </c>
      <c r="Q976" s="449" t="n">
        <f aca="false">(INDEX(CdP,2,i_P+1)-INDEX(CdP,2,i_P+0))/(INDEX(CdP,1,i_P+1)-INDEX(CdP,1,i_P+0))*(t-pas/2-T_ini-INDEX(CdP,1,i_P+0))+INDEX(CdP,2,i_P+0)</f>
        <v>0</v>
      </c>
      <c r="R976" s="450" t="n">
        <f aca="false">Poussee/(g*ISP)</f>
        <v>0</v>
      </c>
      <c r="S976" s="451" t="n">
        <f aca="false">S975-Débit*pas</f>
        <v>8.652</v>
      </c>
      <c r="T976" s="449" t="n">
        <f aca="false">m*g</f>
        <v>84.87612</v>
      </c>
      <c r="U976" s="453" t="n">
        <f aca="false">IF(pos_xz&lt;L_rampe,Poids*COS(Beta),0)</f>
        <v>0</v>
      </c>
      <c r="V976" s="450" t="n">
        <f aca="false">Rho_moyen*(20000-Alt_rampe-pos_z)/(20000+Alt_rampe+pos_z)</f>
        <v>1.22695021654291</v>
      </c>
      <c r="W976" s="449" t="n">
        <f aca="false">1/2*Rho*Sref*Cx*vit_xz^2</f>
        <v>52.1452186214587</v>
      </c>
      <c r="X976" s="438"/>
      <c r="Y976" s="454" t="str">
        <f aca="false">IF(AND(pos_z&lt;=0,K975&gt;0),"Impact balistique","") &amp; IF(AND(H977&lt;0,vit_z&gt;=0),"Apogée","") &amp; IF(AND(Poussee=0,Q975&gt;0),"Fin de propulsion","") &amp; IF(AND(L977&gt;L_rampe,pos_xz&lt;=L_rampe),"Sortie de rampe","")</f>
        <v/>
      </c>
      <c r="Z976" s="455" t="str">
        <f aca="false">IF(ABS(t-T_para)&lt;pas/2,"Para","")</f>
        <v/>
      </c>
      <c r="AA976" s="456" t="str">
        <f aca="false">IF(ABS(t-T_satellite)&lt;pas/2,"Satellite","")</f>
        <v/>
      </c>
      <c r="AB976" s="444"/>
      <c r="AC976" s="452" t="e">
        <f aca="false">IF(ABS(t-ROUND(t,0))&lt;0.001,t,NA())</f>
        <v>#N/A</v>
      </c>
      <c r="AD976" s="457" t="e">
        <f aca="false">IF(ABS(t-ROUND(t,0))&lt;0.001,pos_x,NA())</f>
        <v>#N/A</v>
      </c>
      <c r="AE976" s="458" t="e">
        <f aca="false">IF(t&lt;T_para, pos_z, NA())</f>
        <v>#N/A</v>
      </c>
      <c r="AF976" s="444"/>
      <c r="AG976" s="450" t="n">
        <f aca="false">IF(AND(L975&lt;L_rampe,Poussee&lt;Poids*SIN(M975)),0,(-W975+Poussee)/m-Poids*SIN(M975)/m)</f>
        <v>3.69109570232874</v>
      </c>
      <c r="AH976" s="449" t="n">
        <f aca="false">IF(AND(L975&lt;L_rampe,Poussee&lt;Poids*SIN(M975)), g*SIN(M975), (-W975+Poussee)/m)</f>
        <v>-6.0269150220256</v>
      </c>
    </row>
    <row r="977" customFormat="false" ht="12" hidden="false" customHeight="false" outlineLevel="0" collapsed="false">
      <c r="A977" s="448" t="n">
        <f aca="false">IF(B976+0.01&lt;=T_ini+ROUNDUP(Temps_fin_propu,0), 0.01, IF(K976&gt;0, 0.1, 0.0001))</f>
        <v>0.0001</v>
      </c>
      <c r="B977" s="449" t="n">
        <f aca="false">B976+pas</f>
        <v>35.725600000001</v>
      </c>
      <c r="C977" s="432"/>
      <c r="D977" s="450" t="n">
        <f aca="false">IF(AND(L976&lt;L_rampe,Poussee&lt;Poids*SIN(M976)),0,(-W976+Poussee)/m*COS(M976)-U976/m*SIN(M976))</f>
        <v>-0.823424005085931</v>
      </c>
      <c r="E977" s="451" t="n">
        <f aca="false">IF(AND(L976&lt;L_rampe,Poussee&lt;Poids*SIN(M976)),0,(-W976+Poussee)/m*SIN(M976)+U976/m*COS(M976)-Poids/m)</f>
        <v>-3.83955906159755</v>
      </c>
      <c r="F977" s="449" t="n">
        <f aca="false">SQRT(acc_x^2+acc_z^2)</f>
        <v>3.9268614540938</v>
      </c>
      <c r="G977" s="450" t="n">
        <f aca="false">G976+acc_x*pas</f>
        <v>18.8885798162248</v>
      </c>
      <c r="H977" s="451" t="n">
        <f aca="false">H976+acc_z*pas</f>
        <v>-136.957335814191</v>
      </c>
      <c r="I977" s="449" t="n">
        <f aca="false">SQRT(vit_x^2+vit_z^2)</f>
        <v>138.253717059596</v>
      </c>
      <c r="J977" s="450" t="n">
        <f aca="false">J976+0.5*(vit_x+G976)*pas*(K976&gt;=0)</f>
        <v>1017.12580762709</v>
      </c>
      <c r="K977" s="451" t="n">
        <f aca="false">K976+0.5*(vit_z+H976)*pas</f>
        <v>-15.9211683029142</v>
      </c>
      <c r="L977" s="449" t="n">
        <f aca="false">SQRT(pos_x^2+pos_z^2)</f>
        <v>1017.2504077862</v>
      </c>
      <c r="M977" s="450" t="n">
        <f aca="false">IF(AND(L976&gt;L_rampe,G977&gt;0),ATAN2(G977,H977),$M$4)</f>
        <v>-1.43374510772181</v>
      </c>
      <c r="N977" s="449" t="n">
        <f aca="false">DEGREES(Beta)</f>
        <v>-82.1475435699895</v>
      </c>
      <c r="O977" s="438"/>
      <c r="P977" s="452" t="n">
        <f aca="false">MATCH(t-pas/2-T_ini,CdP_t)</f>
        <v>23</v>
      </c>
      <c r="Q977" s="449" t="n">
        <f aca="false">(INDEX(CdP,2,i_P+1)-INDEX(CdP,2,i_P+0))/(INDEX(CdP,1,i_P+1)-INDEX(CdP,1,i_P+0))*(t-pas/2-T_ini-INDEX(CdP,1,i_P+0))+INDEX(CdP,2,i_P+0)</f>
        <v>0</v>
      </c>
      <c r="R977" s="450" t="n">
        <f aca="false">Poussee/(g*ISP)</f>
        <v>0</v>
      </c>
      <c r="S977" s="451" t="n">
        <f aca="false">S976-Débit*pas</f>
        <v>8.652</v>
      </c>
      <c r="T977" s="449" t="n">
        <f aca="false">m*g</f>
        <v>84.87612</v>
      </c>
      <c r="U977" s="453" t="n">
        <f aca="false">IF(pos_xz&lt;L_rampe,Poids*COS(Beta),0)</f>
        <v>0</v>
      </c>
      <c r="V977" s="450" t="n">
        <f aca="false">Rho_moyen*(20000-Alt_rampe-pos_z)/(20000+Alt_rampe+pos_z)</f>
        <v>1.22695189694109</v>
      </c>
      <c r="W977" s="449" t="n">
        <f aca="false">1/2*Rho*Sref*Cx*vit_xz^2</f>
        <v>52.1455684712038</v>
      </c>
      <c r="X977" s="438"/>
      <c r="Y977" s="454" t="str">
        <f aca="false">IF(AND(pos_z&lt;=0,K976&gt;0),"Impact balistique","") &amp; IF(AND(H978&lt;0,vit_z&gt;=0),"Apogée","") &amp; IF(AND(Poussee=0,Q976&gt;0),"Fin de propulsion","") &amp; IF(AND(L978&gt;L_rampe,pos_xz&lt;=L_rampe),"Sortie de rampe","")</f>
        <v/>
      </c>
      <c r="Z977" s="455" t="str">
        <f aca="false">IF(ABS(t-T_para)&lt;pas/2,"Para","")</f>
        <v/>
      </c>
      <c r="AA977" s="456" t="str">
        <f aca="false">IF(ABS(t-T_satellite)&lt;pas/2,"Satellite","")</f>
        <v/>
      </c>
      <c r="AB977" s="444"/>
      <c r="AC977" s="452" t="e">
        <f aca="false">IF(ABS(t-ROUND(t,0))&lt;0.001,t,NA())</f>
        <v>#N/A</v>
      </c>
      <c r="AD977" s="457" t="e">
        <f aca="false">IF(ABS(t-ROUND(t,0))&lt;0.001,pos_x,NA())</f>
        <v>#N/A</v>
      </c>
      <c r="AE977" s="458" t="e">
        <f aca="false">IF(t&lt;T_para, pos_z, NA())</f>
        <v>#N/A</v>
      </c>
      <c r="AF977" s="444"/>
      <c r="AG977" s="450" t="n">
        <f aca="false">IF(AND(L976&lt;L_rampe,Poussee&lt;Poids*SIN(M976)),0,(-W976+Poussee)/m-Poids*SIN(M976)/m)</f>
        <v>3.69105656581378</v>
      </c>
      <c r="AH977" s="449" t="n">
        <f aca="false">IF(AND(L976&lt;L_rampe,Poussee&lt;Poids*SIN(M976)), g*SIN(M976), (-W976+Poussee)/m)</f>
        <v>-6.02695545786624</v>
      </c>
    </row>
    <row r="978" customFormat="false" ht="12" hidden="false" customHeight="false" outlineLevel="0" collapsed="false">
      <c r="A978" s="448" t="n">
        <f aca="false">IF(B977+0.01&lt;=T_ini+ROUNDUP(Temps_fin_propu,0), 0.01, IF(K977&gt;0, 0.1, 0.0001))</f>
        <v>0.0001</v>
      </c>
      <c r="B978" s="449" t="n">
        <f aca="false">B977+pas</f>
        <v>35.7257000000011</v>
      </c>
      <c r="C978" s="432"/>
      <c r="D978" s="450" t="n">
        <f aca="false">IF(AND(L977&lt;L_rampe,Poussee&lt;Poids*SIN(M977)),0,(-W977+Poussee)/m*COS(M977)-U977/m*SIN(M977))</f>
        <v>-0.82342374157479</v>
      </c>
      <c r="E978" s="451" t="n">
        <f aca="false">IF(AND(L977&lt;L_rampe,Poussee&lt;Poids*SIN(M977)),0,(-W977+Poussee)/m*SIN(M977)+U977/m*COS(M977)-Poids/m)</f>
        <v>-3.83951820679679</v>
      </c>
      <c r="F978" s="449" t="n">
        <f aca="false">SQRT(acc_x^2+acc_z^2)</f>
        <v>3.92682145233433</v>
      </c>
      <c r="G978" s="450" t="n">
        <f aca="false">G977+acc_x*pas</f>
        <v>18.8884974738507</v>
      </c>
      <c r="H978" s="451" t="n">
        <f aca="false">H977+acc_z*pas</f>
        <v>-136.957719766011</v>
      </c>
      <c r="I978" s="449" t="n">
        <f aca="false">SQRT(vit_x^2+vit_z^2)</f>
        <v>138.254086161404</v>
      </c>
      <c r="J978" s="450" t="n">
        <f aca="false">J977+0.5*(vit_x+G977)*pas*(K977&gt;=0)</f>
        <v>1017.12580762709</v>
      </c>
      <c r="K978" s="451" t="n">
        <f aca="false">K977+0.5*(vit_z+H977)*pas</f>
        <v>-15.9348640556932</v>
      </c>
      <c r="L978" s="449" t="n">
        <f aca="false">SQRT(pos_x^2+pos_z^2)</f>
        <v>1017.25062223305</v>
      </c>
      <c r="M978" s="450" t="n">
        <f aca="false">IF(AND(L977&gt;L_rampe,G978&gt;0),ATAN2(G978,H978),$M$4)</f>
        <v>-1.43374607714526</v>
      </c>
      <c r="N978" s="449" t="n">
        <f aca="false">DEGREES(Beta)</f>
        <v>-82.1475991138617</v>
      </c>
      <c r="O978" s="438"/>
      <c r="P978" s="452" t="n">
        <f aca="false">MATCH(t-pas/2-T_ini,CdP_t)</f>
        <v>23</v>
      </c>
      <c r="Q978" s="449" t="n">
        <f aca="false">(INDEX(CdP,2,i_P+1)-INDEX(CdP,2,i_P+0))/(INDEX(CdP,1,i_P+1)-INDEX(CdP,1,i_P+0))*(t-pas/2-T_ini-INDEX(CdP,1,i_P+0))+INDEX(CdP,2,i_P+0)</f>
        <v>0</v>
      </c>
      <c r="R978" s="450" t="n">
        <f aca="false">Poussee/(g*ISP)</f>
        <v>0</v>
      </c>
      <c r="S978" s="451" t="n">
        <f aca="false">S977-Débit*pas</f>
        <v>8.652</v>
      </c>
      <c r="T978" s="449" t="n">
        <f aca="false">m*g</f>
        <v>84.87612</v>
      </c>
      <c r="U978" s="453" t="n">
        <f aca="false">IF(pos_xz&lt;L_rampe,Poids*COS(Beta),0)</f>
        <v>0</v>
      </c>
      <c r="V978" s="450" t="n">
        <f aca="false">Rho_moyen*(20000-Alt_rampe-pos_z)/(20000+Alt_rampe+pos_z)</f>
        <v>1.22695357734629</v>
      </c>
      <c r="W978" s="449" t="n">
        <f aca="false">1/2*Rho*Sref*Cx*vit_xz^2</f>
        <v>52.1459183198008</v>
      </c>
      <c r="X978" s="438"/>
      <c r="Y978" s="454" t="str">
        <f aca="false">IF(AND(pos_z&lt;=0,K977&gt;0),"Impact balistique","") &amp; IF(AND(H979&lt;0,vit_z&gt;=0),"Apogée","") &amp; IF(AND(Poussee=0,Q977&gt;0),"Fin de propulsion","") &amp; IF(AND(L979&gt;L_rampe,pos_xz&lt;=L_rampe),"Sortie de rampe","")</f>
        <v/>
      </c>
      <c r="Z978" s="455" t="str">
        <f aca="false">IF(ABS(t-T_para)&lt;pas/2,"Para","")</f>
        <v/>
      </c>
      <c r="AA978" s="456" t="str">
        <f aca="false">IF(ABS(t-T_satellite)&lt;pas/2,"Satellite","")</f>
        <v/>
      </c>
      <c r="AB978" s="444"/>
      <c r="AC978" s="452" t="e">
        <f aca="false">IF(ABS(t-ROUND(t,0))&lt;0.001,t,NA())</f>
        <v>#N/A</v>
      </c>
      <c r="AD978" s="457" t="e">
        <f aca="false">IF(ABS(t-ROUND(t,0))&lt;0.001,pos_x,NA())</f>
        <v>#N/A</v>
      </c>
      <c r="AE978" s="458" t="e">
        <f aca="false">IF(t&lt;T_para, pos_z, NA())</f>
        <v>#N/A</v>
      </c>
      <c r="AF978" s="444"/>
      <c r="AG978" s="450" t="n">
        <f aca="false">IF(AND(L977&lt;L_rampe,Poussee&lt;Poids*SIN(M977)),0,(-W977+Poussee)/m-Poids*SIN(M977)/m)</f>
        <v>3.69101742940978</v>
      </c>
      <c r="AH978" s="449" t="n">
        <f aca="false">IF(AND(L977&lt;L_rampe,Poussee&lt;Poids*SIN(M977)), g*SIN(M977), (-W977+Poussee)/m)</f>
        <v>-6.02699589357418</v>
      </c>
    </row>
    <row r="979" customFormat="false" ht="12" hidden="false" customHeight="false" outlineLevel="0" collapsed="false">
      <c r="A979" s="448" t="n">
        <f aca="false">IF(B978+0.01&lt;=T_ini+ROUNDUP(Temps_fin_propu,0), 0.01, IF(K978&gt;0, 0.1, 0.0001))</f>
        <v>0.0001</v>
      </c>
      <c r="B979" s="449" t="n">
        <f aca="false">B978+pas</f>
        <v>35.7258000000011</v>
      </c>
      <c r="C979" s="432"/>
      <c r="D979" s="450" t="n">
        <f aca="false">IF(AND(L978&lt;L_rampe,Poussee&lt;Poids*SIN(M978)),0,(-W978+Poussee)/m*COS(M978)-U978/m*SIN(M978))</f>
        <v>-0.823423478023217</v>
      </c>
      <c r="E979" s="451" t="n">
        <f aca="false">IF(AND(L978&lt;L_rampe,Poussee&lt;Poids*SIN(M978)),0,(-W978+Poussee)/m*SIN(M978)+U978/m*COS(M978)-Poids/m)</f>
        <v>-3.83947735213013</v>
      </c>
      <c r="F979" s="449" t="n">
        <f aca="false">SQRT(acc_x^2+acc_z^2)</f>
        <v>3.92678145071508</v>
      </c>
      <c r="G979" s="450" t="n">
        <f aca="false">G978+acc_x*pas</f>
        <v>18.8884151315028</v>
      </c>
      <c r="H979" s="451" t="n">
        <f aca="false">H978+acc_z*pas</f>
        <v>-136.958103713747</v>
      </c>
      <c r="I979" s="449" t="n">
        <f aca="false">SQRT(vit_x^2+vit_z^2)</f>
        <v>138.254455259298</v>
      </c>
      <c r="J979" s="450" t="n">
        <f aca="false">J978+0.5*(vit_x+G978)*pas*(K978&gt;=0)</f>
        <v>1017.12580762709</v>
      </c>
      <c r="K979" s="451" t="n">
        <f aca="false">K978+0.5*(vit_z+H978)*pas</f>
        <v>-15.9485598468672</v>
      </c>
      <c r="L979" s="449" t="n">
        <f aca="false">SQRT(pos_x^2+pos_z^2)</f>
        <v>1017.25083686486</v>
      </c>
      <c r="M979" s="450" t="n">
        <f aca="false">IF(AND(L978&gt;L_rampe,G979&gt;0),ATAN2(G979,H979),$M$4)</f>
        <v>-1.43374704655931</v>
      </c>
      <c r="N979" s="449" t="n">
        <f aca="false">DEGREES(Beta)</f>
        <v>-82.1476546571952</v>
      </c>
      <c r="O979" s="438"/>
      <c r="P979" s="452" t="n">
        <f aca="false">MATCH(t-pas/2-T_ini,CdP_t)</f>
        <v>23</v>
      </c>
      <c r="Q979" s="449" t="n">
        <f aca="false">(INDEX(CdP,2,i_P+1)-INDEX(CdP,2,i_P+0))/(INDEX(CdP,1,i_P+1)-INDEX(CdP,1,i_P+0))*(t-pas/2-T_ini-INDEX(CdP,1,i_P+0))+INDEX(CdP,2,i_P+0)</f>
        <v>0</v>
      </c>
      <c r="R979" s="450" t="n">
        <f aca="false">Poussee/(g*ISP)</f>
        <v>0</v>
      </c>
      <c r="S979" s="451" t="n">
        <f aca="false">S978-Débit*pas</f>
        <v>8.652</v>
      </c>
      <c r="T979" s="449" t="n">
        <f aca="false">m*g</f>
        <v>84.87612</v>
      </c>
      <c r="U979" s="453" t="n">
        <f aca="false">IF(pos_xz&lt;L_rampe,Poids*COS(Beta),0)</f>
        <v>0</v>
      </c>
      <c r="V979" s="450" t="n">
        <f aca="false">Rho_moyen*(20000-Alt_rampe-pos_z)/(20000+Alt_rampe+pos_z)</f>
        <v>1.22695525775851</v>
      </c>
      <c r="W979" s="449" t="n">
        <f aca="false">1/2*Rho*Sref*Cx*vit_xz^2</f>
        <v>52.1462681672497</v>
      </c>
      <c r="X979" s="438"/>
      <c r="Y979" s="454" t="str">
        <f aca="false">IF(AND(pos_z&lt;=0,K978&gt;0),"Impact balistique","") &amp; IF(AND(H980&lt;0,vit_z&gt;=0),"Apogée","") &amp; IF(AND(Poussee=0,Q978&gt;0),"Fin de propulsion","") &amp; IF(AND(L980&gt;L_rampe,pos_xz&lt;=L_rampe),"Sortie de rampe","")</f>
        <v/>
      </c>
      <c r="Z979" s="455" t="str">
        <f aca="false">IF(ABS(t-T_para)&lt;pas/2,"Para","")</f>
        <v/>
      </c>
      <c r="AA979" s="456" t="str">
        <f aca="false">IF(ABS(t-T_satellite)&lt;pas/2,"Satellite","")</f>
        <v/>
      </c>
      <c r="AB979" s="444"/>
      <c r="AC979" s="452" t="e">
        <f aca="false">IF(ABS(t-ROUND(t,0))&lt;0.001,t,NA())</f>
        <v>#N/A</v>
      </c>
      <c r="AD979" s="457" t="e">
        <f aca="false">IF(ABS(t-ROUND(t,0))&lt;0.001,pos_x,NA())</f>
        <v>#N/A</v>
      </c>
      <c r="AE979" s="458" t="e">
        <f aca="false">IF(t&lt;T_para, pos_z, NA())</f>
        <v>#N/A</v>
      </c>
      <c r="AF979" s="444"/>
      <c r="AG979" s="450" t="n">
        <f aca="false">IF(AND(L978&lt;L_rampe,Poussee&lt;Poids*SIN(M978)),0,(-W978+Poussee)/m-Poids*SIN(M978)/m)</f>
        <v>3.69097829311674</v>
      </c>
      <c r="AH979" s="449" t="n">
        <f aca="false">IF(AND(L978&lt;L_rampe,Poussee&lt;Poids*SIN(M978)), g*SIN(M978), (-W978+Poussee)/m)</f>
        <v>-6.02703632914942</v>
      </c>
    </row>
    <row r="980" customFormat="false" ht="12" hidden="false" customHeight="false" outlineLevel="0" collapsed="false">
      <c r="A980" s="448" t="n">
        <f aca="false">IF(B979+0.01&lt;=T_ini+ROUNDUP(Temps_fin_propu,0), 0.01, IF(K979&gt;0, 0.1, 0.0001))</f>
        <v>0.0001</v>
      </c>
      <c r="B980" s="449" t="n">
        <f aca="false">B979+pas</f>
        <v>35.7259000000011</v>
      </c>
      <c r="C980" s="432"/>
      <c r="D980" s="450" t="n">
        <f aca="false">IF(AND(L979&lt;L_rampe,Poussee&lt;Poids*SIN(M979)),0,(-W979+Poussee)/m*COS(M979)-U979/m*SIN(M979))</f>
        <v>-0.823423214431215</v>
      </c>
      <c r="E980" s="451" t="n">
        <f aca="false">IF(AND(L979&lt;L_rampe,Poussee&lt;Poids*SIN(M979)),0,(-W979+Poussee)/m*SIN(M979)+U979/m*COS(M979)-Poids/m)</f>
        <v>-3.83943649759756</v>
      </c>
      <c r="F980" s="449" t="n">
        <f aca="false">SQRT(acc_x^2+acc_z^2)</f>
        <v>3.92674144923605</v>
      </c>
      <c r="G980" s="450" t="n">
        <f aca="false">G979+acc_x*pas</f>
        <v>18.8883327891814</v>
      </c>
      <c r="H980" s="451" t="n">
        <f aca="false">H979+acc_z*pas</f>
        <v>-136.958487657396</v>
      </c>
      <c r="I980" s="449" t="n">
        <f aca="false">SQRT(vit_x^2+vit_z^2)</f>
        <v>138.254824353279</v>
      </c>
      <c r="J980" s="450" t="n">
        <f aca="false">J979+0.5*(vit_x+G979)*pas*(K979&gt;=0)</f>
        <v>1017.12580762709</v>
      </c>
      <c r="K980" s="451" t="n">
        <f aca="false">K979+0.5*(vit_z+H979)*pas</f>
        <v>-15.9622556764358</v>
      </c>
      <c r="L980" s="449" t="n">
        <f aca="false">SQRT(pos_x^2+pos_z^2)</f>
        <v>1017.25105168161</v>
      </c>
      <c r="M980" s="450" t="n">
        <f aca="false">IF(AND(L979&gt;L_rampe,G980&gt;0),ATAN2(G980,H980),$M$4)</f>
        <v>-1.43374801596396</v>
      </c>
      <c r="N980" s="449" t="n">
        <f aca="false">DEGREES(Beta)</f>
        <v>-82.14771019999</v>
      </c>
      <c r="O980" s="438"/>
      <c r="P980" s="452" t="n">
        <f aca="false">MATCH(t-pas/2-T_ini,CdP_t)</f>
        <v>23</v>
      </c>
      <c r="Q980" s="449" t="n">
        <f aca="false">(INDEX(CdP,2,i_P+1)-INDEX(CdP,2,i_P+0))/(INDEX(CdP,1,i_P+1)-INDEX(CdP,1,i_P+0))*(t-pas/2-T_ini-INDEX(CdP,1,i_P+0))+INDEX(CdP,2,i_P+0)</f>
        <v>0</v>
      </c>
      <c r="R980" s="450" t="n">
        <f aca="false">Poussee/(g*ISP)</f>
        <v>0</v>
      </c>
      <c r="S980" s="451" t="n">
        <f aca="false">S979-Débit*pas</f>
        <v>8.652</v>
      </c>
      <c r="T980" s="449" t="n">
        <f aca="false">m*g</f>
        <v>84.87612</v>
      </c>
      <c r="U980" s="453" t="n">
        <f aca="false">IF(pos_xz&lt;L_rampe,Poids*COS(Beta),0)</f>
        <v>0</v>
      </c>
      <c r="V980" s="450" t="n">
        <f aca="false">Rho_moyen*(20000-Alt_rampe-pos_z)/(20000+Alt_rampe+pos_z)</f>
        <v>1.22695693817774</v>
      </c>
      <c r="W980" s="449" t="n">
        <f aca="false">1/2*Rho*Sref*Cx*vit_xz^2</f>
        <v>52.1466180135503</v>
      </c>
      <c r="X980" s="438"/>
      <c r="Y980" s="454" t="str">
        <f aca="false">IF(AND(pos_z&lt;=0,K979&gt;0),"Impact balistique","") &amp; IF(AND(H981&lt;0,vit_z&gt;=0),"Apogée","") &amp; IF(AND(Poussee=0,Q979&gt;0),"Fin de propulsion","") &amp; IF(AND(L981&gt;L_rampe,pos_xz&lt;=L_rampe),"Sortie de rampe","")</f>
        <v/>
      </c>
      <c r="Z980" s="455" t="str">
        <f aca="false">IF(ABS(t-T_para)&lt;pas/2,"Para","")</f>
        <v/>
      </c>
      <c r="AA980" s="456" t="str">
        <f aca="false">IF(ABS(t-T_satellite)&lt;pas/2,"Satellite","")</f>
        <v/>
      </c>
      <c r="AB980" s="444"/>
      <c r="AC980" s="452" t="e">
        <f aca="false">IF(ABS(t-ROUND(t,0))&lt;0.001,t,NA())</f>
        <v>#N/A</v>
      </c>
      <c r="AD980" s="457" t="e">
        <f aca="false">IF(ABS(t-ROUND(t,0))&lt;0.001,pos_x,NA())</f>
        <v>#N/A</v>
      </c>
      <c r="AE980" s="458" t="e">
        <f aca="false">IF(t&lt;T_para, pos_z, NA())</f>
        <v>#N/A</v>
      </c>
      <c r="AF980" s="444"/>
      <c r="AG980" s="450" t="n">
        <f aca="false">IF(AND(L979&lt;L_rampe,Poussee&lt;Poids*SIN(M979)),0,(-W979+Poussee)/m-Poids*SIN(M979)/m)</f>
        <v>3.69093915693467</v>
      </c>
      <c r="AH980" s="449" t="n">
        <f aca="false">IF(AND(L979&lt;L_rampe,Poussee&lt;Poids*SIN(M979)), g*SIN(M979), (-W979+Poussee)/m)</f>
        <v>-6.02707676459196</v>
      </c>
    </row>
    <row r="981" customFormat="false" ht="12" hidden="false" customHeight="false" outlineLevel="0" collapsed="false">
      <c r="A981" s="448" t="n">
        <f aca="false">IF(B980+0.01&lt;=T_ini+ROUNDUP(Temps_fin_propu,0), 0.01, IF(K980&gt;0, 0.1, 0.0001))</f>
        <v>0.0001</v>
      </c>
      <c r="B981" s="449" t="n">
        <f aca="false">B980+pas</f>
        <v>35.7260000000011</v>
      </c>
      <c r="C981" s="432"/>
      <c r="D981" s="450" t="n">
        <f aca="false">IF(AND(L980&lt;L_rampe,Poussee&lt;Poids*SIN(M980)),0,(-W980+Poussee)/m*COS(M980)-U980/m*SIN(M980))</f>
        <v>-0.823422950798782</v>
      </c>
      <c r="E981" s="451" t="n">
        <f aca="false">IF(AND(L980&lt;L_rampe,Poussee&lt;Poids*SIN(M980)),0,(-W980+Poussee)/m*SIN(M980)+U980/m*COS(M980)-Poids/m)</f>
        <v>-3.8393956431991</v>
      </c>
      <c r="F981" s="449" t="n">
        <f aca="false">SQRT(acc_x^2+acc_z^2)</f>
        <v>3.92670144789726</v>
      </c>
      <c r="G981" s="450" t="n">
        <f aca="false">G980+acc_x*pas</f>
        <v>18.8882504468863</v>
      </c>
      <c r="H981" s="451" t="n">
        <f aca="false">H980+acc_z*pas</f>
        <v>-136.958871596961</v>
      </c>
      <c r="I981" s="449" t="n">
        <f aca="false">SQRT(vit_x^2+vit_z^2)</f>
        <v>138.255193443346</v>
      </c>
      <c r="J981" s="450" t="n">
        <f aca="false">J980+0.5*(vit_x+G980)*pas*(K980&gt;=0)</f>
        <v>1017.12580762709</v>
      </c>
      <c r="K981" s="451" t="n">
        <f aca="false">K980+0.5*(vit_z+H980)*pas</f>
        <v>-15.9759515443985</v>
      </c>
      <c r="L981" s="449" t="n">
        <f aca="false">SQRT(pos_x^2+pos_z^2)</f>
        <v>1017.25126668331</v>
      </c>
      <c r="M981" s="450" t="n">
        <f aca="false">IF(AND(L980&gt;L_rampe,G981&gt;0),ATAN2(G981,H981),$M$4)</f>
        <v>-1.4337489853592</v>
      </c>
      <c r="N981" s="449" t="n">
        <f aca="false">DEGREES(Beta)</f>
        <v>-82.1477657422461</v>
      </c>
      <c r="O981" s="438"/>
      <c r="P981" s="452" t="n">
        <f aca="false">MATCH(t-pas/2-T_ini,CdP_t)</f>
        <v>23</v>
      </c>
      <c r="Q981" s="449" t="n">
        <f aca="false">(INDEX(CdP,2,i_P+1)-INDEX(CdP,2,i_P+0))/(INDEX(CdP,1,i_P+1)-INDEX(CdP,1,i_P+0))*(t-pas/2-T_ini-INDEX(CdP,1,i_P+0))+INDEX(CdP,2,i_P+0)</f>
        <v>0</v>
      </c>
      <c r="R981" s="450" t="n">
        <f aca="false">Poussee/(g*ISP)</f>
        <v>0</v>
      </c>
      <c r="S981" s="451" t="n">
        <f aca="false">S980-Débit*pas</f>
        <v>8.652</v>
      </c>
      <c r="T981" s="449" t="n">
        <f aca="false">m*g</f>
        <v>84.87612</v>
      </c>
      <c r="U981" s="453" t="n">
        <f aca="false">IF(pos_xz&lt;L_rampe,Poids*COS(Beta),0)</f>
        <v>0</v>
      </c>
      <c r="V981" s="450" t="n">
        <f aca="false">Rho_moyen*(20000-Alt_rampe-pos_z)/(20000+Alt_rampe+pos_z)</f>
        <v>1.22695861860398</v>
      </c>
      <c r="W981" s="449" t="n">
        <f aca="false">1/2*Rho*Sref*Cx*vit_xz^2</f>
        <v>52.1469678587028</v>
      </c>
      <c r="X981" s="438"/>
      <c r="Y981" s="454" t="str">
        <f aca="false">IF(AND(pos_z&lt;=0,K980&gt;0),"Impact balistique","") &amp; IF(AND(H982&lt;0,vit_z&gt;=0),"Apogée","") &amp; IF(AND(Poussee=0,Q980&gt;0),"Fin de propulsion","") &amp; IF(AND(L982&gt;L_rampe,pos_xz&lt;=L_rampe),"Sortie de rampe","")</f>
        <v/>
      </c>
      <c r="Z981" s="455" t="str">
        <f aca="false">IF(ABS(t-T_para)&lt;pas/2,"Para","")</f>
        <v/>
      </c>
      <c r="AA981" s="456" t="str">
        <f aca="false">IF(ABS(t-T_satellite)&lt;pas/2,"Satellite","")</f>
        <v/>
      </c>
      <c r="AB981" s="444"/>
      <c r="AC981" s="452" t="e">
        <f aca="false">IF(ABS(t-ROUND(t,0))&lt;0.001,t,NA())</f>
        <v>#N/A</v>
      </c>
      <c r="AD981" s="457" t="e">
        <f aca="false">IF(ABS(t-ROUND(t,0))&lt;0.001,pos_x,NA())</f>
        <v>#N/A</v>
      </c>
      <c r="AE981" s="458" t="e">
        <f aca="false">IF(t&lt;T_para, pos_z, NA())</f>
        <v>#N/A</v>
      </c>
      <c r="AF981" s="444"/>
      <c r="AG981" s="450" t="n">
        <f aca="false">IF(AND(L980&lt;L_rampe,Poussee&lt;Poids*SIN(M980)),0,(-W980+Poussee)/m-Poids*SIN(M980)/m)</f>
        <v>3.69090002086358</v>
      </c>
      <c r="AH981" s="449" t="n">
        <f aca="false">IF(AND(L980&lt;L_rampe,Poussee&lt;Poids*SIN(M980)), g*SIN(M980), (-W980+Poussee)/m)</f>
        <v>-6.0271171999018</v>
      </c>
    </row>
    <row r="982" customFormat="false" ht="12" hidden="false" customHeight="false" outlineLevel="0" collapsed="false">
      <c r="A982" s="448" t="n">
        <f aca="false">IF(B981+0.01&lt;=T_ini+ROUNDUP(Temps_fin_propu,0), 0.01, IF(K981&gt;0, 0.1, 0.0001))</f>
        <v>0.0001</v>
      </c>
      <c r="B982" s="449" t="n">
        <f aca="false">B981+pas</f>
        <v>35.7261000000011</v>
      </c>
      <c r="C982" s="432"/>
      <c r="D982" s="450" t="n">
        <f aca="false">IF(AND(L981&lt;L_rampe,Poussee&lt;Poids*SIN(M981)),0,(-W981+Poussee)/m*COS(M981)-U981/m*SIN(M981))</f>
        <v>-0.823422687125919</v>
      </c>
      <c r="E982" s="451" t="n">
        <f aca="false">IF(AND(L981&lt;L_rampe,Poussee&lt;Poids*SIN(M981)),0,(-W981+Poussee)/m*SIN(M981)+U981/m*COS(M981)-Poids/m)</f>
        <v>-3.83935478893474</v>
      </c>
      <c r="F982" s="449" t="n">
        <f aca="false">SQRT(acc_x^2+acc_z^2)</f>
        <v>3.92666144669869</v>
      </c>
      <c r="G982" s="450" t="n">
        <f aca="false">G981+acc_x*pas</f>
        <v>18.8881681046176</v>
      </c>
      <c r="H982" s="451" t="n">
        <f aca="false">H981+acc_z*pas</f>
        <v>-136.95925553244</v>
      </c>
      <c r="I982" s="449" t="n">
        <f aca="false">SQRT(vit_x^2+vit_z^2)</f>
        <v>138.2555625295</v>
      </c>
      <c r="J982" s="450" t="n">
        <f aca="false">J981+0.5*(vit_x+G981)*pas*(K981&gt;=0)</f>
        <v>1017.12580762709</v>
      </c>
      <c r="K982" s="451" t="n">
        <f aca="false">K981+0.5*(vit_z+H981)*pas</f>
        <v>-15.989647450755</v>
      </c>
      <c r="L982" s="449" t="n">
        <f aca="false">SQRT(pos_x^2+pos_z^2)</f>
        <v>1017.25148186997</v>
      </c>
      <c r="M982" s="450" t="n">
        <f aca="false">IF(AND(L981&gt;L_rampe,G982&gt;0),ATAN2(G982,H982),$M$4)</f>
        <v>-1.43374995474504</v>
      </c>
      <c r="N982" s="449" t="n">
        <f aca="false">DEGREES(Beta)</f>
        <v>-82.1478212839635</v>
      </c>
      <c r="O982" s="438"/>
      <c r="P982" s="452" t="n">
        <f aca="false">MATCH(t-pas/2-T_ini,CdP_t)</f>
        <v>23</v>
      </c>
      <c r="Q982" s="449" t="n">
        <f aca="false">(INDEX(CdP,2,i_P+1)-INDEX(CdP,2,i_P+0))/(INDEX(CdP,1,i_P+1)-INDEX(CdP,1,i_P+0))*(t-pas/2-T_ini-INDEX(CdP,1,i_P+0))+INDEX(CdP,2,i_P+0)</f>
        <v>0</v>
      </c>
      <c r="R982" s="450" t="n">
        <f aca="false">Poussee/(g*ISP)</f>
        <v>0</v>
      </c>
      <c r="S982" s="451" t="n">
        <f aca="false">S981-Débit*pas</f>
        <v>8.652</v>
      </c>
      <c r="T982" s="449" t="n">
        <f aca="false">m*g</f>
        <v>84.87612</v>
      </c>
      <c r="U982" s="453" t="n">
        <f aca="false">IF(pos_xz&lt;L_rampe,Poids*COS(Beta),0)</f>
        <v>0</v>
      </c>
      <c r="V982" s="450" t="n">
        <f aca="false">Rho_moyen*(20000-Alt_rampe-pos_z)/(20000+Alt_rampe+pos_z)</f>
        <v>1.22696029903724</v>
      </c>
      <c r="W982" s="449" t="n">
        <f aca="false">1/2*Rho*Sref*Cx*vit_xz^2</f>
        <v>52.1473177027071</v>
      </c>
      <c r="X982" s="438"/>
      <c r="Y982" s="454" t="str">
        <f aca="false">IF(AND(pos_z&lt;=0,K981&gt;0),"Impact balistique","") &amp; IF(AND(H983&lt;0,vit_z&gt;=0),"Apogée","") &amp; IF(AND(Poussee=0,Q981&gt;0),"Fin de propulsion","") &amp; IF(AND(L983&gt;L_rampe,pos_xz&lt;=L_rampe),"Sortie de rampe","")</f>
        <v/>
      </c>
      <c r="Z982" s="455" t="str">
        <f aca="false">IF(ABS(t-T_para)&lt;pas/2,"Para","")</f>
        <v/>
      </c>
      <c r="AA982" s="456" t="str">
        <f aca="false">IF(ABS(t-T_satellite)&lt;pas/2,"Satellite","")</f>
        <v/>
      </c>
      <c r="AB982" s="444"/>
      <c r="AC982" s="452" t="e">
        <f aca="false">IF(ABS(t-ROUND(t,0))&lt;0.001,t,NA())</f>
        <v>#N/A</v>
      </c>
      <c r="AD982" s="457" t="e">
        <f aca="false">IF(ABS(t-ROUND(t,0))&lt;0.001,pos_x,NA())</f>
        <v>#N/A</v>
      </c>
      <c r="AE982" s="458" t="e">
        <f aca="false">IF(t&lt;T_para, pos_z, NA())</f>
        <v>#N/A</v>
      </c>
      <c r="AF982" s="444"/>
      <c r="AG982" s="450" t="n">
        <f aca="false">IF(AND(L981&lt;L_rampe,Poussee&lt;Poids*SIN(M981)),0,(-W981+Poussee)/m-Poids*SIN(M981)/m)</f>
        <v>3.69086088490346</v>
      </c>
      <c r="AH982" s="449" t="n">
        <f aca="false">IF(AND(L981&lt;L_rampe,Poussee&lt;Poids*SIN(M981)), g*SIN(M981), (-W981+Poussee)/m)</f>
        <v>-6.02715763507892</v>
      </c>
    </row>
    <row r="983" customFormat="false" ht="12" hidden="false" customHeight="false" outlineLevel="0" collapsed="false">
      <c r="A983" s="448" t="n">
        <f aca="false">IF(B982+0.01&lt;=T_ini+ROUNDUP(Temps_fin_propu,0), 0.01, IF(K982&gt;0, 0.1, 0.0001))</f>
        <v>0.0001</v>
      </c>
      <c r="B983" s="449" t="n">
        <f aca="false">B982+pas</f>
        <v>35.7262000000011</v>
      </c>
      <c r="C983" s="432"/>
      <c r="D983" s="450" t="n">
        <f aca="false">IF(AND(L982&lt;L_rampe,Poussee&lt;Poids*SIN(M982)),0,(-W982+Poussee)/m*COS(M982)-U982/m*SIN(M982))</f>
        <v>-0.823422423412627</v>
      </c>
      <c r="E983" s="451" t="n">
        <f aca="false">IF(AND(L982&lt;L_rampe,Poussee&lt;Poids*SIN(M982)),0,(-W982+Poussee)/m*SIN(M982)+U982/m*COS(M982)-Poids/m)</f>
        <v>-3.8393139348045</v>
      </c>
      <c r="F983" s="449" t="n">
        <f aca="false">SQRT(acc_x^2+acc_z^2)</f>
        <v>3.92662144564035</v>
      </c>
      <c r="G983" s="450" t="n">
        <f aca="false">G982+acc_x*pas</f>
        <v>18.8880857623753</v>
      </c>
      <c r="H983" s="451" t="n">
        <f aca="false">H982+acc_z*pas</f>
        <v>-136.959639463833</v>
      </c>
      <c r="I983" s="449" t="n">
        <f aca="false">SQRT(vit_x^2+vit_z^2)</f>
        <v>138.255931611739</v>
      </c>
      <c r="J983" s="450" t="n">
        <f aca="false">J982+0.5*(vit_x+G982)*pas*(K982&gt;=0)</f>
        <v>1017.12580762709</v>
      </c>
      <c r="K983" s="451" t="n">
        <f aca="false">K982+0.5*(vit_z+H982)*pas</f>
        <v>-16.0033433955048</v>
      </c>
      <c r="L983" s="449" t="n">
        <f aca="false">SQRT(pos_x^2+pos_z^2)</f>
        <v>1017.25169724159</v>
      </c>
      <c r="M983" s="450" t="n">
        <f aca="false">IF(AND(L982&gt;L_rampe,G983&gt;0),ATAN2(G983,H983),$M$4)</f>
        <v>-1.43375092412148</v>
      </c>
      <c r="N983" s="449" t="n">
        <f aca="false">DEGREES(Beta)</f>
        <v>-82.1478768251423</v>
      </c>
      <c r="O983" s="438"/>
      <c r="P983" s="452" t="n">
        <f aca="false">MATCH(t-pas/2-T_ini,CdP_t)</f>
        <v>23</v>
      </c>
      <c r="Q983" s="449" t="n">
        <f aca="false">(INDEX(CdP,2,i_P+1)-INDEX(CdP,2,i_P+0))/(INDEX(CdP,1,i_P+1)-INDEX(CdP,1,i_P+0))*(t-pas/2-T_ini-INDEX(CdP,1,i_P+0))+INDEX(CdP,2,i_P+0)</f>
        <v>0</v>
      </c>
      <c r="R983" s="450" t="n">
        <f aca="false">Poussee/(g*ISP)</f>
        <v>0</v>
      </c>
      <c r="S983" s="451" t="n">
        <f aca="false">S982-Débit*pas</f>
        <v>8.652</v>
      </c>
      <c r="T983" s="449" t="n">
        <f aca="false">m*g</f>
        <v>84.87612</v>
      </c>
      <c r="U983" s="453" t="n">
        <f aca="false">IF(pos_xz&lt;L_rampe,Poids*COS(Beta),0)</f>
        <v>0</v>
      </c>
      <c r="V983" s="450" t="n">
        <f aca="false">Rho_moyen*(20000-Alt_rampe-pos_z)/(20000+Alt_rampe+pos_z)</f>
        <v>1.22696197947751</v>
      </c>
      <c r="W983" s="449" t="n">
        <f aca="false">1/2*Rho*Sref*Cx*vit_xz^2</f>
        <v>52.1476675455632</v>
      </c>
      <c r="X983" s="438"/>
      <c r="Y983" s="454" t="str">
        <f aca="false">IF(AND(pos_z&lt;=0,K982&gt;0),"Impact balistique","") &amp; IF(AND(H984&lt;0,vit_z&gt;=0),"Apogée","") &amp; IF(AND(Poussee=0,Q982&gt;0),"Fin de propulsion","") &amp; IF(AND(L984&gt;L_rampe,pos_xz&lt;=L_rampe),"Sortie de rampe","")</f>
        <v/>
      </c>
      <c r="Z983" s="455" t="str">
        <f aca="false">IF(ABS(t-T_para)&lt;pas/2,"Para","")</f>
        <v/>
      </c>
      <c r="AA983" s="456" t="str">
        <f aca="false">IF(ABS(t-T_satellite)&lt;pas/2,"Satellite","")</f>
        <v/>
      </c>
      <c r="AB983" s="444"/>
      <c r="AC983" s="452" t="e">
        <f aca="false">IF(ABS(t-ROUND(t,0))&lt;0.001,t,NA())</f>
        <v>#N/A</v>
      </c>
      <c r="AD983" s="457" t="e">
        <f aca="false">IF(ABS(t-ROUND(t,0))&lt;0.001,pos_x,NA())</f>
        <v>#N/A</v>
      </c>
      <c r="AE983" s="458" t="e">
        <f aca="false">IF(t&lt;T_para, pos_z, NA())</f>
        <v>#N/A</v>
      </c>
      <c r="AF983" s="444"/>
      <c r="AG983" s="450" t="n">
        <f aca="false">IF(AND(L982&lt;L_rampe,Poussee&lt;Poids*SIN(M982)),0,(-W982+Poussee)/m-Poids*SIN(M982)/m)</f>
        <v>3.69082174905432</v>
      </c>
      <c r="AH983" s="449" t="n">
        <f aca="false">IF(AND(L982&lt;L_rampe,Poussee&lt;Poids*SIN(M982)), g*SIN(M982), (-W982+Poussee)/m)</f>
        <v>-6.02719807012334</v>
      </c>
    </row>
    <row r="984" customFormat="false" ht="12" hidden="false" customHeight="false" outlineLevel="0" collapsed="false">
      <c r="A984" s="448" t="n">
        <f aca="false">IF(B983+0.01&lt;=T_ini+ROUNDUP(Temps_fin_propu,0), 0.01, IF(K983&gt;0, 0.1, 0.0001))</f>
        <v>0.0001</v>
      </c>
      <c r="B984" s="449" t="n">
        <f aca="false">B983+pas</f>
        <v>35.7263000000011</v>
      </c>
      <c r="C984" s="432"/>
      <c r="D984" s="450" t="n">
        <f aca="false">IF(AND(L983&lt;L_rampe,Poussee&lt;Poids*SIN(M983)),0,(-W983+Poussee)/m*COS(M983)-U983/m*SIN(M983))</f>
        <v>-0.823422159658905</v>
      </c>
      <c r="E984" s="451" t="n">
        <f aca="false">IF(AND(L983&lt;L_rampe,Poussee&lt;Poids*SIN(M983)),0,(-W983+Poussee)/m*SIN(M983)+U983/m*COS(M983)-Poids/m)</f>
        <v>-3.83927308080836</v>
      </c>
      <c r="F984" s="449" t="n">
        <f aca="false">SQRT(acc_x^2+acc_z^2)</f>
        <v>3.92658144472224</v>
      </c>
      <c r="G984" s="450" t="n">
        <f aca="false">G983+acc_x*pas</f>
        <v>18.8880034201593</v>
      </c>
      <c r="H984" s="451" t="n">
        <f aca="false">H983+acc_z*pas</f>
        <v>-136.960023391141</v>
      </c>
      <c r="I984" s="449" t="n">
        <f aca="false">SQRT(vit_x^2+vit_z^2)</f>
        <v>138.256300690066</v>
      </c>
      <c r="J984" s="450" t="n">
        <f aca="false">J983+0.5*(vit_x+G983)*pas*(K983&gt;=0)</f>
        <v>1017.12580762709</v>
      </c>
      <c r="K984" s="451" t="n">
        <f aca="false">K983+0.5*(vit_z+H983)*pas</f>
        <v>-16.0170393786475</v>
      </c>
      <c r="L984" s="449" t="n">
        <f aca="false">SQRT(pos_x^2+pos_z^2)</f>
        <v>1017.25191279816</v>
      </c>
      <c r="M984" s="450" t="n">
        <f aca="false">IF(AND(L983&gt;L_rampe,G984&gt;0),ATAN2(G984,H984),$M$4)</f>
        <v>-1.43375189348852</v>
      </c>
      <c r="N984" s="449" t="n">
        <f aca="false">DEGREES(Beta)</f>
        <v>-82.1479323657824</v>
      </c>
      <c r="O984" s="438"/>
      <c r="P984" s="452" t="n">
        <f aca="false">MATCH(t-pas/2-T_ini,CdP_t)</f>
        <v>23</v>
      </c>
      <c r="Q984" s="449" t="n">
        <f aca="false">(INDEX(CdP,2,i_P+1)-INDEX(CdP,2,i_P+0))/(INDEX(CdP,1,i_P+1)-INDEX(CdP,1,i_P+0))*(t-pas/2-T_ini-INDEX(CdP,1,i_P+0))+INDEX(CdP,2,i_P+0)</f>
        <v>0</v>
      </c>
      <c r="R984" s="450" t="n">
        <f aca="false">Poussee/(g*ISP)</f>
        <v>0</v>
      </c>
      <c r="S984" s="451" t="n">
        <f aca="false">S983-Débit*pas</f>
        <v>8.652</v>
      </c>
      <c r="T984" s="449" t="n">
        <f aca="false">m*g</f>
        <v>84.87612</v>
      </c>
      <c r="U984" s="453" t="n">
        <f aca="false">IF(pos_xz&lt;L_rampe,Poids*COS(Beta),0)</f>
        <v>0</v>
      </c>
      <c r="V984" s="450" t="n">
        <f aca="false">Rho_moyen*(20000-Alt_rampe-pos_z)/(20000+Alt_rampe+pos_z)</f>
        <v>1.2269636599248</v>
      </c>
      <c r="W984" s="449" t="n">
        <f aca="false">1/2*Rho*Sref*Cx*vit_xz^2</f>
        <v>52.148017387271</v>
      </c>
      <c r="X984" s="438"/>
      <c r="Y984" s="454" t="str">
        <f aca="false">IF(AND(pos_z&lt;=0,K983&gt;0),"Impact balistique","") &amp; IF(AND(H985&lt;0,vit_z&gt;=0),"Apogée","") &amp; IF(AND(Poussee=0,Q983&gt;0),"Fin de propulsion","") &amp; IF(AND(L985&gt;L_rampe,pos_xz&lt;=L_rampe),"Sortie de rampe","")</f>
        <v/>
      </c>
      <c r="Z984" s="455" t="str">
        <f aca="false">IF(ABS(t-T_para)&lt;pas/2,"Para","")</f>
        <v/>
      </c>
      <c r="AA984" s="456" t="str">
        <f aca="false">IF(ABS(t-T_satellite)&lt;pas/2,"Satellite","")</f>
        <v/>
      </c>
      <c r="AB984" s="444"/>
      <c r="AC984" s="452" t="e">
        <f aca="false">IF(ABS(t-ROUND(t,0))&lt;0.001,t,NA())</f>
        <v>#N/A</v>
      </c>
      <c r="AD984" s="457" t="e">
        <f aca="false">IF(ABS(t-ROUND(t,0))&lt;0.001,pos_x,NA())</f>
        <v>#N/A</v>
      </c>
      <c r="AE984" s="458" t="e">
        <f aca="false">IF(t&lt;T_para, pos_z, NA())</f>
        <v>#N/A</v>
      </c>
      <c r="AF984" s="444"/>
      <c r="AG984" s="450" t="n">
        <f aca="false">IF(AND(L983&lt;L_rampe,Poussee&lt;Poids*SIN(M983)),0,(-W983+Poussee)/m-Poids*SIN(M983)/m)</f>
        <v>3.69078261331615</v>
      </c>
      <c r="AH984" s="449" t="n">
        <f aca="false">IF(AND(L983&lt;L_rampe,Poussee&lt;Poids*SIN(M983)), g*SIN(M983), (-W983+Poussee)/m)</f>
        <v>-6.02723850503504</v>
      </c>
    </row>
    <row r="985" customFormat="false" ht="12" hidden="false" customHeight="false" outlineLevel="0" collapsed="false">
      <c r="A985" s="448" t="n">
        <f aca="false">IF(B984+0.01&lt;=T_ini+ROUNDUP(Temps_fin_propu,0), 0.01, IF(K984&gt;0, 0.1, 0.0001))</f>
        <v>0.0001</v>
      </c>
      <c r="B985" s="449" t="n">
        <f aca="false">B984+pas</f>
        <v>35.7264000000011</v>
      </c>
      <c r="C985" s="432"/>
      <c r="D985" s="450" t="n">
        <f aca="false">IF(AND(L984&lt;L_rampe,Poussee&lt;Poids*SIN(M984)),0,(-W984+Poussee)/m*COS(M984)-U984/m*SIN(M984))</f>
        <v>-0.823421895864756</v>
      </c>
      <c r="E985" s="451" t="n">
        <f aca="false">IF(AND(L984&lt;L_rampe,Poussee&lt;Poids*SIN(M984)),0,(-W984+Poussee)/m*SIN(M984)+U984/m*COS(M984)-Poids/m)</f>
        <v>-3.83923222694633</v>
      </c>
      <c r="F985" s="449" t="n">
        <f aca="false">SQRT(acc_x^2+acc_z^2)</f>
        <v>3.92654144394438</v>
      </c>
      <c r="G985" s="450" t="n">
        <f aca="false">G984+acc_x*pas</f>
        <v>18.8879210779697</v>
      </c>
      <c r="H985" s="451" t="n">
        <f aca="false">H984+acc_z*pas</f>
        <v>-136.960407314364</v>
      </c>
      <c r="I985" s="449" t="n">
        <f aca="false">SQRT(vit_x^2+vit_z^2)</f>
        <v>138.256669764478</v>
      </c>
      <c r="J985" s="450" t="n">
        <f aca="false">J984+0.5*(vit_x+G984)*pas*(K984&gt;=0)</f>
        <v>1017.12580762709</v>
      </c>
      <c r="K985" s="451" t="n">
        <f aca="false">K984+0.5*(vit_z+H984)*pas</f>
        <v>-16.0307354001828</v>
      </c>
      <c r="L985" s="449" t="n">
        <f aca="false">SQRT(pos_x^2+pos_z^2)</f>
        <v>1017.25212853969</v>
      </c>
      <c r="M985" s="450" t="n">
        <f aca="false">IF(AND(L984&gt;L_rampe,G985&gt;0),ATAN2(G985,H985),$M$4)</f>
        <v>-1.43375286284615</v>
      </c>
      <c r="N985" s="449" t="n">
        <f aca="false">DEGREES(Beta)</f>
        <v>-82.1479879058838</v>
      </c>
      <c r="O985" s="438"/>
      <c r="P985" s="452" t="n">
        <f aca="false">MATCH(t-pas/2-T_ini,CdP_t)</f>
        <v>23</v>
      </c>
      <c r="Q985" s="449" t="n">
        <f aca="false">(INDEX(CdP,2,i_P+1)-INDEX(CdP,2,i_P+0))/(INDEX(CdP,1,i_P+1)-INDEX(CdP,1,i_P+0))*(t-pas/2-T_ini-INDEX(CdP,1,i_P+0))+INDEX(CdP,2,i_P+0)</f>
        <v>0</v>
      </c>
      <c r="R985" s="450" t="n">
        <f aca="false">Poussee/(g*ISP)</f>
        <v>0</v>
      </c>
      <c r="S985" s="451" t="n">
        <f aca="false">S984-Débit*pas</f>
        <v>8.652</v>
      </c>
      <c r="T985" s="449" t="n">
        <f aca="false">m*g</f>
        <v>84.87612</v>
      </c>
      <c r="U985" s="453" t="n">
        <f aca="false">IF(pos_xz&lt;L_rampe,Poids*COS(Beta),0)</f>
        <v>0</v>
      </c>
      <c r="V985" s="450" t="n">
        <f aca="false">Rho_moyen*(20000-Alt_rampe-pos_z)/(20000+Alt_rampe+pos_z)</f>
        <v>1.2269653403791</v>
      </c>
      <c r="W985" s="449" t="n">
        <f aca="false">1/2*Rho*Sref*Cx*vit_xz^2</f>
        <v>52.1483672278306</v>
      </c>
      <c r="X985" s="438"/>
      <c r="Y985" s="454" t="str">
        <f aca="false">IF(AND(pos_z&lt;=0,K984&gt;0),"Impact balistique","") &amp; IF(AND(H986&lt;0,vit_z&gt;=0),"Apogée","") &amp; IF(AND(Poussee=0,Q984&gt;0),"Fin de propulsion","") &amp; IF(AND(L986&gt;L_rampe,pos_xz&lt;=L_rampe),"Sortie de rampe","")</f>
        <v/>
      </c>
      <c r="Z985" s="455" t="str">
        <f aca="false">IF(ABS(t-T_para)&lt;pas/2,"Para","")</f>
        <v/>
      </c>
      <c r="AA985" s="456" t="str">
        <f aca="false">IF(ABS(t-T_satellite)&lt;pas/2,"Satellite","")</f>
        <v/>
      </c>
      <c r="AB985" s="444"/>
      <c r="AC985" s="452" t="e">
        <f aca="false">IF(ABS(t-ROUND(t,0))&lt;0.001,t,NA())</f>
        <v>#N/A</v>
      </c>
      <c r="AD985" s="457" t="e">
        <f aca="false">IF(ABS(t-ROUND(t,0))&lt;0.001,pos_x,NA())</f>
        <v>#N/A</v>
      </c>
      <c r="AE985" s="458" t="e">
        <f aca="false">IF(t&lt;T_para, pos_z, NA())</f>
        <v>#N/A</v>
      </c>
      <c r="AF985" s="444"/>
      <c r="AG985" s="450" t="n">
        <f aca="false">IF(AND(L984&lt;L_rampe,Poussee&lt;Poids*SIN(M984)),0,(-W984+Poussee)/m-Poids*SIN(M984)/m)</f>
        <v>3.69074347768897</v>
      </c>
      <c r="AH985" s="449" t="n">
        <f aca="false">IF(AND(L984&lt;L_rampe,Poussee&lt;Poids*SIN(M984)), g*SIN(M984), (-W984+Poussee)/m)</f>
        <v>-6.02727893981403</v>
      </c>
    </row>
    <row r="986" customFormat="false" ht="12" hidden="false" customHeight="false" outlineLevel="0" collapsed="false">
      <c r="A986" s="448" t="n">
        <f aca="false">IF(B985+0.01&lt;=T_ini+ROUNDUP(Temps_fin_propu,0), 0.01, IF(K985&gt;0, 0.1, 0.0001))</f>
        <v>0.0001</v>
      </c>
      <c r="B986" s="449" t="n">
        <f aca="false">B985+pas</f>
        <v>35.7265000000011</v>
      </c>
      <c r="C986" s="432"/>
      <c r="D986" s="450" t="n">
        <f aca="false">IF(AND(L985&lt;L_rampe,Poussee&lt;Poids*SIN(M985)),0,(-W985+Poussee)/m*COS(M985)-U985/m*SIN(M985))</f>
        <v>-0.823421632030177</v>
      </c>
      <c r="E986" s="451" t="n">
        <f aca="false">IF(AND(L985&lt;L_rampe,Poussee&lt;Poids*SIN(M985)),0,(-W985+Poussee)/m*SIN(M985)+U985/m*COS(M985)-Poids/m)</f>
        <v>-3.83919137321842</v>
      </c>
      <c r="F986" s="449" t="n">
        <f aca="false">SQRT(acc_x^2+acc_z^2)</f>
        <v>3.92650144330675</v>
      </c>
      <c r="G986" s="450" t="n">
        <f aca="false">G985+acc_x*pas</f>
        <v>18.8878387358065</v>
      </c>
      <c r="H986" s="451" t="n">
        <f aca="false">H985+acc_z*pas</f>
        <v>-136.960791233501</v>
      </c>
      <c r="I986" s="449" t="n">
        <f aca="false">SQRT(vit_x^2+vit_z^2)</f>
        <v>138.257038834978</v>
      </c>
      <c r="J986" s="450" t="n">
        <f aca="false">J985+0.5*(vit_x+G985)*pas*(K985&gt;=0)</f>
        <v>1017.12580762709</v>
      </c>
      <c r="K986" s="451" t="n">
        <f aca="false">K985+0.5*(vit_z+H985)*pas</f>
        <v>-16.0444314601102</v>
      </c>
      <c r="L986" s="449" t="n">
        <f aca="false">SQRT(pos_x^2+pos_z^2)</f>
        <v>1017.25234446618</v>
      </c>
      <c r="M986" s="450" t="n">
        <f aca="false">IF(AND(L985&gt;L_rampe,G986&gt;0),ATAN2(G986,H986),$M$4)</f>
        <v>-1.43375383219439</v>
      </c>
      <c r="N986" s="449" t="n">
        <f aca="false">DEGREES(Beta)</f>
        <v>-82.1480434454466</v>
      </c>
      <c r="O986" s="438"/>
      <c r="P986" s="452" t="n">
        <f aca="false">MATCH(t-pas/2-T_ini,CdP_t)</f>
        <v>23</v>
      </c>
      <c r="Q986" s="449" t="n">
        <f aca="false">(INDEX(CdP,2,i_P+1)-INDEX(CdP,2,i_P+0))/(INDEX(CdP,1,i_P+1)-INDEX(CdP,1,i_P+0))*(t-pas/2-T_ini-INDEX(CdP,1,i_P+0))+INDEX(CdP,2,i_P+0)</f>
        <v>0</v>
      </c>
      <c r="R986" s="450" t="n">
        <f aca="false">Poussee/(g*ISP)</f>
        <v>0</v>
      </c>
      <c r="S986" s="451" t="n">
        <f aca="false">S985-Débit*pas</f>
        <v>8.652</v>
      </c>
      <c r="T986" s="449" t="n">
        <f aca="false">m*g</f>
        <v>84.87612</v>
      </c>
      <c r="U986" s="453" t="n">
        <f aca="false">IF(pos_xz&lt;L_rampe,Poids*COS(Beta),0)</f>
        <v>0</v>
      </c>
      <c r="V986" s="450" t="n">
        <f aca="false">Rho_moyen*(20000-Alt_rampe-pos_z)/(20000+Alt_rampe+pos_z)</f>
        <v>1.22696702084042</v>
      </c>
      <c r="W986" s="449" t="n">
        <f aca="false">1/2*Rho*Sref*Cx*vit_xz^2</f>
        <v>52.1487170672419</v>
      </c>
      <c r="X986" s="438"/>
      <c r="Y986" s="454" t="str">
        <f aca="false">IF(AND(pos_z&lt;=0,K985&gt;0),"Impact balistique","") &amp; IF(AND(H987&lt;0,vit_z&gt;=0),"Apogée","") &amp; IF(AND(Poussee=0,Q985&gt;0),"Fin de propulsion","") &amp; IF(AND(L987&gt;L_rampe,pos_xz&lt;=L_rampe),"Sortie de rampe","")</f>
        <v/>
      </c>
      <c r="Z986" s="455" t="str">
        <f aca="false">IF(ABS(t-T_para)&lt;pas/2,"Para","")</f>
        <v/>
      </c>
      <c r="AA986" s="456" t="str">
        <f aca="false">IF(ABS(t-T_satellite)&lt;pas/2,"Satellite","")</f>
        <v/>
      </c>
      <c r="AB986" s="444"/>
      <c r="AC986" s="452" t="e">
        <f aca="false">IF(ABS(t-ROUND(t,0))&lt;0.001,t,NA())</f>
        <v>#N/A</v>
      </c>
      <c r="AD986" s="457" t="e">
        <f aca="false">IF(ABS(t-ROUND(t,0))&lt;0.001,pos_x,NA())</f>
        <v>#N/A</v>
      </c>
      <c r="AE986" s="458" t="e">
        <f aca="false">IF(t&lt;T_para, pos_z, NA())</f>
        <v>#N/A</v>
      </c>
      <c r="AF986" s="444"/>
      <c r="AG986" s="450" t="n">
        <f aca="false">IF(AND(L985&lt;L_rampe,Poussee&lt;Poids*SIN(M985)),0,(-W985+Poussee)/m-Poids*SIN(M985)/m)</f>
        <v>3.69070434217277</v>
      </c>
      <c r="AH986" s="449" t="n">
        <f aca="false">IF(AND(L985&lt;L_rampe,Poussee&lt;Poids*SIN(M985)), g*SIN(M985), (-W985+Poussee)/m)</f>
        <v>-6.02731937446031</v>
      </c>
    </row>
    <row r="987" customFormat="false" ht="12" hidden="false" customHeight="false" outlineLevel="0" collapsed="false">
      <c r="A987" s="448" t="n">
        <f aca="false">IF(B986+0.01&lt;=T_ini+ROUNDUP(Temps_fin_propu,0), 0.01, IF(K986&gt;0, 0.1, 0.0001))</f>
        <v>0.0001</v>
      </c>
      <c r="B987" s="449" t="n">
        <f aca="false">B986+pas</f>
        <v>35.7266000000011</v>
      </c>
      <c r="C987" s="432"/>
      <c r="D987" s="450" t="n">
        <f aca="false">IF(AND(L986&lt;L_rampe,Poussee&lt;Poids*SIN(M986)),0,(-W986+Poussee)/m*COS(M986)-U986/m*SIN(M986))</f>
        <v>-0.823421368155172</v>
      </c>
      <c r="E987" s="451" t="n">
        <f aca="false">IF(AND(L986&lt;L_rampe,Poussee&lt;Poids*SIN(M986)),0,(-W986+Poussee)/m*SIN(M986)+U986/m*COS(M986)-Poids/m)</f>
        <v>-3.83915051962462</v>
      </c>
      <c r="F987" s="449" t="n">
        <f aca="false">SQRT(acc_x^2+acc_z^2)</f>
        <v>3.92646144280936</v>
      </c>
      <c r="G987" s="450" t="n">
        <f aca="false">G986+acc_x*pas</f>
        <v>18.8877563936697</v>
      </c>
      <c r="H987" s="451" t="n">
        <f aca="false">H986+acc_z*pas</f>
        <v>-136.961175148553</v>
      </c>
      <c r="I987" s="449" t="n">
        <f aca="false">SQRT(vit_x^2+vit_z^2)</f>
        <v>138.257407901563</v>
      </c>
      <c r="J987" s="450" t="n">
        <f aca="false">J986+0.5*(vit_x+G986)*pas*(K986&gt;=0)</f>
        <v>1017.12580762709</v>
      </c>
      <c r="K987" s="451" t="n">
        <f aca="false">K986+0.5*(vit_z+H986)*pas</f>
        <v>-16.0581275584293</v>
      </c>
      <c r="L987" s="449" t="n">
        <f aca="false">SQRT(pos_x^2+pos_z^2)</f>
        <v>1017.25256057763</v>
      </c>
      <c r="M987" s="450" t="n">
        <f aca="false">IF(AND(L986&gt;L_rampe,G987&gt;0),ATAN2(G987,H987),$M$4)</f>
        <v>-1.43375480153322</v>
      </c>
      <c r="N987" s="449" t="n">
        <f aca="false">DEGREES(Beta)</f>
        <v>-82.1480989844707</v>
      </c>
      <c r="O987" s="438"/>
      <c r="P987" s="452" t="n">
        <f aca="false">MATCH(t-pas/2-T_ini,CdP_t)</f>
        <v>23</v>
      </c>
      <c r="Q987" s="449" t="n">
        <f aca="false">(INDEX(CdP,2,i_P+1)-INDEX(CdP,2,i_P+0))/(INDEX(CdP,1,i_P+1)-INDEX(CdP,1,i_P+0))*(t-pas/2-T_ini-INDEX(CdP,1,i_P+0))+INDEX(CdP,2,i_P+0)</f>
        <v>0</v>
      </c>
      <c r="R987" s="450" t="n">
        <f aca="false">Poussee/(g*ISP)</f>
        <v>0</v>
      </c>
      <c r="S987" s="451" t="n">
        <f aca="false">S986-Débit*pas</f>
        <v>8.652</v>
      </c>
      <c r="T987" s="449" t="n">
        <f aca="false">m*g</f>
        <v>84.87612</v>
      </c>
      <c r="U987" s="453" t="n">
        <f aca="false">IF(pos_xz&lt;L_rampe,Poids*COS(Beta),0)</f>
        <v>0</v>
      </c>
      <c r="V987" s="450" t="n">
        <f aca="false">Rho_moyen*(20000-Alt_rampe-pos_z)/(20000+Alt_rampe+pos_z)</f>
        <v>1.22696870130874</v>
      </c>
      <c r="W987" s="449" t="n">
        <f aca="false">1/2*Rho*Sref*Cx*vit_xz^2</f>
        <v>52.1490669055048</v>
      </c>
      <c r="X987" s="438"/>
      <c r="Y987" s="454" t="str">
        <f aca="false">IF(AND(pos_z&lt;=0,K986&gt;0),"Impact balistique","") &amp; IF(AND(H988&lt;0,vit_z&gt;=0),"Apogée","") &amp; IF(AND(Poussee=0,Q986&gt;0),"Fin de propulsion","") &amp; IF(AND(L988&gt;L_rampe,pos_xz&lt;=L_rampe),"Sortie de rampe","")</f>
        <v/>
      </c>
      <c r="Z987" s="455" t="str">
        <f aca="false">IF(ABS(t-T_para)&lt;pas/2,"Para","")</f>
        <v/>
      </c>
      <c r="AA987" s="456" t="str">
        <f aca="false">IF(ABS(t-T_satellite)&lt;pas/2,"Satellite","")</f>
        <v/>
      </c>
      <c r="AB987" s="444"/>
      <c r="AC987" s="452" t="e">
        <f aca="false">IF(ABS(t-ROUND(t,0))&lt;0.001,t,NA())</f>
        <v>#N/A</v>
      </c>
      <c r="AD987" s="457" t="e">
        <f aca="false">IF(ABS(t-ROUND(t,0))&lt;0.001,pos_x,NA())</f>
        <v>#N/A</v>
      </c>
      <c r="AE987" s="458" t="e">
        <f aca="false">IF(t&lt;T_para, pos_z, NA())</f>
        <v>#N/A</v>
      </c>
      <c r="AF987" s="444"/>
      <c r="AG987" s="450" t="n">
        <f aca="false">IF(AND(L986&lt;L_rampe,Poussee&lt;Poids*SIN(M986)),0,(-W986+Poussee)/m-Poids*SIN(M986)/m)</f>
        <v>3.69066520676756</v>
      </c>
      <c r="AH987" s="449" t="n">
        <f aca="false">IF(AND(L986&lt;L_rampe,Poussee&lt;Poids*SIN(M986)), g*SIN(M986), (-W986+Poussee)/m)</f>
        <v>-6.02735980897387</v>
      </c>
    </row>
    <row r="988" customFormat="false" ht="12" hidden="false" customHeight="false" outlineLevel="0" collapsed="false">
      <c r="A988" s="448" t="n">
        <f aca="false">IF(B987+0.01&lt;=T_ini+ROUNDUP(Temps_fin_propu,0), 0.01, IF(K987&gt;0, 0.1, 0.0001))</f>
        <v>0.0001</v>
      </c>
      <c r="B988" s="449" t="n">
        <f aca="false">B987+pas</f>
        <v>35.7267000000011</v>
      </c>
      <c r="C988" s="432"/>
      <c r="D988" s="450" t="n">
        <f aca="false">IF(AND(L987&lt;L_rampe,Poussee&lt;Poids*SIN(M987)),0,(-W987+Poussee)/m*COS(M987)-U987/m*SIN(M987))</f>
        <v>-0.823421104239737</v>
      </c>
      <c r="E988" s="451" t="n">
        <f aca="false">IF(AND(L987&lt;L_rampe,Poussee&lt;Poids*SIN(M987)),0,(-W987+Poussee)/m*SIN(M987)+U987/m*COS(M987)-Poids/m)</f>
        <v>-3.83910966616495</v>
      </c>
      <c r="F988" s="449" t="n">
        <f aca="false">SQRT(acc_x^2+acc_z^2)</f>
        <v>3.92642144245222</v>
      </c>
      <c r="G988" s="450" t="n">
        <f aca="false">G987+acc_x*pas</f>
        <v>18.8876740515593</v>
      </c>
      <c r="H988" s="451" t="n">
        <f aca="false">H987+acc_z*pas</f>
        <v>-136.96155905952</v>
      </c>
      <c r="I988" s="449" t="n">
        <f aca="false">SQRT(vit_x^2+vit_z^2)</f>
        <v>138.257776964235</v>
      </c>
      <c r="J988" s="450" t="n">
        <f aca="false">J987+0.5*(vit_x+G987)*pas*(K987&gt;=0)</f>
        <v>1017.12580762709</v>
      </c>
      <c r="K988" s="451" t="n">
        <f aca="false">K987+0.5*(vit_z+H987)*pas</f>
        <v>-16.0718236951397</v>
      </c>
      <c r="L988" s="449" t="n">
        <f aca="false">SQRT(pos_x^2+pos_z^2)</f>
        <v>1017.25277687404</v>
      </c>
      <c r="M988" s="450" t="n">
        <f aca="false">IF(AND(L987&gt;L_rampe,G988&gt;0),ATAN2(G988,H988),$M$4)</f>
        <v>-1.43375577086266</v>
      </c>
      <c r="N988" s="449" t="n">
        <f aca="false">DEGREES(Beta)</f>
        <v>-82.1481545229562</v>
      </c>
      <c r="O988" s="438"/>
      <c r="P988" s="452" t="n">
        <f aca="false">MATCH(t-pas/2-T_ini,CdP_t)</f>
        <v>23</v>
      </c>
      <c r="Q988" s="449" t="n">
        <f aca="false">(INDEX(CdP,2,i_P+1)-INDEX(CdP,2,i_P+0))/(INDEX(CdP,1,i_P+1)-INDEX(CdP,1,i_P+0))*(t-pas/2-T_ini-INDEX(CdP,1,i_P+0))+INDEX(CdP,2,i_P+0)</f>
        <v>0</v>
      </c>
      <c r="R988" s="450" t="n">
        <f aca="false">Poussee/(g*ISP)</f>
        <v>0</v>
      </c>
      <c r="S988" s="451" t="n">
        <f aca="false">S987-Débit*pas</f>
        <v>8.652</v>
      </c>
      <c r="T988" s="449" t="n">
        <f aca="false">m*g</f>
        <v>84.87612</v>
      </c>
      <c r="U988" s="453" t="n">
        <f aca="false">IF(pos_xz&lt;L_rampe,Poids*COS(Beta),0)</f>
        <v>0</v>
      </c>
      <c r="V988" s="450" t="n">
        <f aca="false">Rho_moyen*(20000-Alt_rampe-pos_z)/(20000+Alt_rampe+pos_z)</f>
        <v>1.22697038178409</v>
      </c>
      <c r="W988" s="449" t="n">
        <f aca="false">1/2*Rho*Sref*Cx*vit_xz^2</f>
        <v>52.1494167426194</v>
      </c>
      <c r="X988" s="438"/>
      <c r="Y988" s="454" t="str">
        <f aca="false">IF(AND(pos_z&lt;=0,K987&gt;0),"Impact balistique","") &amp; IF(AND(H989&lt;0,vit_z&gt;=0),"Apogée","") &amp; IF(AND(Poussee=0,Q987&gt;0),"Fin de propulsion","") &amp; IF(AND(L989&gt;L_rampe,pos_xz&lt;=L_rampe),"Sortie de rampe","")</f>
        <v/>
      </c>
      <c r="Z988" s="455" t="str">
        <f aca="false">IF(ABS(t-T_para)&lt;pas/2,"Para","")</f>
        <v/>
      </c>
      <c r="AA988" s="456" t="str">
        <f aca="false">IF(ABS(t-T_satellite)&lt;pas/2,"Satellite","")</f>
        <v/>
      </c>
      <c r="AB988" s="444"/>
      <c r="AC988" s="452" t="e">
        <f aca="false">IF(ABS(t-ROUND(t,0))&lt;0.001,t,NA())</f>
        <v>#N/A</v>
      </c>
      <c r="AD988" s="457" t="e">
        <f aca="false">IF(ABS(t-ROUND(t,0))&lt;0.001,pos_x,NA())</f>
        <v>#N/A</v>
      </c>
      <c r="AE988" s="458" t="e">
        <f aca="false">IF(t&lt;T_para, pos_z, NA())</f>
        <v>#N/A</v>
      </c>
      <c r="AF988" s="444"/>
      <c r="AG988" s="450" t="n">
        <f aca="false">IF(AND(L987&lt;L_rampe,Poussee&lt;Poids*SIN(M987)),0,(-W987+Poussee)/m-Poids*SIN(M987)/m)</f>
        <v>3.69062607147334</v>
      </c>
      <c r="AH988" s="449" t="n">
        <f aca="false">IF(AND(L987&lt;L_rampe,Poussee&lt;Poids*SIN(M987)), g*SIN(M987), (-W987+Poussee)/m)</f>
        <v>-6.0274002433547</v>
      </c>
    </row>
    <row r="989" customFormat="false" ht="12" hidden="false" customHeight="false" outlineLevel="0" collapsed="false">
      <c r="A989" s="448" t="n">
        <f aca="false">IF(B988+0.01&lt;=T_ini+ROUNDUP(Temps_fin_propu,0), 0.01, IF(K988&gt;0, 0.1, 0.0001))</f>
        <v>0.0001</v>
      </c>
      <c r="B989" s="449" t="n">
        <f aca="false">B988+pas</f>
        <v>35.7268000000011</v>
      </c>
      <c r="C989" s="432"/>
      <c r="D989" s="450" t="n">
        <f aca="false">IF(AND(L988&lt;L_rampe,Poussee&lt;Poids*SIN(M988)),0,(-W988+Poussee)/m*COS(M988)-U988/m*SIN(M988))</f>
        <v>-0.823420840283876</v>
      </c>
      <c r="E989" s="451" t="n">
        <f aca="false">IF(AND(L988&lt;L_rampe,Poussee&lt;Poids*SIN(M988)),0,(-W988+Poussee)/m*SIN(M988)+U988/m*COS(M988)-Poids/m)</f>
        <v>-3.8390688128394</v>
      </c>
      <c r="F989" s="449" t="n">
        <f aca="false">SQRT(acc_x^2+acc_z^2)</f>
        <v>3.92638144223532</v>
      </c>
      <c r="G989" s="450" t="n">
        <f aca="false">G988+acc_x*pas</f>
        <v>18.8875917094753</v>
      </c>
      <c r="H989" s="451" t="n">
        <f aca="false">H988+acc_z*pas</f>
        <v>-136.961942966401</v>
      </c>
      <c r="I989" s="449" t="n">
        <f aca="false">SQRT(vit_x^2+vit_z^2)</f>
        <v>138.258146022994</v>
      </c>
      <c r="J989" s="450" t="n">
        <f aca="false">J988+0.5*(vit_x+G988)*pas*(K988&gt;=0)</f>
        <v>1017.12580762709</v>
      </c>
      <c r="K989" s="451" t="n">
        <f aca="false">K988+0.5*(vit_z+H988)*pas</f>
        <v>-16.085519870241</v>
      </c>
      <c r="L989" s="449" t="n">
        <f aca="false">SQRT(pos_x^2+pos_z^2)</f>
        <v>1017.25299335542</v>
      </c>
      <c r="M989" s="450" t="n">
        <f aca="false">IF(AND(L988&gt;L_rampe,G989&gt;0),ATAN2(G989,H989),$M$4)</f>
        <v>-1.43375674018269</v>
      </c>
      <c r="N989" s="449" t="n">
        <f aca="false">DEGREES(Beta)</f>
        <v>-82.1482100609031</v>
      </c>
      <c r="O989" s="438"/>
      <c r="P989" s="452" t="n">
        <f aca="false">MATCH(t-pas/2-T_ini,CdP_t)</f>
        <v>23</v>
      </c>
      <c r="Q989" s="449" t="n">
        <f aca="false">(INDEX(CdP,2,i_P+1)-INDEX(CdP,2,i_P+0))/(INDEX(CdP,1,i_P+1)-INDEX(CdP,1,i_P+0))*(t-pas/2-T_ini-INDEX(CdP,1,i_P+0))+INDEX(CdP,2,i_P+0)</f>
        <v>0</v>
      </c>
      <c r="R989" s="450" t="n">
        <f aca="false">Poussee/(g*ISP)</f>
        <v>0</v>
      </c>
      <c r="S989" s="451" t="n">
        <f aca="false">S988-Débit*pas</f>
        <v>8.652</v>
      </c>
      <c r="T989" s="449" t="n">
        <f aca="false">m*g</f>
        <v>84.87612</v>
      </c>
      <c r="U989" s="453" t="n">
        <f aca="false">IF(pos_xz&lt;L_rampe,Poids*COS(Beta),0)</f>
        <v>0</v>
      </c>
      <c r="V989" s="450" t="n">
        <f aca="false">Rho_moyen*(20000-Alt_rampe-pos_z)/(20000+Alt_rampe+pos_z)</f>
        <v>1.22697206226644</v>
      </c>
      <c r="W989" s="449" t="n">
        <f aca="false">1/2*Rho*Sref*Cx*vit_xz^2</f>
        <v>52.1497665785857</v>
      </c>
      <c r="X989" s="438"/>
      <c r="Y989" s="454" t="str">
        <f aca="false">IF(AND(pos_z&lt;=0,K988&gt;0),"Impact balistique","") &amp; IF(AND(H990&lt;0,vit_z&gt;=0),"Apogée","") &amp; IF(AND(Poussee=0,Q988&gt;0),"Fin de propulsion","") &amp; IF(AND(L990&gt;L_rampe,pos_xz&lt;=L_rampe),"Sortie de rampe","")</f>
        <v/>
      </c>
      <c r="Z989" s="455" t="str">
        <f aca="false">IF(ABS(t-T_para)&lt;pas/2,"Para","")</f>
        <v/>
      </c>
      <c r="AA989" s="456" t="str">
        <f aca="false">IF(ABS(t-T_satellite)&lt;pas/2,"Satellite","")</f>
        <v/>
      </c>
      <c r="AB989" s="444"/>
      <c r="AC989" s="452" t="e">
        <f aca="false">IF(ABS(t-ROUND(t,0))&lt;0.001,t,NA())</f>
        <v>#N/A</v>
      </c>
      <c r="AD989" s="457" t="e">
        <f aca="false">IF(ABS(t-ROUND(t,0))&lt;0.001,pos_x,NA())</f>
        <v>#N/A</v>
      </c>
      <c r="AE989" s="458" t="e">
        <f aca="false">IF(t&lt;T_para, pos_z, NA())</f>
        <v>#N/A</v>
      </c>
      <c r="AF989" s="444"/>
      <c r="AG989" s="450" t="n">
        <f aca="false">IF(AND(L988&lt;L_rampe,Poussee&lt;Poids*SIN(M988)),0,(-W988+Poussee)/m-Poids*SIN(M988)/m)</f>
        <v>3.69058693629012</v>
      </c>
      <c r="AH989" s="449" t="n">
        <f aca="false">IF(AND(L988&lt;L_rampe,Poussee&lt;Poids*SIN(M988)), g*SIN(M988), (-W988+Poussee)/m)</f>
        <v>-6.0274406776028</v>
      </c>
    </row>
    <row r="990" customFormat="false" ht="12" hidden="false" customHeight="false" outlineLevel="0" collapsed="false">
      <c r="A990" s="448" t="n">
        <f aca="false">IF(B989+0.01&lt;=T_ini+ROUNDUP(Temps_fin_propu,0), 0.01, IF(K989&gt;0, 0.1, 0.0001))</f>
        <v>0.0001</v>
      </c>
      <c r="B990" s="449" t="n">
        <f aca="false">B989+pas</f>
        <v>35.7269000000011</v>
      </c>
      <c r="C990" s="432"/>
      <c r="D990" s="450" t="n">
        <f aca="false">IF(AND(L989&lt;L_rampe,Poussee&lt;Poids*SIN(M989)),0,(-W989+Poussee)/m*COS(M989)-U989/m*SIN(M989))</f>
        <v>-0.823420576287587</v>
      </c>
      <c r="E990" s="451" t="n">
        <f aca="false">IF(AND(L989&lt;L_rampe,Poussee&lt;Poids*SIN(M989)),0,(-W989+Poussee)/m*SIN(M989)+U989/m*COS(M989)-Poids/m)</f>
        <v>-3.83902795964797</v>
      </c>
      <c r="F990" s="449" t="n">
        <f aca="false">SQRT(acc_x^2+acc_z^2)</f>
        <v>3.92634144215867</v>
      </c>
      <c r="G990" s="450" t="n">
        <f aca="false">G989+acc_x*pas</f>
        <v>18.8875093674176</v>
      </c>
      <c r="H990" s="451" t="n">
        <f aca="false">H989+acc_z*pas</f>
        <v>-136.962326869197</v>
      </c>
      <c r="I990" s="449" t="n">
        <f aca="false">SQRT(vit_x^2+vit_z^2)</f>
        <v>138.258515077839</v>
      </c>
      <c r="J990" s="450" t="n">
        <f aca="false">J989+0.5*(vit_x+G989)*pas*(K989&gt;=0)</f>
        <v>1017.12580762709</v>
      </c>
      <c r="K990" s="451" t="n">
        <f aca="false">K989+0.5*(vit_z+H989)*pas</f>
        <v>-16.0992160837328</v>
      </c>
      <c r="L990" s="449" t="n">
        <f aca="false">SQRT(pos_x^2+pos_z^2)</f>
        <v>1017.25321002176</v>
      </c>
      <c r="M990" s="450" t="n">
        <f aca="false">IF(AND(L989&gt;L_rampe,G990&gt;0),ATAN2(G990,H990),$M$4)</f>
        <v>-1.43375770949332</v>
      </c>
      <c r="N990" s="449" t="n">
        <f aca="false">DEGREES(Beta)</f>
        <v>-82.1482655983113</v>
      </c>
      <c r="O990" s="438"/>
      <c r="P990" s="452" t="n">
        <f aca="false">MATCH(t-pas/2-T_ini,CdP_t)</f>
        <v>23</v>
      </c>
      <c r="Q990" s="449" t="n">
        <f aca="false">(INDEX(CdP,2,i_P+1)-INDEX(CdP,2,i_P+0))/(INDEX(CdP,1,i_P+1)-INDEX(CdP,1,i_P+0))*(t-pas/2-T_ini-INDEX(CdP,1,i_P+0))+INDEX(CdP,2,i_P+0)</f>
        <v>0</v>
      </c>
      <c r="R990" s="450" t="n">
        <f aca="false">Poussee/(g*ISP)</f>
        <v>0</v>
      </c>
      <c r="S990" s="451" t="n">
        <f aca="false">S989-Débit*pas</f>
        <v>8.652</v>
      </c>
      <c r="T990" s="449" t="n">
        <f aca="false">m*g</f>
        <v>84.87612</v>
      </c>
      <c r="U990" s="453" t="n">
        <f aca="false">IF(pos_xz&lt;L_rampe,Poids*COS(Beta),0)</f>
        <v>0</v>
      </c>
      <c r="V990" s="450" t="n">
        <f aca="false">Rho_moyen*(20000-Alt_rampe-pos_z)/(20000+Alt_rampe+pos_z)</f>
        <v>1.22697374275581</v>
      </c>
      <c r="W990" s="449" t="n">
        <f aca="false">1/2*Rho*Sref*Cx*vit_xz^2</f>
        <v>52.1501164134036</v>
      </c>
      <c r="X990" s="438"/>
      <c r="Y990" s="454" t="str">
        <f aca="false">IF(AND(pos_z&lt;=0,K989&gt;0),"Impact balistique","") &amp; IF(AND(H991&lt;0,vit_z&gt;=0),"Apogée","") &amp; IF(AND(Poussee=0,Q989&gt;0),"Fin de propulsion","") &amp; IF(AND(L991&gt;L_rampe,pos_xz&lt;=L_rampe),"Sortie de rampe","")</f>
        <v/>
      </c>
      <c r="Z990" s="455" t="str">
        <f aca="false">IF(ABS(t-T_para)&lt;pas/2,"Para","")</f>
        <v/>
      </c>
      <c r="AA990" s="456" t="str">
        <f aca="false">IF(ABS(t-T_satellite)&lt;pas/2,"Satellite","")</f>
        <v/>
      </c>
      <c r="AB990" s="444"/>
      <c r="AC990" s="452" t="e">
        <f aca="false">IF(ABS(t-ROUND(t,0))&lt;0.001,t,NA())</f>
        <v>#N/A</v>
      </c>
      <c r="AD990" s="457" t="e">
        <f aca="false">IF(ABS(t-ROUND(t,0))&lt;0.001,pos_x,NA())</f>
        <v>#N/A</v>
      </c>
      <c r="AE990" s="458" t="e">
        <f aca="false">IF(t&lt;T_para, pos_z, NA())</f>
        <v>#N/A</v>
      </c>
      <c r="AF990" s="444"/>
      <c r="AG990" s="450" t="n">
        <f aca="false">IF(AND(L989&lt;L_rampe,Poussee&lt;Poids*SIN(M989)),0,(-W989+Poussee)/m-Poids*SIN(M989)/m)</f>
        <v>3.6905478012179</v>
      </c>
      <c r="AH990" s="449" t="n">
        <f aca="false">IF(AND(L989&lt;L_rampe,Poussee&lt;Poids*SIN(M989)), g*SIN(M989), (-W989+Poussee)/m)</f>
        <v>-6.02748111171818</v>
      </c>
    </row>
    <row r="991" customFormat="false" ht="12" hidden="false" customHeight="false" outlineLevel="0" collapsed="false">
      <c r="A991" s="448" t="n">
        <f aca="false">IF(B990+0.01&lt;=T_ini+ROUNDUP(Temps_fin_propu,0), 0.01, IF(K990&gt;0, 0.1, 0.0001))</f>
        <v>0.0001</v>
      </c>
      <c r="B991" s="449" t="n">
        <f aca="false">B990+pas</f>
        <v>35.7270000000011</v>
      </c>
      <c r="C991" s="432"/>
      <c r="D991" s="450" t="n">
        <f aca="false">IF(AND(L990&lt;L_rampe,Poussee&lt;Poids*SIN(M990)),0,(-W990+Poussee)/m*COS(M990)-U990/m*SIN(M990))</f>
        <v>-0.823420312250871</v>
      </c>
      <c r="E991" s="451" t="n">
        <f aca="false">IF(AND(L990&lt;L_rampe,Poussee&lt;Poids*SIN(M990)),0,(-W990+Poussee)/m*SIN(M990)+U990/m*COS(M990)-Poids/m)</f>
        <v>-3.83898710659067</v>
      </c>
      <c r="F991" s="449" t="n">
        <f aca="false">SQRT(acc_x^2+acc_z^2)</f>
        <v>3.92630144222228</v>
      </c>
      <c r="G991" s="450" t="n">
        <f aca="false">G990+acc_x*pas</f>
        <v>18.8874270253864</v>
      </c>
      <c r="H991" s="451" t="n">
        <f aca="false">H990+acc_z*pas</f>
        <v>-136.962710767908</v>
      </c>
      <c r="I991" s="449" t="n">
        <f aca="false">SQRT(vit_x^2+vit_z^2)</f>
        <v>138.258884128771</v>
      </c>
      <c r="J991" s="450" t="n">
        <f aca="false">J990+0.5*(vit_x+G990)*pas*(K990&gt;=0)</f>
        <v>1017.12580762709</v>
      </c>
      <c r="K991" s="451" t="n">
        <f aca="false">K990+0.5*(vit_z+H990)*pas</f>
        <v>-16.1129123356146</v>
      </c>
      <c r="L991" s="449" t="n">
        <f aca="false">SQRT(pos_x^2+pos_z^2)</f>
        <v>1017.25342687307</v>
      </c>
      <c r="M991" s="450" t="n">
        <f aca="false">IF(AND(L990&gt;L_rampe,G991&gt;0),ATAN2(G991,H991),$M$4)</f>
        <v>-1.43375867879455</v>
      </c>
      <c r="N991" s="449" t="n">
        <f aca="false">DEGREES(Beta)</f>
        <v>-82.148321135181</v>
      </c>
      <c r="O991" s="438"/>
      <c r="P991" s="452" t="n">
        <f aca="false">MATCH(t-pas/2-T_ini,CdP_t)</f>
        <v>23</v>
      </c>
      <c r="Q991" s="449" t="n">
        <f aca="false">(INDEX(CdP,2,i_P+1)-INDEX(CdP,2,i_P+0))/(INDEX(CdP,1,i_P+1)-INDEX(CdP,1,i_P+0))*(t-pas/2-T_ini-INDEX(CdP,1,i_P+0))+INDEX(CdP,2,i_P+0)</f>
        <v>0</v>
      </c>
      <c r="R991" s="450" t="n">
        <f aca="false">Poussee/(g*ISP)</f>
        <v>0</v>
      </c>
      <c r="S991" s="451" t="n">
        <f aca="false">S990-Débit*pas</f>
        <v>8.652</v>
      </c>
      <c r="T991" s="449" t="n">
        <f aca="false">m*g</f>
        <v>84.87612</v>
      </c>
      <c r="U991" s="453" t="n">
        <f aca="false">IF(pos_xz&lt;L_rampe,Poids*COS(Beta),0)</f>
        <v>0</v>
      </c>
      <c r="V991" s="450" t="n">
        <f aca="false">Rho_moyen*(20000-Alt_rampe-pos_z)/(20000+Alt_rampe+pos_z)</f>
        <v>1.2269754232522</v>
      </c>
      <c r="W991" s="449" t="n">
        <f aca="false">1/2*Rho*Sref*Cx*vit_xz^2</f>
        <v>52.1504662470731</v>
      </c>
      <c r="X991" s="438"/>
      <c r="Y991" s="454" t="str">
        <f aca="false">IF(AND(pos_z&lt;=0,K990&gt;0),"Impact balistique","") &amp; IF(AND(H992&lt;0,vit_z&gt;=0),"Apogée","") &amp; IF(AND(Poussee=0,Q990&gt;0),"Fin de propulsion","") &amp; IF(AND(L992&gt;L_rampe,pos_xz&lt;=L_rampe),"Sortie de rampe","")</f>
        <v/>
      </c>
      <c r="Z991" s="455" t="str">
        <f aca="false">IF(ABS(t-T_para)&lt;pas/2,"Para","")</f>
        <v/>
      </c>
      <c r="AA991" s="456" t="str">
        <f aca="false">IF(ABS(t-T_satellite)&lt;pas/2,"Satellite","")</f>
        <v/>
      </c>
      <c r="AB991" s="444"/>
      <c r="AC991" s="452" t="e">
        <f aca="false">IF(ABS(t-ROUND(t,0))&lt;0.001,t,NA())</f>
        <v>#N/A</v>
      </c>
      <c r="AD991" s="457" t="e">
        <f aca="false">IF(ABS(t-ROUND(t,0))&lt;0.001,pos_x,NA())</f>
        <v>#N/A</v>
      </c>
      <c r="AE991" s="458" t="e">
        <f aca="false">IF(t&lt;T_para, pos_z, NA())</f>
        <v>#N/A</v>
      </c>
      <c r="AF991" s="444"/>
      <c r="AG991" s="450" t="n">
        <f aca="false">IF(AND(L990&lt;L_rampe,Poussee&lt;Poids*SIN(M990)),0,(-W990+Poussee)/m-Poids*SIN(M990)/m)</f>
        <v>3.69050866625667</v>
      </c>
      <c r="AH991" s="449" t="n">
        <f aca="false">IF(AND(L990&lt;L_rampe,Poussee&lt;Poids*SIN(M990)), g*SIN(M990), (-W990+Poussee)/m)</f>
        <v>-6.02752154570084</v>
      </c>
    </row>
    <row r="992" customFormat="false" ht="12" hidden="false" customHeight="false" outlineLevel="0" collapsed="false">
      <c r="A992" s="448" t="n">
        <f aca="false">IF(B991+0.01&lt;=T_ini+ROUNDUP(Temps_fin_propu,0), 0.01, IF(K991&gt;0, 0.1, 0.0001))</f>
        <v>0.0001</v>
      </c>
      <c r="B992" s="449" t="n">
        <f aca="false">B991+pas</f>
        <v>35.7271000000011</v>
      </c>
      <c r="C992" s="432"/>
      <c r="D992" s="450" t="n">
        <f aca="false">IF(AND(L991&lt;L_rampe,Poussee&lt;Poids*SIN(M991)),0,(-W991+Poussee)/m*COS(M991)-U991/m*SIN(M991))</f>
        <v>-0.82342004817373</v>
      </c>
      <c r="E992" s="451" t="n">
        <f aca="false">IF(AND(L991&lt;L_rampe,Poussee&lt;Poids*SIN(M991)),0,(-W991+Poussee)/m*SIN(M991)+U991/m*COS(M991)-Poids/m)</f>
        <v>-3.8389462536675</v>
      </c>
      <c r="F992" s="449" t="n">
        <f aca="false">SQRT(acc_x^2+acc_z^2)</f>
        <v>3.92626144242614</v>
      </c>
      <c r="G992" s="450" t="n">
        <f aca="false">G991+acc_x*pas</f>
        <v>18.8873446833816</v>
      </c>
      <c r="H992" s="451" t="n">
        <f aca="false">H991+acc_z*pas</f>
        <v>-136.963094662533</v>
      </c>
      <c r="I992" s="449" t="n">
        <f aca="false">SQRT(vit_x^2+vit_z^2)</f>
        <v>138.259253175789</v>
      </c>
      <c r="J992" s="450" t="n">
        <f aca="false">J991+0.5*(vit_x+G991)*pas*(K991&gt;=0)</f>
        <v>1017.12580762709</v>
      </c>
      <c r="K992" s="451" t="n">
        <f aca="false">K991+0.5*(vit_z+H991)*pas</f>
        <v>-16.1266086258862</v>
      </c>
      <c r="L992" s="449" t="n">
        <f aca="false">SQRT(pos_x^2+pos_z^2)</f>
        <v>1017.25364390934</v>
      </c>
      <c r="M992" s="450" t="n">
        <f aca="false">IF(AND(L991&gt;L_rampe,G992&gt;0),ATAN2(G992,H992),$M$4)</f>
        <v>-1.43375964808639</v>
      </c>
      <c r="N992" s="449" t="n">
        <f aca="false">DEGREES(Beta)</f>
        <v>-82.148376671512</v>
      </c>
      <c r="O992" s="438"/>
      <c r="P992" s="452" t="n">
        <f aca="false">MATCH(t-pas/2-T_ini,CdP_t)</f>
        <v>23</v>
      </c>
      <c r="Q992" s="449" t="n">
        <f aca="false">(INDEX(CdP,2,i_P+1)-INDEX(CdP,2,i_P+0))/(INDEX(CdP,1,i_P+1)-INDEX(CdP,1,i_P+0))*(t-pas/2-T_ini-INDEX(CdP,1,i_P+0))+INDEX(CdP,2,i_P+0)</f>
        <v>0</v>
      </c>
      <c r="R992" s="450" t="n">
        <f aca="false">Poussee/(g*ISP)</f>
        <v>0</v>
      </c>
      <c r="S992" s="451" t="n">
        <f aca="false">S991-Débit*pas</f>
        <v>8.652</v>
      </c>
      <c r="T992" s="449" t="n">
        <f aca="false">m*g</f>
        <v>84.87612</v>
      </c>
      <c r="U992" s="453" t="n">
        <f aca="false">IF(pos_xz&lt;L_rampe,Poids*COS(Beta),0)</f>
        <v>0</v>
      </c>
      <c r="V992" s="450" t="n">
        <f aca="false">Rho_moyen*(20000-Alt_rampe-pos_z)/(20000+Alt_rampe+pos_z)</f>
        <v>1.2269771037556</v>
      </c>
      <c r="W992" s="449" t="n">
        <f aca="false">1/2*Rho*Sref*Cx*vit_xz^2</f>
        <v>52.1508160795942</v>
      </c>
      <c r="X992" s="438"/>
      <c r="Y992" s="454" t="str">
        <f aca="false">IF(AND(pos_z&lt;=0,K991&gt;0),"Impact balistique","") &amp; IF(AND(H993&lt;0,vit_z&gt;=0),"Apogée","") &amp; IF(AND(Poussee=0,Q991&gt;0),"Fin de propulsion","") &amp; IF(AND(L993&gt;L_rampe,pos_xz&lt;=L_rampe),"Sortie de rampe","")</f>
        <v/>
      </c>
      <c r="Z992" s="455" t="str">
        <f aca="false">IF(ABS(t-T_para)&lt;pas/2,"Para","")</f>
        <v/>
      </c>
      <c r="AA992" s="456" t="str">
        <f aca="false">IF(ABS(t-T_satellite)&lt;pas/2,"Satellite","")</f>
        <v/>
      </c>
      <c r="AB992" s="444"/>
      <c r="AC992" s="452" t="e">
        <f aca="false">IF(ABS(t-ROUND(t,0))&lt;0.001,t,NA())</f>
        <v>#N/A</v>
      </c>
      <c r="AD992" s="457" t="e">
        <f aca="false">IF(ABS(t-ROUND(t,0))&lt;0.001,pos_x,NA())</f>
        <v>#N/A</v>
      </c>
      <c r="AE992" s="458" t="e">
        <f aca="false">IF(t&lt;T_para, pos_z, NA())</f>
        <v>#N/A</v>
      </c>
      <c r="AF992" s="444"/>
      <c r="AG992" s="450" t="n">
        <f aca="false">IF(AND(L991&lt;L_rampe,Poussee&lt;Poids*SIN(M991)),0,(-W991+Poussee)/m-Poids*SIN(M991)/m)</f>
        <v>3.69046953140645</v>
      </c>
      <c r="AH992" s="449" t="n">
        <f aca="false">IF(AND(L991&lt;L_rampe,Poussee&lt;Poids*SIN(M991)), g*SIN(M991), (-W991+Poussee)/m)</f>
        <v>-6.02756197955075</v>
      </c>
    </row>
    <row r="993" customFormat="false" ht="12" hidden="false" customHeight="false" outlineLevel="0" collapsed="false">
      <c r="A993" s="448" t="n">
        <f aca="false">IF(B992+0.01&lt;=T_ini+ROUNDUP(Temps_fin_propu,0), 0.01, IF(K992&gt;0, 0.1, 0.0001))</f>
        <v>0.0001</v>
      </c>
      <c r="B993" s="449" t="n">
        <f aca="false">B992+pas</f>
        <v>35.7272000000011</v>
      </c>
      <c r="C993" s="432"/>
      <c r="D993" s="450" t="n">
        <f aca="false">IF(AND(L992&lt;L_rampe,Poussee&lt;Poids*SIN(M992)),0,(-W992+Poussee)/m*COS(M992)-U992/m*SIN(M992))</f>
        <v>-0.823419784056162</v>
      </c>
      <c r="E993" s="451" t="n">
        <f aca="false">IF(AND(L992&lt;L_rampe,Poussee&lt;Poids*SIN(M992)),0,(-W992+Poussee)/m*SIN(M992)+U992/m*COS(M992)-Poids/m)</f>
        <v>-3.83890540087846</v>
      </c>
      <c r="F993" s="449" t="n">
        <f aca="false">SQRT(acc_x^2+acc_z^2)</f>
        <v>3.92622144277025</v>
      </c>
      <c r="G993" s="450" t="n">
        <f aca="false">G992+acc_x*pas</f>
        <v>18.8872623414032</v>
      </c>
      <c r="H993" s="451" t="n">
        <f aca="false">H992+acc_z*pas</f>
        <v>-136.963478553073</v>
      </c>
      <c r="I993" s="449" t="n">
        <f aca="false">SQRT(vit_x^2+vit_z^2)</f>
        <v>138.259622218893</v>
      </c>
      <c r="J993" s="450" t="n">
        <f aca="false">J992+0.5*(vit_x+G992)*pas*(K992&gt;=0)</f>
        <v>1017.12580762709</v>
      </c>
      <c r="K993" s="451" t="n">
        <f aca="false">K992+0.5*(vit_z+H992)*pas</f>
        <v>-16.1403049545469</v>
      </c>
      <c r="L993" s="449" t="n">
        <f aca="false">SQRT(pos_x^2+pos_z^2)</f>
        <v>1017.25386113059</v>
      </c>
      <c r="M993" s="450" t="n">
        <f aca="false">IF(AND(L992&gt;L_rampe,G993&gt;0),ATAN2(G993,H993),$M$4)</f>
        <v>-1.43376061736882</v>
      </c>
      <c r="N993" s="449" t="n">
        <f aca="false">DEGREES(Beta)</f>
        <v>-82.1484322073045</v>
      </c>
      <c r="O993" s="438"/>
      <c r="P993" s="452" t="n">
        <f aca="false">MATCH(t-pas/2-T_ini,CdP_t)</f>
        <v>23</v>
      </c>
      <c r="Q993" s="449" t="n">
        <f aca="false">(INDEX(CdP,2,i_P+1)-INDEX(CdP,2,i_P+0))/(INDEX(CdP,1,i_P+1)-INDEX(CdP,1,i_P+0))*(t-pas/2-T_ini-INDEX(CdP,1,i_P+0))+INDEX(CdP,2,i_P+0)</f>
        <v>0</v>
      </c>
      <c r="R993" s="450" t="n">
        <f aca="false">Poussee/(g*ISP)</f>
        <v>0</v>
      </c>
      <c r="S993" s="451" t="n">
        <f aca="false">S992-Débit*pas</f>
        <v>8.652</v>
      </c>
      <c r="T993" s="449" t="n">
        <f aca="false">m*g</f>
        <v>84.87612</v>
      </c>
      <c r="U993" s="453" t="n">
        <f aca="false">IF(pos_xz&lt;L_rampe,Poids*COS(Beta),0)</f>
        <v>0</v>
      </c>
      <c r="V993" s="450" t="n">
        <f aca="false">Rho_moyen*(20000-Alt_rampe-pos_z)/(20000+Alt_rampe+pos_z)</f>
        <v>1.22697878426601</v>
      </c>
      <c r="W993" s="449" t="n">
        <f aca="false">1/2*Rho*Sref*Cx*vit_xz^2</f>
        <v>52.1511659109669</v>
      </c>
      <c r="X993" s="438"/>
      <c r="Y993" s="454" t="str">
        <f aca="false">IF(AND(pos_z&lt;=0,K992&gt;0),"Impact balistique","") &amp; IF(AND(H994&lt;0,vit_z&gt;=0),"Apogée","") &amp; IF(AND(Poussee=0,Q992&gt;0),"Fin de propulsion","") &amp; IF(AND(L994&gt;L_rampe,pos_xz&lt;=L_rampe),"Sortie de rampe","")</f>
        <v/>
      </c>
      <c r="Z993" s="455" t="str">
        <f aca="false">IF(ABS(t-T_para)&lt;pas/2,"Para","")</f>
        <v/>
      </c>
      <c r="AA993" s="456" t="str">
        <f aca="false">IF(ABS(t-T_satellite)&lt;pas/2,"Satellite","")</f>
        <v/>
      </c>
      <c r="AB993" s="444"/>
      <c r="AC993" s="452" t="e">
        <f aca="false">IF(ABS(t-ROUND(t,0))&lt;0.001,t,NA())</f>
        <v>#N/A</v>
      </c>
      <c r="AD993" s="457" t="e">
        <f aca="false">IF(ABS(t-ROUND(t,0))&lt;0.001,pos_x,NA())</f>
        <v>#N/A</v>
      </c>
      <c r="AE993" s="458" t="e">
        <f aca="false">IF(t&lt;T_para, pos_z, NA())</f>
        <v>#N/A</v>
      </c>
      <c r="AF993" s="444"/>
      <c r="AG993" s="450" t="n">
        <f aca="false">IF(AND(L992&lt;L_rampe,Poussee&lt;Poids*SIN(M992)),0,(-W992+Poussee)/m-Poids*SIN(M992)/m)</f>
        <v>3.69043039666724</v>
      </c>
      <c r="AH993" s="449" t="n">
        <f aca="false">IF(AND(L992&lt;L_rampe,Poussee&lt;Poids*SIN(M992)), g*SIN(M992), (-W992+Poussee)/m)</f>
        <v>-6.02760241326794</v>
      </c>
    </row>
    <row r="994" customFormat="false" ht="12" hidden="false" customHeight="false" outlineLevel="0" collapsed="false">
      <c r="A994" s="448" t="n">
        <f aca="false">IF(B993+0.01&lt;=T_ini+ROUNDUP(Temps_fin_propu,0), 0.01, IF(K993&gt;0, 0.1, 0.0001))</f>
        <v>0.0001</v>
      </c>
      <c r="B994" s="449" t="n">
        <f aca="false">B993+pas</f>
        <v>35.7273000000011</v>
      </c>
      <c r="C994" s="432"/>
      <c r="D994" s="450" t="n">
        <f aca="false">IF(AND(L993&lt;L_rampe,Poussee&lt;Poids*SIN(M993)),0,(-W993+Poussee)/m*COS(M993)-U993/m*SIN(M993))</f>
        <v>-0.82341951989817</v>
      </c>
      <c r="E994" s="451" t="n">
        <f aca="false">IF(AND(L993&lt;L_rampe,Poussee&lt;Poids*SIN(M993)),0,(-W993+Poussee)/m*SIN(M993)+U993/m*COS(M993)-Poids/m)</f>
        <v>-3.83886454822356</v>
      </c>
      <c r="F994" s="449" t="n">
        <f aca="false">SQRT(acc_x^2+acc_z^2)</f>
        <v>3.92618144325463</v>
      </c>
      <c r="G994" s="450" t="n">
        <f aca="false">G993+acc_x*pas</f>
        <v>18.8871799994512</v>
      </c>
      <c r="H994" s="451" t="n">
        <f aca="false">H993+acc_z*pas</f>
        <v>-136.963862439528</v>
      </c>
      <c r="I994" s="449" t="n">
        <f aca="false">SQRT(vit_x^2+vit_z^2)</f>
        <v>138.259991258084</v>
      </c>
      <c r="J994" s="450" t="n">
        <f aca="false">J993+0.5*(vit_x+G993)*pas*(K993&gt;=0)</f>
        <v>1017.12580762709</v>
      </c>
      <c r="K994" s="451" t="n">
        <f aca="false">K993+0.5*(vit_z+H993)*pas</f>
        <v>-16.1540013215966</v>
      </c>
      <c r="L994" s="449" t="n">
        <f aca="false">SQRT(pos_x^2+pos_z^2)</f>
        <v>1017.2540785368</v>
      </c>
      <c r="M994" s="450" t="n">
        <f aca="false">IF(AND(L993&gt;L_rampe,G994&gt;0),ATAN2(G994,H994),$M$4)</f>
        <v>-1.43376158664185</v>
      </c>
      <c r="N994" s="449" t="n">
        <f aca="false">DEGREES(Beta)</f>
        <v>-82.1484877425583</v>
      </c>
      <c r="O994" s="438"/>
      <c r="P994" s="452" t="n">
        <f aca="false">MATCH(t-pas/2-T_ini,CdP_t)</f>
        <v>23</v>
      </c>
      <c r="Q994" s="449" t="n">
        <f aca="false">(INDEX(CdP,2,i_P+1)-INDEX(CdP,2,i_P+0))/(INDEX(CdP,1,i_P+1)-INDEX(CdP,1,i_P+0))*(t-pas/2-T_ini-INDEX(CdP,1,i_P+0))+INDEX(CdP,2,i_P+0)</f>
        <v>0</v>
      </c>
      <c r="R994" s="450" t="n">
        <f aca="false">Poussee/(g*ISP)</f>
        <v>0</v>
      </c>
      <c r="S994" s="451" t="n">
        <f aca="false">S993-Débit*pas</f>
        <v>8.652</v>
      </c>
      <c r="T994" s="449" t="n">
        <f aca="false">m*g</f>
        <v>84.87612</v>
      </c>
      <c r="U994" s="453" t="n">
        <f aca="false">IF(pos_xz&lt;L_rampe,Poids*COS(Beta),0)</f>
        <v>0</v>
      </c>
      <c r="V994" s="450" t="n">
        <f aca="false">Rho_moyen*(20000-Alt_rampe-pos_z)/(20000+Alt_rampe+pos_z)</f>
        <v>1.22698046478343</v>
      </c>
      <c r="W994" s="449" t="n">
        <f aca="false">1/2*Rho*Sref*Cx*vit_xz^2</f>
        <v>52.1515157411911</v>
      </c>
      <c r="X994" s="438"/>
      <c r="Y994" s="454" t="str">
        <f aca="false">IF(AND(pos_z&lt;=0,K993&gt;0),"Impact balistique","") &amp; IF(AND(H995&lt;0,vit_z&gt;=0),"Apogée","") &amp; IF(AND(Poussee=0,Q993&gt;0),"Fin de propulsion","") &amp; IF(AND(L995&gt;L_rampe,pos_xz&lt;=L_rampe),"Sortie de rampe","")</f>
        <v/>
      </c>
      <c r="Z994" s="455" t="str">
        <f aca="false">IF(ABS(t-T_para)&lt;pas/2,"Para","")</f>
        <v/>
      </c>
      <c r="AA994" s="456" t="str">
        <f aca="false">IF(ABS(t-T_satellite)&lt;pas/2,"Satellite","")</f>
        <v/>
      </c>
      <c r="AB994" s="444"/>
      <c r="AC994" s="452" t="e">
        <f aca="false">IF(ABS(t-ROUND(t,0))&lt;0.001,t,NA())</f>
        <v>#N/A</v>
      </c>
      <c r="AD994" s="457" t="e">
        <f aca="false">IF(ABS(t-ROUND(t,0))&lt;0.001,pos_x,NA())</f>
        <v>#N/A</v>
      </c>
      <c r="AE994" s="458" t="e">
        <f aca="false">IF(t&lt;T_para, pos_z, NA())</f>
        <v>#N/A</v>
      </c>
      <c r="AF994" s="444"/>
      <c r="AG994" s="450" t="n">
        <f aca="false">IF(AND(L993&lt;L_rampe,Poussee&lt;Poids*SIN(M993)),0,(-W993+Poussee)/m-Poids*SIN(M993)/m)</f>
        <v>3.69039126203903</v>
      </c>
      <c r="AH994" s="449" t="n">
        <f aca="false">IF(AND(L993&lt;L_rampe,Poussee&lt;Poids*SIN(M993)), g*SIN(M993), (-W993+Poussee)/m)</f>
        <v>-6.02764284685239</v>
      </c>
    </row>
    <row r="995" customFormat="false" ht="12" hidden="false" customHeight="false" outlineLevel="0" collapsed="false">
      <c r="A995" s="448" t="n">
        <f aca="false">IF(B994+0.01&lt;=T_ini+ROUNDUP(Temps_fin_propu,0), 0.01, IF(K994&gt;0, 0.1, 0.0001))</f>
        <v>0.0001</v>
      </c>
      <c r="B995" s="449" t="n">
        <f aca="false">B994+pas</f>
        <v>35.7274000000011</v>
      </c>
      <c r="C995" s="432"/>
      <c r="D995" s="450" t="n">
        <f aca="false">IF(AND(L994&lt;L_rampe,Poussee&lt;Poids*SIN(M994)),0,(-W994+Poussee)/m*COS(M994)-U994/m*SIN(M994))</f>
        <v>-0.823419255699751</v>
      </c>
      <c r="E995" s="451" t="n">
        <f aca="false">IF(AND(L994&lt;L_rampe,Poussee&lt;Poids*SIN(M994)),0,(-W994+Poussee)/m*SIN(M994)+U994/m*COS(M994)-Poids/m)</f>
        <v>-3.83882369570279</v>
      </c>
      <c r="F995" s="449" t="n">
        <f aca="false">SQRT(acc_x^2+acc_z^2)</f>
        <v>3.92614144387927</v>
      </c>
      <c r="G995" s="450" t="n">
        <f aca="false">G994+acc_x*pas</f>
        <v>18.8870976575256</v>
      </c>
      <c r="H995" s="451" t="n">
        <f aca="false">H994+acc_z*pas</f>
        <v>-136.964246321897</v>
      </c>
      <c r="I995" s="449" t="n">
        <f aca="false">SQRT(vit_x^2+vit_z^2)</f>
        <v>138.260360293362</v>
      </c>
      <c r="J995" s="450" t="n">
        <f aca="false">J994+0.5*(vit_x+G994)*pas*(K994&gt;=0)</f>
        <v>1017.12580762709</v>
      </c>
      <c r="K995" s="451" t="n">
        <f aca="false">K994+0.5*(vit_z+H994)*pas</f>
        <v>-16.1676977270346</v>
      </c>
      <c r="L995" s="449" t="n">
        <f aca="false">SQRT(pos_x^2+pos_z^2)</f>
        <v>1017.25429612799</v>
      </c>
      <c r="M995" s="450" t="n">
        <f aca="false">IF(AND(L994&gt;L_rampe,G995&gt;0),ATAN2(G995,H995),$M$4)</f>
        <v>-1.43376255590548</v>
      </c>
      <c r="N995" s="449" t="n">
        <f aca="false">DEGREES(Beta)</f>
        <v>-82.1485432772736</v>
      </c>
      <c r="O995" s="438"/>
      <c r="P995" s="452" t="n">
        <f aca="false">MATCH(t-pas/2-T_ini,CdP_t)</f>
        <v>23</v>
      </c>
      <c r="Q995" s="449" t="n">
        <f aca="false">(INDEX(CdP,2,i_P+1)-INDEX(CdP,2,i_P+0))/(INDEX(CdP,1,i_P+1)-INDEX(CdP,1,i_P+0))*(t-pas/2-T_ini-INDEX(CdP,1,i_P+0))+INDEX(CdP,2,i_P+0)</f>
        <v>0</v>
      </c>
      <c r="R995" s="450" t="n">
        <f aca="false">Poussee/(g*ISP)</f>
        <v>0</v>
      </c>
      <c r="S995" s="451" t="n">
        <f aca="false">S994-Débit*pas</f>
        <v>8.652</v>
      </c>
      <c r="T995" s="449" t="n">
        <f aca="false">m*g</f>
        <v>84.87612</v>
      </c>
      <c r="U995" s="453" t="n">
        <f aca="false">IF(pos_xz&lt;L_rampe,Poids*COS(Beta),0)</f>
        <v>0</v>
      </c>
      <c r="V995" s="450" t="n">
        <f aca="false">Rho_moyen*(20000-Alt_rampe-pos_z)/(20000+Alt_rampe+pos_z)</f>
        <v>1.22698214530787</v>
      </c>
      <c r="W995" s="449" t="n">
        <f aca="false">1/2*Rho*Sref*Cx*vit_xz^2</f>
        <v>52.1518655702668</v>
      </c>
      <c r="X995" s="438"/>
      <c r="Y995" s="454" t="str">
        <f aca="false">IF(AND(pos_z&lt;=0,K994&gt;0),"Impact balistique","") &amp; IF(AND(H996&lt;0,vit_z&gt;=0),"Apogée","") &amp; IF(AND(Poussee=0,Q994&gt;0),"Fin de propulsion","") &amp; IF(AND(L996&gt;L_rampe,pos_xz&lt;=L_rampe),"Sortie de rampe","")</f>
        <v/>
      </c>
      <c r="Z995" s="455" t="str">
        <f aca="false">IF(ABS(t-T_para)&lt;pas/2,"Para","")</f>
        <v/>
      </c>
      <c r="AA995" s="456" t="str">
        <f aca="false">IF(ABS(t-T_satellite)&lt;pas/2,"Satellite","")</f>
        <v/>
      </c>
      <c r="AB995" s="444"/>
      <c r="AC995" s="452" t="e">
        <f aca="false">IF(ABS(t-ROUND(t,0))&lt;0.001,t,NA())</f>
        <v>#N/A</v>
      </c>
      <c r="AD995" s="457" t="e">
        <f aca="false">IF(ABS(t-ROUND(t,0))&lt;0.001,pos_x,NA())</f>
        <v>#N/A</v>
      </c>
      <c r="AE995" s="458" t="e">
        <f aca="false">IF(t&lt;T_para, pos_z, NA())</f>
        <v>#N/A</v>
      </c>
      <c r="AF995" s="444"/>
      <c r="AG995" s="450" t="n">
        <f aca="false">IF(AND(L994&lt;L_rampe,Poussee&lt;Poids*SIN(M994)),0,(-W994+Poussee)/m-Poids*SIN(M994)/m)</f>
        <v>3.69035212752183</v>
      </c>
      <c r="AH995" s="449" t="n">
        <f aca="false">IF(AND(L994&lt;L_rampe,Poussee&lt;Poids*SIN(M994)), g*SIN(M994), (-W994+Poussee)/m)</f>
        <v>-6.0276832803041</v>
      </c>
    </row>
    <row r="996" customFormat="false" ht="12" hidden="false" customHeight="false" outlineLevel="0" collapsed="false">
      <c r="A996" s="448" t="n">
        <f aca="false">IF(B995+0.01&lt;=T_ini+ROUNDUP(Temps_fin_propu,0), 0.01, IF(K995&gt;0, 0.1, 0.0001))</f>
        <v>0.0001</v>
      </c>
      <c r="B996" s="449" t="n">
        <f aca="false">B995+pas</f>
        <v>35.7275000000011</v>
      </c>
      <c r="C996" s="432"/>
      <c r="D996" s="450" t="n">
        <f aca="false">IF(AND(L995&lt;L_rampe,Poussee&lt;Poids*SIN(M995)),0,(-W995+Poussee)/m*COS(M995)-U995/m*SIN(M995))</f>
        <v>-0.823418991460907</v>
      </c>
      <c r="E996" s="451" t="n">
        <f aca="false">IF(AND(L995&lt;L_rampe,Poussee&lt;Poids*SIN(M995)),0,(-W995+Poussee)/m*SIN(M995)+U995/m*COS(M995)-Poids/m)</f>
        <v>-3.83878284331616</v>
      </c>
      <c r="F996" s="449" t="n">
        <f aca="false">SQRT(acc_x^2+acc_z^2)</f>
        <v>3.92610144464417</v>
      </c>
      <c r="G996" s="450" t="n">
        <f aca="false">G995+acc_x*pas</f>
        <v>18.8870153156265</v>
      </c>
      <c r="H996" s="451" t="n">
        <f aca="false">H995+acc_z*pas</f>
        <v>-136.964630200182</v>
      </c>
      <c r="I996" s="449" t="n">
        <f aca="false">SQRT(vit_x^2+vit_z^2)</f>
        <v>138.260729324726</v>
      </c>
      <c r="J996" s="450" t="n">
        <f aca="false">J995+0.5*(vit_x+G995)*pas*(K995&gt;=0)</f>
        <v>1017.12580762709</v>
      </c>
      <c r="K996" s="451" t="n">
        <f aca="false">K995+0.5*(vit_z+H995)*pas</f>
        <v>-16.1813941708607</v>
      </c>
      <c r="L996" s="449" t="n">
        <f aca="false">SQRT(pos_x^2+pos_z^2)</f>
        <v>1017.25451390415</v>
      </c>
      <c r="M996" s="450" t="n">
        <f aca="false">IF(AND(L995&gt;L_rampe,G996&gt;0),ATAN2(G996,H996),$M$4)</f>
        <v>-1.43376352515971</v>
      </c>
      <c r="N996" s="449" t="n">
        <f aca="false">DEGREES(Beta)</f>
        <v>-82.1485988114503</v>
      </c>
      <c r="O996" s="438"/>
      <c r="P996" s="452" t="n">
        <f aca="false">MATCH(t-pas/2-T_ini,CdP_t)</f>
        <v>23</v>
      </c>
      <c r="Q996" s="449" t="n">
        <f aca="false">(INDEX(CdP,2,i_P+1)-INDEX(CdP,2,i_P+0))/(INDEX(CdP,1,i_P+1)-INDEX(CdP,1,i_P+0))*(t-pas/2-T_ini-INDEX(CdP,1,i_P+0))+INDEX(CdP,2,i_P+0)</f>
        <v>0</v>
      </c>
      <c r="R996" s="450" t="n">
        <f aca="false">Poussee/(g*ISP)</f>
        <v>0</v>
      </c>
      <c r="S996" s="451" t="n">
        <f aca="false">S995-Débit*pas</f>
        <v>8.652</v>
      </c>
      <c r="T996" s="449" t="n">
        <f aca="false">m*g</f>
        <v>84.87612</v>
      </c>
      <c r="U996" s="453" t="n">
        <f aca="false">IF(pos_xz&lt;L_rampe,Poids*COS(Beta),0)</f>
        <v>0</v>
      </c>
      <c r="V996" s="450" t="n">
        <f aca="false">Rho_moyen*(20000-Alt_rampe-pos_z)/(20000+Alt_rampe+pos_z)</f>
        <v>1.22698382583932</v>
      </c>
      <c r="W996" s="449" t="n">
        <f aca="false">1/2*Rho*Sref*Cx*vit_xz^2</f>
        <v>52.1522153981941</v>
      </c>
      <c r="X996" s="438"/>
      <c r="Y996" s="454" t="str">
        <f aca="false">IF(AND(pos_z&lt;=0,K995&gt;0),"Impact balistique","") &amp; IF(AND(H997&lt;0,vit_z&gt;=0),"Apogée","") &amp; IF(AND(Poussee=0,Q995&gt;0),"Fin de propulsion","") &amp; IF(AND(L997&gt;L_rampe,pos_xz&lt;=L_rampe),"Sortie de rampe","")</f>
        <v/>
      </c>
      <c r="Z996" s="455" t="str">
        <f aca="false">IF(ABS(t-T_para)&lt;pas/2,"Para","")</f>
        <v/>
      </c>
      <c r="AA996" s="456" t="str">
        <f aca="false">IF(ABS(t-T_satellite)&lt;pas/2,"Satellite","")</f>
        <v/>
      </c>
      <c r="AB996" s="444"/>
      <c r="AC996" s="452" t="e">
        <f aca="false">IF(ABS(t-ROUND(t,0))&lt;0.001,t,NA())</f>
        <v>#N/A</v>
      </c>
      <c r="AD996" s="457" t="e">
        <f aca="false">IF(ABS(t-ROUND(t,0))&lt;0.001,pos_x,NA())</f>
        <v>#N/A</v>
      </c>
      <c r="AE996" s="458" t="e">
        <f aca="false">IF(t&lt;T_para, pos_z, NA())</f>
        <v>#N/A</v>
      </c>
      <c r="AF996" s="444"/>
      <c r="AG996" s="450" t="n">
        <f aca="false">IF(AND(L995&lt;L_rampe,Poussee&lt;Poids*SIN(M995)),0,(-W995+Poussee)/m-Poids*SIN(M995)/m)</f>
        <v>3.69031299311565</v>
      </c>
      <c r="AH996" s="449" t="n">
        <f aca="false">IF(AND(L995&lt;L_rampe,Poussee&lt;Poids*SIN(M995)), g*SIN(M995), (-W995+Poussee)/m)</f>
        <v>-6.02772371362307</v>
      </c>
    </row>
    <row r="997" customFormat="false" ht="12" hidden="false" customHeight="false" outlineLevel="0" collapsed="false">
      <c r="A997" s="448" t="n">
        <f aca="false">IF(B996+0.01&lt;=T_ini+ROUNDUP(Temps_fin_propu,0), 0.01, IF(K996&gt;0, 0.1, 0.0001))</f>
        <v>0.0001</v>
      </c>
      <c r="B997" s="449" t="n">
        <f aca="false">B996+pas</f>
        <v>35.7276000000011</v>
      </c>
      <c r="C997" s="432"/>
      <c r="D997" s="450" t="n">
        <f aca="false">IF(AND(L996&lt;L_rampe,Poussee&lt;Poids*SIN(M996)),0,(-W996+Poussee)/m*COS(M996)-U996/m*SIN(M996))</f>
        <v>-0.82341872718164</v>
      </c>
      <c r="E997" s="451" t="n">
        <f aca="false">IF(AND(L996&lt;L_rampe,Poussee&lt;Poids*SIN(M996)),0,(-W996+Poussee)/m*SIN(M996)+U996/m*COS(M996)-Poids/m)</f>
        <v>-3.83874199106368</v>
      </c>
      <c r="F997" s="449" t="n">
        <f aca="false">SQRT(acc_x^2+acc_z^2)</f>
        <v>3.92606144554934</v>
      </c>
      <c r="G997" s="450" t="n">
        <f aca="false">G996+acc_x*pas</f>
        <v>18.8869329737538</v>
      </c>
      <c r="H997" s="451" t="n">
        <f aca="false">H996+acc_z*pas</f>
        <v>-136.965014074381</v>
      </c>
      <c r="I997" s="449" t="n">
        <f aca="false">SQRT(vit_x^2+vit_z^2)</f>
        <v>138.261098352177</v>
      </c>
      <c r="J997" s="450" t="n">
        <f aca="false">J996+0.5*(vit_x+G996)*pas*(K996&gt;=0)</f>
        <v>1017.12580762709</v>
      </c>
      <c r="K997" s="451" t="n">
        <f aca="false">K996+0.5*(vit_z+H996)*pas</f>
        <v>-16.1950906530745</v>
      </c>
      <c r="L997" s="449" t="n">
        <f aca="false">SQRT(pos_x^2+pos_z^2)</f>
        <v>1017.25473186529</v>
      </c>
      <c r="M997" s="450" t="n">
        <f aca="false">IF(AND(L996&gt;L_rampe,G997&gt;0),ATAN2(G997,H997),$M$4)</f>
        <v>-1.43376449440454</v>
      </c>
      <c r="N997" s="449" t="n">
        <f aca="false">DEGREES(Beta)</f>
        <v>-82.1486543450885</v>
      </c>
      <c r="O997" s="438"/>
      <c r="P997" s="452" t="n">
        <f aca="false">MATCH(t-pas/2-T_ini,CdP_t)</f>
        <v>23</v>
      </c>
      <c r="Q997" s="449" t="n">
        <f aca="false">(INDEX(CdP,2,i_P+1)-INDEX(CdP,2,i_P+0))/(INDEX(CdP,1,i_P+1)-INDEX(CdP,1,i_P+0))*(t-pas/2-T_ini-INDEX(CdP,1,i_P+0))+INDEX(CdP,2,i_P+0)</f>
        <v>0</v>
      </c>
      <c r="R997" s="450" t="n">
        <f aca="false">Poussee/(g*ISP)</f>
        <v>0</v>
      </c>
      <c r="S997" s="451" t="n">
        <f aca="false">S996-Débit*pas</f>
        <v>8.652</v>
      </c>
      <c r="T997" s="449" t="n">
        <f aca="false">m*g</f>
        <v>84.87612</v>
      </c>
      <c r="U997" s="453" t="n">
        <f aca="false">IF(pos_xz&lt;L_rampe,Poids*COS(Beta),0)</f>
        <v>0</v>
      </c>
      <c r="V997" s="450" t="n">
        <f aca="false">Rho_moyen*(20000-Alt_rampe-pos_z)/(20000+Alt_rampe+pos_z)</f>
        <v>1.22698550637779</v>
      </c>
      <c r="W997" s="449" t="n">
        <f aca="false">1/2*Rho*Sref*Cx*vit_xz^2</f>
        <v>52.1525652249728</v>
      </c>
      <c r="X997" s="438"/>
      <c r="Y997" s="454" t="str">
        <f aca="false">IF(AND(pos_z&lt;=0,K996&gt;0),"Impact balistique","") &amp; IF(AND(H998&lt;0,vit_z&gt;=0),"Apogée","") &amp; IF(AND(Poussee=0,Q996&gt;0),"Fin de propulsion","") &amp; IF(AND(L998&gt;L_rampe,pos_xz&lt;=L_rampe),"Sortie de rampe","")</f>
        <v/>
      </c>
      <c r="Z997" s="455" t="str">
        <f aca="false">IF(ABS(t-T_para)&lt;pas/2,"Para","")</f>
        <v/>
      </c>
      <c r="AA997" s="456" t="str">
        <f aca="false">IF(ABS(t-T_satellite)&lt;pas/2,"Satellite","")</f>
        <v/>
      </c>
      <c r="AB997" s="444"/>
      <c r="AC997" s="452" t="e">
        <f aca="false">IF(ABS(t-ROUND(t,0))&lt;0.001,t,NA())</f>
        <v>#N/A</v>
      </c>
      <c r="AD997" s="457" t="e">
        <f aca="false">IF(ABS(t-ROUND(t,0))&lt;0.001,pos_x,NA())</f>
        <v>#N/A</v>
      </c>
      <c r="AE997" s="458" t="e">
        <f aca="false">IF(t&lt;T_para, pos_z, NA())</f>
        <v>#N/A</v>
      </c>
      <c r="AF997" s="444"/>
      <c r="AG997" s="450" t="n">
        <f aca="false">IF(AND(L996&lt;L_rampe,Poussee&lt;Poids*SIN(M996)),0,(-W996+Poussee)/m-Poids*SIN(M996)/m)</f>
        <v>3.69027385882049</v>
      </c>
      <c r="AH997" s="449" t="n">
        <f aca="false">IF(AND(L996&lt;L_rampe,Poussee&lt;Poids*SIN(M996)), g*SIN(M996), (-W996+Poussee)/m)</f>
        <v>-6.0277641468093</v>
      </c>
    </row>
    <row r="998" customFormat="false" ht="12" hidden="false" customHeight="false" outlineLevel="0" collapsed="false">
      <c r="A998" s="448" t="n">
        <f aca="false">IF(B997+0.01&lt;=T_ini+ROUNDUP(Temps_fin_propu,0), 0.01, IF(K997&gt;0, 0.1, 0.0001))</f>
        <v>0.0001</v>
      </c>
      <c r="B998" s="449" t="n">
        <f aca="false">B997+pas</f>
        <v>35.7277000000011</v>
      </c>
      <c r="C998" s="432"/>
      <c r="D998" s="450" t="n">
        <f aca="false">IF(AND(L997&lt;L_rampe,Poussee&lt;Poids*SIN(M997)),0,(-W997+Poussee)/m*COS(M997)-U997/m*SIN(M997))</f>
        <v>-0.823418462861947</v>
      </c>
      <c r="E998" s="451" t="n">
        <f aca="false">IF(AND(L997&lt;L_rampe,Poussee&lt;Poids*SIN(M997)),0,(-W997+Poussee)/m*SIN(M997)+U997/m*COS(M997)-Poids/m)</f>
        <v>-3.83870113894533</v>
      </c>
      <c r="F998" s="449" t="n">
        <f aca="false">SQRT(acc_x^2+acc_z^2)</f>
        <v>3.92602144659478</v>
      </c>
      <c r="G998" s="450" t="n">
        <f aca="false">G997+acc_x*pas</f>
        <v>18.8868506319075</v>
      </c>
      <c r="H998" s="451" t="n">
        <f aca="false">H997+acc_z*pas</f>
        <v>-136.965397944495</v>
      </c>
      <c r="I998" s="449" t="n">
        <f aca="false">SQRT(vit_x^2+vit_z^2)</f>
        <v>138.261467375715</v>
      </c>
      <c r="J998" s="450" t="n">
        <f aca="false">J997+0.5*(vit_x+G997)*pas*(K997&gt;=0)</f>
        <v>1017.12580762709</v>
      </c>
      <c r="K998" s="451" t="n">
        <f aca="false">K997+0.5*(vit_z+H997)*pas</f>
        <v>-16.2087871736754</v>
      </c>
      <c r="L998" s="449" t="n">
        <f aca="false">SQRT(pos_x^2+pos_z^2)</f>
        <v>1017.2549500114</v>
      </c>
      <c r="M998" s="450" t="n">
        <f aca="false">IF(AND(L997&gt;L_rampe,G998&gt;0),ATAN2(G998,H998),$M$4)</f>
        <v>-1.43376546363997</v>
      </c>
      <c r="N998" s="449" t="n">
        <f aca="false">DEGREES(Beta)</f>
        <v>-82.1487098781881</v>
      </c>
      <c r="O998" s="438"/>
      <c r="P998" s="452" t="n">
        <f aca="false">MATCH(t-pas/2-T_ini,CdP_t)</f>
        <v>23</v>
      </c>
      <c r="Q998" s="449" t="n">
        <f aca="false">(INDEX(CdP,2,i_P+1)-INDEX(CdP,2,i_P+0))/(INDEX(CdP,1,i_P+1)-INDEX(CdP,1,i_P+0))*(t-pas/2-T_ini-INDEX(CdP,1,i_P+0))+INDEX(CdP,2,i_P+0)</f>
        <v>0</v>
      </c>
      <c r="R998" s="450" t="n">
        <f aca="false">Poussee/(g*ISP)</f>
        <v>0</v>
      </c>
      <c r="S998" s="451" t="n">
        <f aca="false">S997-Débit*pas</f>
        <v>8.652</v>
      </c>
      <c r="T998" s="449" t="n">
        <f aca="false">m*g</f>
        <v>84.87612</v>
      </c>
      <c r="U998" s="453" t="n">
        <f aca="false">IF(pos_xz&lt;L_rampe,Poids*COS(Beta),0)</f>
        <v>0</v>
      </c>
      <c r="V998" s="450" t="n">
        <f aca="false">Rho_moyen*(20000-Alt_rampe-pos_z)/(20000+Alt_rampe+pos_z)</f>
        <v>1.22698718692327</v>
      </c>
      <c r="W998" s="449" t="n">
        <f aca="false">1/2*Rho*Sref*Cx*vit_xz^2</f>
        <v>52.152915050603</v>
      </c>
      <c r="X998" s="438"/>
      <c r="Y998" s="454" t="str">
        <f aca="false">IF(AND(pos_z&lt;=0,K997&gt;0),"Impact balistique","") &amp; IF(AND(H999&lt;0,vit_z&gt;=0),"Apogée","") &amp; IF(AND(Poussee=0,Q997&gt;0),"Fin de propulsion","") &amp; IF(AND(L999&gt;L_rampe,pos_xz&lt;=L_rampe),"Sortie de rampe","")</f>
        <v/>
      </c>
      <c r="Z998" s="455" t="str">
        <f aca="false">IF(ABS(t-T_para)&lt;pas/2,"Para","")</f>
        <v/>
      </c>
      <c r="AA998" s="456" t="str">
        <f aca="false">IF(ABS(t-T_satellite)&lt;pas/2,"Satellite","")</f>
        <v/>
      </c>
      <c r="AB998" s="444"/>
      <c r="AC998" s="452" t="e">
        <f aca="false">IF(ABS(t-ROUND(t,0))&lt;0.001,t,NA())</f>
        <v>#N/A</v>
      </c>
      <c r="AD998" s="457" t="e">
        <f aca="false">IF(ABS(t-ROUND(t,0))&lt;0.001,pos_x,NA())</f>
        <v>#N/A</v>
      </c>
      <c r="AE998" s="458" t="e">
        <f aca="false">IF(t&lt;T_para, pos_z, NA())</f>
        <v>#N/A</v>
      </c>
      <c r="AF998" s="444"/>
      <c r="AG998" s="450" t="n">
        <f aca="false">IF(AND(L997&lt;L_rampe,Poussee&lt;Poids*SIN(M997)),0,(-W997+Poussee)/m-Poids*SIN(M997)/m)</f>
        <v>3.69023472463634</v>
      </c>
      <c r="AH998" s="449" t="n">
        <f aca="false">IF(AND(L997&lt;L_rampe,Poussee&lt;Poids*SIN(M997)), g*SIN(M997), (-W997+Poussee)/m)</f>
        <v>-6.02780457986278</v>
      </c>
    </row>
    <row r="999" customFormat="false" ht="12" hidden="false" customHeight="false" outlineLevel="0" collapsed="false">
      <c r="A999" s="448" t="n">
        <f aca="false">IF(B998+0.01&lt;=T_ini+ROUNDUP(Temps_fin_propu,0), 0.01, IF(K998&gt;0, 0.1, 0.0001))</f>
        <v>0.0001</v>
      </c>
      <c r="B999" s="449" t="n">
        <f aca="false">B998+pas</f>
        <v>35.7278000000011</v>
      </c>
      <c r="C999" s="432"/>
      <c r="D999" s="450" t="n">
        <f aca="false">IF(AND(L998&lt;L_rampe,Poussee&lt;Poids*SIN(M998)),0,(-W998+Poussee)/m*COS(M998)-U998/m*SIN(M998))</f>
        <v>-0.82341819850183</v>
      </c>
      <c r="E999" s="451" t="n">
        <f aca="false">IF(AND(L998&lt;L_rampe,Poussee&lt;Poids*SIN(M998)),0,(-W998+Poussee)/m*SIN(M998)+U998/m*COS(M998)-Poids/m)</f>
        <v>-3.83866028696113</v>
      </c>
      <c r="F999" s="449" t="n">
        <f aca="false">SQRT(acc_x^2+acc_z^2)</f>
        <v>3.92598144778048</v>
      </c>
      <c r="G999" s="450" t="n">
        <f aca="false">G998+acc_x*pas</f>
        <v>18.8867682900876</v>
      </c>
      <c r="H999" s="451" t="n">
        <f aca="false">H998+acc_z*pas</f>
        <v>-136.965781810524</v>
      </c>
      <c r="I999" s="449" t="n">
        <f aca="false">SQRT(vit_x^2+vit_z^2)</f>
        <v>138.261836395339</v>
      </c>
      <c r="J999" s="450" t="n">
        <f aca="false">J998+0.5*(vit_x+G998)*pas*(K998&gt;=0)</f>
        <v>1017.12580762709</v>
      </c>
      <c r="K999" s="451" t="n">
        <f aca="false">K998+0.5*(vit_z+H998)*pas</f>
        <v>-16.2224837326632</v>
      </c>
      <c r="L999" s="449" t="n">
        <f aca="false">SQRT(pos_x^2+pos_z^2)</f>
        <v>1017.25516834249</v>
      </c>
      <c r="M999" s="450" t="n">
        <f aca="false">IF(AND(L998&gt;L_rampe,G999&gt;0),ATAN2(G999,H999),$M$4)</f>
        <v>-1.43376643286601</v>
      </c>
      <c r="N999" s="449" t="n">
        <f aca="false">DEGREES(Beta)</f>
        <v>-82.1487654107492</v>
      </c>
      <c r="O999" s="438"/>
      <c r="P999" s="452" t="n">
        <f aca="false">MATCH(t-pas/2-T_ini,CdP_t)</f>
        <v>23</v>
      </c>
      <c r="Q999" s="449" t="n">
        <f aca="false">(INDEX(CdP,2,i_P+1)-INDEX(CdP,2,i_P+0))/(INDEX(CdP,1,i_P+1)-INDEX(CdP,1,i_P+0))*(t-pas/2-T_ini-INDEX(CdP,1,i_P+0))+INDEX(CdP,2,i_P+0)</f>
        <v>0</v>
      </c>
      <c r="R999" s="450" t="n">
        <f aca="false">Poussee/(g*ISP)</f>
        <v>0</v>
      </c>
      <c r="S999" s="451" t="n">
        <f aca="false">S998-Débit*pas</f>
        <v>8.652</v>
      </c>
      <c r="T999" s="449" t="n">
        <f aca="false">m*g</f>
        <v>84.87612</v>
      </c>
      <c r="U999" s="453" t="n">
        <f aca="false">IF(pos_xz&lt;L_rampe,Poids*COS(Beta),0)</f>
        <v>0</v>
      </c>
      <c r="V999" s="450" t="n">
        <f aca="false">Rho_moyen*(20000-Alt_rampe-pos_z)/(20000+Alt_rampe+pos_z)</f>
        <v>1.22698886747577</v>
      </c>
      <c r="W999" s="449" t="n">
        <f aca="false">1/2*Rho*Sref*Cx*vit_xz^2</f>
        <v>52.1532648750846</v>
      </c>
      <c r="X999" s="438"/>
      <c r="Y999" s="454" t="str">
        <f aca="false">IF(AND(pos_z&lt;=0,K998&gt;0),"Impact balistique","") &amp; IF(AND(H1000&lt;0,vit_z&gt;=0),"Apogée","") &amp; IF(AND(Poussee=0,Q998&gt;0),"Fin de propulsion","") &amp; IF(AND(L1000&gt;L_rampe,pos_xz&lt;=L_rampe),"Sortie de rampe","")</f>
        <v/>
      </c>
      <c r="Z999" s="455" t="str">
        <f aca="false">IF(ABS(t-T_para)&lt;pas/2,"Para","")</f>
        <v/>
      </c>
      <c r="AA999" s="456" t="str">
        <f aca="false">IF(ABS(t-T_satellite)&lt;pas/2,"Satellite","")</f>
        <v/>
      </c>
      <c r="AB999" s="444"/>
      <c r="AC999" s="452" t="e">
        <f aca="false">IF(ABS(t-ROUND(t,0))&lt;0.001,t,NA())</f>
        <v>#N/A</v>
      </c>
      <c r="AD999" s="457" t="e">
        <f aca="false">IF(ABS(t-ROUND(t,0))&lt;0.001,pos_x,NA())</f>
        <v>#N/A</v>
      </c>
      <c r="AE999" s="458" t="e">
        <f aca="false">IF(t&lt;T_para, pos_z, NA())</f>
        <v>#N/A</v>
      </c>
      <c r="AF999" s="444"/>
      <c r="AG999" s="450" t="n">
        <f aca="false">IF(AND(L998&lt;L_rampe,Poussee&lt;Poids*SIN(M998)),0,(-W998+Poussee)/m-Poids*SIN(M998)/m)</f>
        <v>3.69019559056321</v>
      </c>
      <c r="AH999" s="449" t="n">
        <f aca="false">IF(AND(L998&lt;L_rampe,Poussee&lt;Poids*SIN(M998)), g*SIN(M998), (-W998+Poussee)/m)</f>
        <v>-6.02784501278352</v>
      </c>
    </row>
    <row r="1000" customFormat="false" ht="12" hidden="false" customHeight="false" outlineLevel="0" collapsed="false">
      <c r="A1000" s="448" t="n">
        <f aca="false">IF(B999+0.01&lt;=T_ini+ROUNDUP(Temps_fin_propu,0), 0.01, IF(K999&gt;0, 0.1, 0.0001))</f>
        <v>0.0001</v>
      </c>
      <c r="B1000" s="449" t="n">
        <f aca="false">B999+pas</f>
        <v>35.7279000000011</v>
      </c>
      <c r="C1000" s="432"/>
      <c r="D1000" s="450" t="n">
        <f aca="false">IF(AND(L999&lt;L_rampe,Poussee&lt;Poids*SIN(M999)),0,(-W999+Poussee)/m*COS(M999)-U999/m*SIN(M999))</f>
        <v>-0.823417934101291</v>
      </c>
      <c r="E1000" s="451" t="n">
        <f aca="false">IF(AND(L999&lt;L_rampe,Poussee&lt;Poids*SIN(M999)),0,(-W999+Poussee)/m*SIN(M999)+U999/m*COS(M999)-Poids/m)</f>
        <v>-3.83861943511109</v>
      </c>
      <c r="F1000" s="449" t="n">
        <f aca="false">SQRT(acc_x^2+acc_z^2)</f>
        <v>3.92594144910647</v>
      </c>
      <c r="G1000" s="450" t="n">
        <f aca="false">G999+acc_x*pas</f>
        <v>18.8866859482942</v>
      </c>
      <c r="H1000" s="451" t="n">
        <f aca="false">H999+acc_z*pas</f>
        <v>-136.966165672467</v>
      </c>
      <c r="I1000" s="449" t="n">
        <f aca="false">SQRT(vit_x^2+vit_z^2)</f>
        <v>138.262205411049</v>
      </c>
      <c r="J1000" s="450" t="n">
        <f aca="false">J999+0.5*(vit_x+G999)*pas*(K999&gt;=0)</f>
        <v>1017.12580762709</v>
      </c>
      <c r="K1000" s="451" t="n">
        <f aca="false">K999+0.5*(vit_z+H999)*pas</f>
        <v>-16.2361803300373</v>
      </c>
      <c r="L1000" s="449" t="n">
        <f aca="false">SQRT(pos_x^2+pos_z^2)</f>
        <v>1017.25538685857</v>
      </c>
      <c r="M1000" s="450" t="n">
        <f aca="false">IF(AND(L999&gt;L_rampe,G1000&gt;0),ATAN2(G1000,H1000),$M$4)</f>
        <v>-1.43376740208264</v>
      </c>
      <c r="N1000" s="449" t="n">
        <f aca="false">DEGREES(Beta)</f>
        <v>-82.1488209427717</v>
      </c>
      <c r="O1000" s="438"/>
      <c r="P1000" s="452" t="n">
        <f aca="false">MATCH(t-pas/2-T_ini,CdP_t)</f>
        <v>23</v>
      </c>
      <c r="Q1000" s="449" t="n">
        <f aca="false">(INDEX(CdP,2,i_P+1)-INDEX(CdP,2,i_P+0))/(INDEX(CdP,1,i_P+1)-INDEX(CdP,1,i_P+0))*(t-pas/2-T_ini-INDEX(CdP,1,i_P+0))+INDEX(CdP,2,i_P+0)</f>
        <v>0</v>
      </c>
      <c r="R1000" s="450" t="n">
        <f aca="false">Poussee/(g*ISP)</f>
        <v>0</v>
      </c>
      <c r="S1000" s="451" t="n">
        <f aca="false">S999-Débit*pas</f>
        <v>8.652</v>
      </c>
      <c r="T1000" s="449" t="n">
        <f aca="false">m*g</f>
        <v>84.87612</v>
      </c>
      <c r="U1000" s="453" t="n">
        <f aca="false">IF(pos_xz&lt;L_rampe,Poids*COS(Beta),0)</f>
        <v>0</v>
      </c>
      <c r="V1000" s="450" t="n">
        <f aca="false">Rho_moyen*(20000-Alt_rampe-pos_z)/(20000+Alt_rampe+pos_z)</f>
        <v>1.22699054803527</v>
      </c>
      <c r="W1000" s="449" t="n">
        <f aca="false">1/2*Rho*Sref*Cx*vit_xz^2</f>
        <v>52.1536146984176</v>
      </c>
      <c r="X1000" s="438"/>
      <c r="Y1000" s="454" t="str">
        <f aca="false">IF(AND(pos_z&lt;=0,K999&gt;0),"Impact balistique","") &amp; IF(AND(H1001&lt;0,vit_z&gt;=0),"Apogée","") &amp; IF(AND(Poussee=0,Q999&gt;0),"Fin de propulsion","") &amp; IF(AND(L1001&gt;L_rampe,pos_xz&lt;=L_rampe),"Sortie de rampe","")</f>
        <v/>
      </c>
      <c r="Z1000" s="455" t="str">
        <f aca="false">IF(ABS(t-T_para)&lt;pas/2,"Para","")</f>
        <v/>
      </c>
      <c r="AA1000" s="456" t="str">
        <f aca="false">IF(ABS(t-T_satellite)&lt;pas/2,"Satellite","")</f>
        <v/>
      </c>
      <c r="AB1000" s="444"/>
      <c r="AC1000" s="452" t="e">
        <f aca="false">IF(ABS(t-ROUND(t,0))&lt;0.001,t,NA())</f>
        <v>#N/A</v>
      </c>
      <c r="AD1000" s="457" t="e">
        <f aca="false">IF(ABS(t-ROUND(t,0))&lt;0.001,pos_x,NA())</f>
        <v>#N/A</v>
      </c>
      <c r="AE1000" s="458" t="e">
        <f aca="false">IF(t&lt;T_para, pos_z, NA())</f>
        <v>#N/A</v>
      </c>
      <c r="AF1000" s="444"/>
      <c r="AG1000" s="450" t="n">
        <f aca="false">IF(AND(L999&lt;L_rampe,Poussee&lt;Poids*SIN(M999)),0,(-W999+Poussee)/m-Poids*SIN(M999)/m)</f>
        <v>3.69015645660112</v>
      </c>
      <c r="AH1000" s="449" t="n">
        <f aca="false">IF(AND(L999&lt;L_rampe,Poussee&lt;Poids*SIN(M999)), g*SIN(M999), (-W999+Poussee)/m)</f>
        <v>-6.0278854455715</v>
      </c>
    </row>
    <row r="1001" customFormat="false" ht="12" hidden="false" customHeight="false" outlineLevel="0" collapsed="false">
      <c r="A1001" s="448" t="n">
        <f aca="false">IF(B1000+0.01&lt;=T_ini+ROUNDUP(Temps_fin_propu,0), 0.01, IF(K1000&gt;0, 0.1, 0.0001))</f>
        <v>0.0001</v>
      </c>
      <c r="B1001" s="449" t="n">
        <f aca="false">B1000+pas</f>
        <v>35.7280000000011</v>
      </c>
      <c r="C1001" s="432"/>
      <c r="D1001" s="450" t="n">
        <f aca="false">IF(AND(L1000&lt;L_rampe,Poussee&lt;Poids*SIN(M1000)),0,(-W1000+Poussee)/m*COS(M1000)-U1000/m*SIN(M1000))</f>
        <v>-0.823417669660327</v>
      </c>
      <c r="E1001" s="451" t="n">
        <f aca="false">IF(AND(L1000&lt;L_rampe,Poussee&lt;Poids*SIN(M1000)),0,(-W1000+Poussee)/m*SIN(M1000)+U1000/m*COS(M1000)-Poids/m)</f>
        <v>-3.83857858339519</v>
      </c>
      <c r="F1001" s="449" t="n">
        <f aca="false">SQRT(acc_x^2+acc_z^2)</f>
        <v>3.92590145057273</v>
      </c>
      <c r="G1001" s="450" t="n">
        <f aca="false">G1000+acc_x*pas</f>
        <v>18.8866036065272</v>
      </c>
      <c r="H1001" s="451" t="n">
        <f aca="false">H1000+acc_z*pas</f>
        <v>-136.966549530325</v>
      </c>
      <c r="I1001" s="449" t="n">
        <f aca="false">SQRT(vit_x^2+vit_z^2)</f>
        <v>138.262574422846</v>
      </c>
      <c r="J1001" s="450" t="n">
        <f aca="false">J1000+0.5*(vit_x+G1000)*pas*(K1000&gt;=0)</f>
        <v>1017.12580762709</v>
      </c>
      <c r="K1001" s="451" t="n">
        <f aca="false">K1000+0.5*(vit_z+H1000)*pas</f>
        <v>-16.2498769657974</v>
      </c>
      <c r="L1001" s="449" t="n">
        <f aca="false">SQRT(pos_x^2+pos_z^2)</f>
        <v>1017.25560555962</v>
      </c>
      <c r="M1001" s="450" t="n">
        <f aca="false">IF(AND(L1000&gt;L_rampe,G1001&gt;0),ATAN2(G1001,H1001),$M$4)</f>
        <v>-1.43376837128987</v>
      </c>
      <c r="N1001" s="449" t="n">
        <f aca="false">DEGREES(Beta)</f>
        <v>-82.1488764742557</v>
      </c>
      <c r="O1001" s="438"/>
      <c r="P1001" s="452" t="n">
        <f aca="false">MATCH(t-pas/2-T_ini,CdP_t)</f>
        <v>23</v>
      </c>
      <c r="Q1001" s="449" t="n">
        <f aca="false">(INDEX(CdP,2,i_P+1)-INDEX(CdP,2,i_P+0))/(INDEX(CdP,1,i_P+1)-INDEX(CdP,1,i_P+0))*(t-pas/2-T_ini-INDEX(CdP,1,i_P+0))+INDEX(CdP,2,i_P+0)</f>
        <v>0</v>
      </c>
      <c r="R1001" s="450" t="n">
        <f aca="false">Poussee/(g*ISP)</f>
        <v>0</v>
      </c>
      <c r="S1001" s="451" t="n">
        <f aca="false">S1000-Débit*pas</f>
        <v>8.652</v>
      </c>
      <c r="T1001" s="449" t="n">
        <f aca="false">m*g</f>
        <v>84.87612</v>
      </c>
      <c r="U1001" s="453" t="n">
        <f aca="false">IF(pos_xz&lt;L_rampe,Poids*COS(Beta),0)</f>
        <v>0</v>
      </c>
      <c r="V1001" s="450" t="n">
        <f aca="false">Rho_moyen*(20000-Alt_rampe-pos_z)/(20000+Alt_rampe+pos_z)</f>
        <v>1.22699222860179</v>
      </c>
      <c r="W1001" s="449" t="n">
        <f aca="false">1/2*Rho*Sref*Cx*vit_xz^2</f>
        <v>52.1539645206021</v>
      </c>
      <c r="X1001" s="438"/>
      <c r="Y1001" s="454" t="str">
        <f aca="false">IF(AND(pos_z&lt;=0,K1000&gt;0),"Impact balistique","") &amp; IF(AND(H1002&lt;0,vit_z&gt;=0),"Apogée","") &amp; IF(AND(Poussee=0,Q1000&gt;0),"Fin de propulsion","") &amp; IF(AND(L1002&gt;L_rampe,pos_xz&lt;=L_rampe),"Sortie de rampe","")</f>
        <v/>
      </c>
      <c r="Z1001" s="455" t="str">
        <f aca="false">IF(ABS(t-T_para)&lt;pas/2,"Para","")</f>
        <v/>
      </c>
      <c r="AA1001" s="456" t="str">
        <f aca="false">IF(ABS(t-T_satellite)&lt;pas/2,"Satellite","")</f>
        <v/>
      </c>
      <c r="AB1001" s="444"/>
      <c r="AC1001" s="452" t="e">
        <f aca="false">IF(ABS(t-ROUND(t,0))&lt;0.001,t,NA())</f>
        <v>#N/A</v>
      </c>
      <c r="AD1001" s="457" t="e">
        <f aca="false">IF(ABS(t-ROUND(t,0))&lt;0.001,pos_x,NA())</f>
        <v>#N/A</v>
      </c>
      <c r="AE1001" s="458" t="e">
        <f aca="false">IF(t&lt;T_para, pos_z, NA())</f>
        <v>#N/A</v>
      </c>
      <c r="AF1001" s="444"/>
      <c r="AG1001" s="450" t="n">
        <f aca="false">IF(AND(L1000&lt;L_rampe,Poussee&lt;Poids*SIN(M1000)),0,(-W1000+Poussee)/m-Poids*SIN(M1000)/m)</f>
        <v>3.69011732275005</v>
      </c>
      <c r="AH1001" s="449" t="n">
        <f aca="false">IF(AND(L1000&lt;L_rampe,Poussee&lt;Poids*SIN(M1000)), g*SIN(M1000), (-W1000+Poussee)/m)</f>
        <v>-6.02792587822673</v>
      </c>
    </row>
    <row r="1002" customFormat="false" ht="12" hidden="false" customHeight="false" outlineLevel="0" collapsed="false">
      <c r="A1002" s="448" t="n">
        <f aca="false">IF(B1001+0.01&lt;=T_ini+ROUNDUP(Temps_fin_propu,0), 0.01, IF(K1001&gt;0, 0.1, 0.0001))</f>
        <v>0.0001</v>
      </c>
      <c r="B1002" s="449" t="n">
        <f aca="false">B1001+pas</f>
        <v>35.7281000000011</v>
      </c>
      <c r="C1002" s="432"/>
      <c r="D1002" s="450" t="n">
        <f aca="false">IF(AND(L1001&lt;L_rampe,Poussee&lt;Poids*SIN(M1001)),0,(-W1001+Poussee)/m*COS(M1001)-U1001/m*SIN(M1001))</f>
        <v>-0.823417405178941</v>
      </c>
      <c r="E1002" s="451" t="n">
        <f aca="false">IF(AND(L1001&lt;L_rampe,Poussee&lt;Poids*SIN(M1001)),0,(-W1001+Poussee)/m*SIN(M1001)+U1001/m*COS(M1001)-Poids/m)</f>
        <v>-3.83853773181345</v>
      </c>
      <c r="F1002" s="449" t="n">
        <f aca="false">SQRT(acc_x^2+acc_z^2)</f>
        <v>3.92586145217927</v>
      </c>
      <c r="G1002" s="450" t="n">
        <f aca="false">G1001+acc_x*pas</f>
        <v>18.8865212647867</v>
      </c>
      <c r="H1002" s="451" t="n">
        <f aca="false">H1001+acc_z*pas</f>
        <v>-136.966933384099</v>
      </c>
      <c r="I1002" s="449" t="n">
        <f aca="false">SQRT(vit_x^2+vit_z^2)</f>
        <v>138.26294343073</v>
      </c>
      <c r="J1002" s="450" t="n">
        <f aca="false">J1001+0.5*(vit_x+G1001)*pas*(K1001&gt;=0)</f>
        <v>1017.12580762709</v>
      </c>
      <c r="K1002" s="451" t="n">
        <f aca="false">K1001+0.5*(vit_z+H1001)*pas</f>
        <v>-16.2635736399432</v>
      </c>
      <c r="L1002" s="449" t="n">
        <f aca="false">SQRT(pos_x^2+pos_z^2)</f>
        <v>1017.25582444565</v>
      </c>
      <c r="M1002" s="450" t="n">
        <f aca="false">IF(AND(L1001&gt;L_rampe,G1002&gt;0),ATAN2(G1002,H1002),$M$4)</f>
        <v>-1.43376934048771</v>
      </c>
      <c r="N1002" s="449" t="n">
        <f aca="false">DEGREES(Beta)</f>
        <v>-82.1489320052012</v>
      </c>
      <c r="O1002" s="438"/>
      <c r="P1002" s="452" t="n">
        <f aca="false">MATCH(t-pas/2-T_ini,CdP_t)</f>
        <v>23</v>
      </c>
      <c r="Q1002" s="449" t="n">
        <f aca="false">(INDEX(CdP,2,i_P+1)-INDEX(CdP,2,i_P+0))/(INDEX(CdP,1,i_P+1)-INDEX(CdP,1,i_P+0))*(t-pas/2-T_ini-INDEX(CdP,1,i_P+0))+INDEX(CdP,2,i_P+0)</f>
        <v>0</v>
      </c>
      <c r="R1002" s="450" t="n">
        <f aca="false">Poussee/(g*ISP)</f>
        <v>0</v>
      </c>
      <c r="S1002" s="451" t="n">
        <f aca="false">S1001-Débit*pas</f>
        <v>8.652</v>
      </c>
      <c r="T1002" s="449" t="n">
        <f aca="false">m*g</f>
        <v>84.87612</v>
      </c>
      <c r="U1002" s="453" t="n">
        <f aca="false">IF(pos_xz&lt;L_rampe,Poids*COS(Beta),0)</f>
        <v>0</v>
      </c>
      <c r="V1002" s="450" t="n">
        <f aca="false">Rho_moyen*(20000-Alt_rampe-pos_z)/(20000+Alt_rampe+pos_z)</f>
        <v>1.22699390917533</v>
      </c>
      <c r="W1002" s="449" t="n">
        <f aca="false">1/2*Rho*Sref*Cx*vit_xz^2</f>
        <v>52.1543143416379</v>
      </c>
      <c r="X1002" s="438"/>
      <c r="Y1002" s="454" t="str">
        <f aca="false">IF(AND(pos_z&lt;=0,K1001&gt;0),"Impact balistique","") &amp; IF(AND(H1003&lt;0,vit_z&gt;=0),"Apogée","") &amp; IF(AND(Poussee=0,Q1001&gt;0),"Fin de propulsion","") &amp; IF(AND(L1003&gt;L_rampe,pos_xz&lt;=L_rampe),"Sortie de rampe","")</f>
        <v/>
      </c>
      <c r="Z1002" s="455" t="str">
        <f aca="false">IF(ABS(t-T_para)&lt;pas/2,"Para","")</f>
        <v/>
      </c>
      <c r="AA1002" s="456" t="str">
        <f aca="false">IF(ABS(t-T_satellite)&lt;pas/2,"Satellite","")</f>
        <v/>
      </c>
      <c r="AB1002" s="444"/>
      <c r="AC1002" s="452" t="e">
        <f aca="false">IF(ABS(t-ROUND(t,0))&lt;0.001,t,NA())</f>
        <v>#N/A</v>
      </c>
      <c r="AD1002" s="457" t="e">
        <f aca="false">IF(ABS(t-ROUND(t,0))&lt;0.001,pos_x,NA())</f>
        <v>#N/A</v>
      </c>
      <c r="AE1002" s="458" t="e">
        <f aca="false">IF(t&lt;T_para, pos_z, NA())</f>
        <v>#N/A</v>
      </c>
      <c r="AF1002" s="444"/>
      <c r="AG1002" s="450" t="n">
        <f aca="false">IF(AND(L1001&lt;L_rampe,Poussee&lt;Poids*SIN(M1001)),0,(-W1001+Poussee)/m-Poids*SIN(M1001)/m)</f>
        <v>3.69007818901002</v>
      </c>
      <c r="AH1002" s="449" t="n">
        <f aca="false">IF(AND(L1001&lt;L_rampe,Poussee&lt;Poids*SIN(M1001)), g*SIN(M1001), (-W1001+Poussee)/m)</f>
        <v>-6.0279663107492</v>
      </c>
    </row>
    <row r="1003" customFormat="false" ht="12" hidden="false" customHeight="false" outlineLevel="0" collapsed="false">
      <c r="A1003" s="448" t="n">
        <f aca="false">IF(B1002+0.01&lt;=T_ini+ROUNDUP(Temps_fin_propu,0), 0.01, IF(K1002&gt;0, 0.1, 0.0001))</f>
        <v>0.0001</v>
      </c>
      <c r="B1003" s="449" t="n">
        <f aca="false">B1002+pas</f>
        <v>35.7282000000011</v>
      </c>
      <c r="C1003" s="432"/>
      <c r="D1003" s="450" t="n">
        <f aca="false">IF(AND(L1002&lt;L_rampe,Poussee&lt;Poids*SIN(M1002)),0,(-W1002+Poussee)/m*COS(M1002)-U1002/m*SIN(M1002))</f>
        <v>-0.823417140657133</v>
      </c>
      <c r="E1003" s="451" t="n">
        <f aca="false">IF(AND(L1002&lt;L_rampe,Poussee&lt;Poids*SIN(M1002)),0,(-W1002+Poussee)/m*SIN(M1002)+U1002/m*COS(M1002)-Poids/m)</f>
        <v>-3.83849688036587</v>
      </c>
      <c r="F1003" s="449" t="n">
        <f aca="false">SQRT(acc_x^2+acc_z^2)</f>
        <v>3.9258214539261</v>
      </c>
      <c r="G1003" s="450" t="n">
        <f aca="false">G1002+acc_x*pas</f>
        <v>18.8864389230727</v>
      </c>
      <c r="H1003" s="451" t="n">
        <f aca="false">H1002+acc_z*pas</f>
        <v>-136.967317233787</v>
      </c>
      <c r="I1003" s="449" t="n">
        <f aca="false">SQRT(vit_x^2+vit_z^2)</f>
        <v>138.263312434701</v>
      </c>
      <c r="J1003" s="450" t="n">
        <f aca="false">J1002+0.5*(vit_x+G1002)*pas*(K1002&gt;=0)</f>
        <v>1017.12580762709</v>
      </c>
      <c r="K1003" s="451" t="n">
        <f aca="false">K1002+0.5*(vit_z+H1002)*pas</f>
        <v>-16.2772703524741</v>
      </c>
      <c r="L1003" s="449" t="n">
        <f aca="false">SQRT(pos_x^2+pos_z^2)</f>
        <v>1017.25604351667</v>
      </c>
      <c r="M1003" s="450" t="n">
        <f aca="false">IF(AND(L1002&gt;L_rampe,G1003&gt;0),ATAN2(G1003,H1003),$M$4)</f>
        <v>-1.43377030967614</v>
      </c>
      <c r="N1003" s="449" t="n">
        <f aca="false">DEGREES(Beta)</f>
        <v>-82.1489875356081</v>
      </c>
      <c r="O1003" s="438"/>
      <c r="P1003" s="452" t="n">
        <f aca="false">MATCH(t-pas/2-T_ini,CdP_t)</f>
        <v>23</v>
      </c>
      <c r="Q1003" s="449" t="n">
        <f aca="false">(INDEX(CdP,2,i_P+1)-INDEX(CdP,2,i_P+0))/(INDEX(CdP,1,i_P+1)-INDEX(CdP,1,i_P+0))*(t-pas/2-T_ini-INDEX(CdP,1,i_P+0))+INDEX(CdP,2,i_P+0)</f>
        <v>0</v>
      </c>
      <c r="R1003" s="450" t="n">
        <f aca="false">Poussee/(g*ISP)</f>
        <v>0</v>
      </c>
      <c r="S1003" s="451" t="n">
        <f aca="false">S1002-Débit*pas</f>
        <v>8.652</v>
      </c>
      <c r="T1003" s="449" t="n">
        <f aca="false">m*g</f>
        <v>84.87612</v>
      </c>
      <c r="U1003" s="453" t="n">
        <f aca="false">IF(pos_xz&lt;L_rampe,Poids*COS(Beta),0)</f>
        <v>0</v>
      </c>
      <c r="V1003" s="450" t="n">
        <f aca="false">Rho_moyen*(20000-Alt_rampe-pos_z)/(20000+Alt_rampe+pos_z)</f>
        <v>1.22699558975588</v>
      </c>
      <c r="W1003" s="449" t="n">
        <f aca="false">1/2*Rho*Sref*Cx*vit_xz^2</f>
        <v>52.1546641615251</v>
      </c>
      <c r="X1003" s="438"/>
      <c r="Y1003" s="454" t="str">
        <f aca="false">IF(AND(pos_z&lt;=0,K1002&gt;0),"Impact balistique","") &amp; IF(AND(H1004&lt;0,vit_z&gt;=0),"Apogée","") &amp; IF(AND(Poussee=0,Q1002&gt;0),"Fin de propulsion","") &amp; IF(AND(L1004&gt;L_rampe,pos_xz&lt;=L_rampe),"Sortie de rampe","")</f>
        <v/>
      </c>
      <c r="Z1003" s="455" t="str">
        <f aca="false">IF(ABS(t-T_para)&lt;pas/2,"Para","")</f>
        <v/>
      </c>
      <c r="AA1003" s="456" t="str">
        <f aca="false">IF(ABS(t-T_satellite)&lt;pas/2,"Satellite","")</f>
        <v/>
      </c>
      <c r="AB1003" s="444"/>
      <c r="AC1003" s="452" t="e">
        <f aca="false">IF(ABS(t-ROUND(t,0))&lt;0.001,t,NA())</f>
        <v>#N/A</v>
      </c>
      <c r="AD1003" s="457" t="e">
        <f aca="false">IF(ABS(t-ROUND(t,0))&lt;0.001,pos_x,NA())</f>
        <v>#N/A</v>
      </c>
      <c r="AE1003" s="458" t="e">
        <f aca="false">IF(t&lt;T_para, pos_z, NA())</f>
        <v>#N/A</v>
      </c>
      <c r="AF1003" s="444"/>
      <c r="AG1003" s="450" t="n">
        <f aca="false">IF(AND(L1002&lt;L_rampe,Poussee&lt;Poids*SIN(M1002)),0,(-W1002+Poussee)/m-Poids*SIN(M1002)/m)</f>
        <v>3.69003905538102</v>
      </c>
      <c r="AH1003" s="449" t="n">
        <f aca="false">IF(AND(L1002&lt;L_rampe,Poussee&lt;Poids*SIN(M1002)), g*SIN(M1002), (-W1002+Poussee)/m)</f>
        <v>-6.02800674313891</v>
      </c>
    </row>
    <row r="1004" customFormat="false" ht="12" hidden="false" customHeight="false" outlineLevel="0" collapsed="false">
      <c r="A1004" s="459" t="n">
        <f aca="false">IF(B1003+0.01&lt;=T_ini+ROUNDUP(Temps_fin_propu,0), 0.01, IF(K1003&gt;0, 0.1, 0.0001))</f>
        <v>0.0001</v>
      </c>
      <c r="B1004" s="460" t="n">
        <f aca="false">B1003+pas</f>
        <v>35.7283000000011</v>
      </c>
      <c r="C1004" s="432"/>
      <c r="D1004" s="461" t="n">
        <f aca="false">IF(AND(L1003&lt;L_rampe,Poussee&lt;Poids*SIN(M1003)),0,(-W1003+Poussee)/m*COS(M1003)-U1003/m*SIN(M1003))</f>
        <v>-0.823416876094902</v>
      </c>
      <c r="E1004" s="462" t="n">
        <f aca="false">IF(AND(L1003&lt;L_rampe,Poussee&lt;Poids*SIN(M1003)),0,(-W1003+Poussee)/m*SIN(M1003)+U1003/m*COS(M1003)-Poids/m)</f>
        <v>-3.83845602905243</v>
      </c>
      <c r="F1004" s="460" t="n">
        <f aca="false">SQRT(acc_x^2+acc_z^2)</f>
        <v>3.92578145581321</v>
      </c>
      <c r="G1004" s="461" t="n">
        <f aca="false">G1003+acc_x*pas</f>
        <v>18.886356581385</v>
      </c>
      <c r="H1004" s="462" t="n">
        <f aca="false">H1003+acc_z*pas</f>
        <v>-136.967701079389</v>
      </c>
      <c r="I1004" s="460" t="n">
        <f aca="false">SQRT(vit_x^2+vit_z^2)</f>
        <v>138.263681434758</v>
      </c>
      <c r="J1004" s="461" t="n">
        <f aca="false">J1003+0.5*(vit_x+G1003)*pas*(K1003&gt;=0)</f>
        <v>1017.12580762709</v>
      </c>
      <c r="K1004" s="462" t="n">
        <f aca="false">K1003+0.5*(vit_z+H1003)*pas</f>
        <v>-16.2909671033897</v>
      </c>
      <c r="L1004" s="460" t="n">
        <f aca="false">SQRT(pos_x^2+pos_z^2)</f>
        <v>1017.25626277267</v>
      </c>
      <c r="M1004" s="461" t="n">
        <f aca="false">IF(AND(L1003&gt;L_rampe,G1004&gt;0),ATAN2(G1004,H1004),$M$4)</f>
        <v>-1.43377127885518</v>
      </c>
      <c r="N1004" s="460" t="n">
        <f aca="false">DEGREES(Beta)</f>
        <v>-82.1490430654766</v>
      </c>
      <c r="O1004" s="438"/>
      <c r="P1004" s="463" t="n">
        <f aca="false">MATCH(t-pas/2-T_ini,CdP_t)</f>
        <v>23</v>
      </c>
      <c r="Q1004" s="460" t="n">
        <f aca="false">(INDEX(CdP,2,i_P+1)-INDEX(CdP,2,i_P+0))/(INDEX(CdP,1,i_P+1)-INDEX(CdP,1,i_P+0))*(t-pas/2-T_ini-INDEX(CdP,1,i_P+0))+INDEX(CdP,2,i_P+0)</f>
        <v>0</v>
      </c>
      <c r="R1004" s="461" t="n">
        <f aca="false">Poussee/(g*ISP)</f>
        <v>0</v>
      </c>
      <c r="S1004" s="462" t="n">
        <f aca="false">S1003-Débit*pas</f>
        <v>8.652</v>
      </c>
      <c r="T1004" s="460" t="n">
        <f aca="false">m*g</f>
        <v>84.87612</v>
      </c>
      <c r="U1004" s="464" t="n">
        <f aca="false">IF(pos_xz&lt;L_rampe,Poids*COS(Beta),0)</f>
        <v>0</v>
      </c>
      <c r="V1004" s="461" t="n">
        <f aca="false">Rho_moyen*(20000-Alt_rampe-pos_z)/(20000+Alt_rampe+pos_z)</f>
        <v>1.22699727034344</v>
      </c>
      <c r="W1004" s="460" t="n">
        <f aca="false">1/2*Rho*Sref*Cx*vit_xz^2</f>
        <v>52.1550139802636</v>
      </c>
      <c r="X1004" s="438"/>
      <c r="Y1004" s="465" t="str">
        <f aca="false">IF(AND(pos_z&lt;=0,K1003&gt;0),"Impact balistique","") &amp; IF(AND(H1005&lt;0,vit_z&gt;=0),"Apogée","") &amp; IF(AND(Poussee=0,Q1003&gt;0),"Fin de propulsion","") &amp; IF(AND(L1005&gt;L_rampe,pos_xz&lt;=L_rampe),"Sortie de rampe","")</f>
        <v/>
      </c>
      <c r="Z1004" s="466" t="str">
        <f aca="false">IF(ABS(t-T_para)&lt;pas/2,"Para","")</f>
        <v/>
      </c>
      <c r="AA1004" s="467" t="str">
        <f aca="false">IF(ABS(t-T_satellite)&lt;pas/2,"Satellite","")</f>
        <v/>
      </c>
      <c r="AB1004" s="444"/>
      <c r="AC1004" s="463" t="e">
        <f aca="false">IF(ABS(t-ROUND(t,0))&lt;0.001,t,NA())</f>
        <v>#N/A</v>
      </c>
      <c r="AD1004" s="468" t="e">
        <f aca="false">IF(ABS(t-ROUND(t,0))&lt;0.001,pos_x,NA())</f>
        <v>#N/A</v>
      </c>
      <c r="AE1004" s="469" t="e">
        <f aca="false">IF(t&lt;T_para, pos_z, NA())</f>
        <v>#N/A</v>
      </c>
      <c r="AF1004" s="444"/>
      <c r="AG1004" s="461" t="n">
        <f aca="false">IF(AND(L1003&lt;L_rampe,Poussee&lt;Poids*SIN(M1003)),0,(-W1003+Poussee)/m-Poids*SIN(M1003)/m)</f>
        <v>3.68999992186305</v>
      </c>
      <c r="AH1004" s="460" t="n">
        <f aca="false">IF(AND(L1003&lt;L_rampe,Poussee&lt;Poids*SIN(M1003)), g*SIN(M1003), (-W1003+Poussee)/m)</f>
        <v>-6.02804717539587</v>
      </c>
    </row>
    <row r="1034" customFormat="false" ht="12" hidden="false" customHeight="false" outlineLevel="0" collapsed="false">
      <c r="E1034" s="470" t="s">
        <v>334</v>
      </c>
      <c r="J1034" s="471" t="s">
        <v>335</v>
      </c>
      <c r="T1034" s="470" t="s">
        <v>336</v>
      </c>
      <c r="Y1034" s="472" t="s">
        <v>337</v>
      </c>
    </row>
    <row r="1035" customFormat="false" ht="12" hidden="false" customHeight="false" outlineLevel="0" collapsed="false">
      <c r="E1035" s="473" t="s">
        <v>338</v>
      </c>
    </row>
    <row r="1036" customFormat="false" ht="12" hidden="false" customHeight="false" outlineLevel="0" collapsed="false">
      <c r="E1036" s="473"/>
      <c r="T1036" s="473" t="s">
        <v>339</v>
      </c>
    </row>
    <row r="1037" customFormat="false" ht="12" hidden="false" customHeight="false" outlineLevel="0" collapsed="false">
      <c r="E1037" s="473"/>
      <c r="T1037" s="473" t="s">
        <v>340</v>
      </c>
    </row>
    <row r="1038" customFormat="false" ht="12" hidden="false" customHeight="false" outlineLevel="0" collapsed="false">
      <c r="E1038" s="473"/>
      <c r="T1038" s="473" t="s">
        <v>341</v>
      </c>
    </row>
    <row r="1039" customFormat="false" ht="12" hidden="false" customHeight="false" outlineLevel="0" collapsed="false">
      <c r="E1039" s="473"/>
      <c r="T1039" s="473" t="s">
        <v>342</v>
      </c>
    </row>
    <row r="1040" customFormat="false" ht="12" hidden="false" customHeight="false" outlineLevel="0" collapsed="false">
      <c r="E1040" s="473" t="s">
        <v>343</v>
      </c>
      <c r="T1040" s="473" t="s">
        <v>344</v>
      </c>
    </row>
    <row r="1041" customFormat="false" ht="12" hidden="false" customHeight="false" outlineLevel="0" collapsed="false">
      <c r="E1041" s="473"/>
      <c r="T1041" s="473" t="s">
        <v>345</v>
      </c>
    </row>
    <row r="1042" customFormat="false" ht="12" hidden="false" customHeight="false" outlineLevel="0" collapsed="false">
      <c r="E1042" s="473"/>
      <c r="T1042" s="473"/>
    </row>
    <row r="1043" customFormat="false" ht="12" hidden="false" customHeight="false" outlineLevel="0" collapsed="false">
      <c r="E1043" s="473"/>
    </row>
    <row r="1044" customFormat="false" ht="12" hidden="false" customHeight="false" outlineLevel="0" collapsed="false">
      <c r="E1044" s="473"/>
    </row>
    <row r="1045" customFormat="false" ht="12" hidden="false" customHeight="false" outlineLevel="0" collapsed="false">
      <c r="E1045" s="473" t="s">
        <v>346</v>
      </c>
      <c r="T1045" s="473"/>
    </row>
    <row r="1046" customFormat="false" ht="12" hidden="false" customHeight="false" outlineLevel="0" collapsed="false">
      <c r="E1046" s="473"/>
    </row>
    <row r="1047" customFormat="false" ht="12" hidden="false" customHeight="false" outlineLevel="0" collapsed="false">
      <c r="E1047" s="473"/>
    </row>
    <row r="1048" customFormat="false" ht="12" hidden="false" customHeight="false" outlineLevel="0" collapsed="false">
      <c r="E1048" s="473"/>
      <c r="T1048" s="474" t="s">
        <v>347</v>
      </c>
    </row>
    <row r="1049" customFormat="false" ht="12" hidden="false" customHeight="false" outlineLevel="0" collapsed="false">
      <c r="E1049" s="473"/>
    </row>
    <row r="1050" customFormat="false" ht="12" hidden="false" customHeight="false" outlineLevel="0" collapsed="false">
      <c r="E1050" s="473" t="s">
        <v>348</v>
      </c>
    </row>
    <row r="1053" customFormat="false" ht="12" hidden="false" customHeight="false" outlineLevel="0" collapsed="false">
      <c r="T1053" s="474" t="s">
        <v>349</v>
      </c>
    </row>
    <row r="1055" customFormat="false" ht="12" hidden="false" customHeight="false" outlineLevel="0" collapsed="false">
      <c r="E1055" s="473" t="s">
        <v>350</v>
      </c>
    </row>
    <row r="1058" customFormat="false" ht="12" hidden="false" customHeight="false" outlineLevel="0" collapsed="false">
      <c r="T1058" s="473" t="s">
        <v>351</v>
      </c>
    </row>
    <row r="1060" customFormat="false" ht="12" hidden="false" customHeight="false" outlineLevel="0" collapsed="false">
      <c r="E1060" s="473" t="s">
        <v>352</v>
      </c>
    </row>
    <row r="1061" customFormat="false" ht="12" hidden="false" customHeight="false" outlineLevel="0" collapsed="false">
      <c r="E1061" s="473"/>
    </row>
    <row r="1062" customFormat="false" ht="12" hidden="false" customHeight="false" outlineLevel="0" collapsed="false">
      <c r="E1062" s="473"/>
    </row>
    <row r="1063" customFormat="false" ht="12" hidden="false" customHeight="false" outlineLevel="0" collapsed="false">
      <c r="E1063" s="473"/>
    </row>
    <row r="1064" customFormat="false" ht="12" hidden="false" customHeight="false" outlineLevel="0" collapsed="false">
      <c r="E1064" s="473"/>
    </row>
    <row r="1065" customFormat="false" ht="12" hidden="false" customHeight="false" outlineLevel="0" collapsed="false">
      <c r="E1065" s="473" t="s">
        <v>353</v>
      </c>
    </row>
    <row r="1066" customFormat="false" ht="12" hidden="false" customHeight="false" outlineLevel="0" collapsed="false">
      <c r="E1066" s="473"/>
    </row>
    <row r="1067" customFormat="false" ht="12" hidden="false" customHeight="false" outlineLevel="0" collapsed="false">
      <c r="E1067" s="473"/>
    </row>
    <row r="1068" customFormat="false" ht="12" hidden="false" customHeight="false" outlineLevel="0" collapsed="false">
      <c r="E1068" s="473"/>
    </row>
    <row r="1069" customFormat="false" ht="12" hidden="false" customHeight="false" outlineLevel="0" collapsed="false">
      <c r="E1069" s="473"/>
    </row>
    <row r="1070" customFormat="false" ht="12" hidden="false" customHeight="false" outlineLevel="0" collapsed="false">
      <c r="E1070" s="473" t="s">
        <v>354</v>
      </c>
    </row>
    <row r="1071" customFormat="false" ht="12" hidden="false" customHeight="false" outlineLevel="0" collapsed="false">
      <c r="E1071" s="473"/>
    </row>
    <row r="1072" customFormat="false" ht="12" hidden="false" customHeight="false" outlineLevel="0" collapsed="false">
      <c r="E1072" s="473"/>
    </row>
    <row r="1073" customFormat="false" ht="12" hidden="false" customHeight="false" outlineLevel="0" collapsed="false">
      <c r="E1073" s="473"/>
    </row>
    <row r="1074" customFormat="false" ht="12" hidden="false" customHeight="false" outlineLevel="0" collapsed="false">
      <c r="E1074" s="473"/>
    </row>
    <row r="1075" customFormat="false" ht="12" hidden="false" customHeight="false" outlineLevel="0" collapsed="false">
      <c r="E1075" s="473" t="s">
        <v>355</v>
      </c>
    </row>
  </sheetData>
  <sheetProtection sheet="true" password="c6ac"/>
  <mergeCells count="5">
    <mergeCell ref="D1:N1"/>
    <mergeCell ref="P1:W1"/>
    <mergeCell ref="AC1:AE1"/>
    <mergeCell ref="AG1:AH1"/>
    <mergeCell ref="Y2:AA2"/>
  </mergeCells>
  <conditionalFormatting sqref="A4:XFD1004">
    <cfRule type="expression" priority="2" aboveAverage="0" equalAverage="0" bottom="0" percent="0" rank="0" text="" dxfId="50">
      <formula>OR($Y4="Sortie de rampe",$Z4="Para")</formula>
    </cfRule>
    <cfRule type="expression" priority="3" aboveAverage="0" equalAverage="0" bottom="0" percent="0" rank="0" text="" dxfId="51">
      <formula>OR($Y4="Fin de propulsion",$Y4="Impact balistique",$AA4="Satellite")</formula>
    </cfRule>
    <cfRule type="expression" priority="4" aboveAverage="0" equalAverage="0" bottom="0" percent="0" rank="0" text="" dxfId="52">
      <formula>$Y4="Apogée"</formula>
    </cfRule>
  </conditionalFormatting>
  <hyperlinks>
    <hyperlink ref="J1034" r:id="rId1" display="Wikipedia"/>
    <hyperlink ref="Y1034" r:id="rId2" display="Le Vol de la Fusée"/>
  </hyperlinks>
  <printOptions headings="false" gridLines="false" gridLinesSet="true" horizontalCentered="false" verticalCentered="false"/>
  <pageMargins left="0.39375" right="0.39375" top="0.39375" bottom="0.39375" header="0.511811023622047" footer="0.511811023622047"/>
  <pageSetup paperSize="9" scale="100" fitToWidth="1" fitToHeight="5" pageOrder="downThenOver" orientation="portrait" blackAndWhite="false" draft="false" cellComments="none" horizontalDpi="300" verticalDpi="300" copies="1"/>
  <headerFooter differentFirst="false" differentOddEven="false">
    <oddHeader/>
    <oddFooter/>
  </headerFooter>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M7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80" activeCellId="0" sqref="B80"/>
    </sheetView>
  </sheetViews>
  <sheetFormatPr defaultColWidth="10.6796875" defaultRowHeight="12" zeroHeight="false" outlineLevelRow="0" outlineLevelCol="0"/>
  <cols>
    <col collapsed="false" customWidth="true" hidden="false" outlineLevel="0" max="1" min="1" style="0" width="2.18"/>
    <col collapsed="false" customWidth="true" hidden="false" outlineLevel="0" max="2" min="2" style="0" width="16.27"/>
    <col collapsed="false" customWidth="true" hidden="false" outlineLevel="0" max="4" min="3" style="0" width="11.36"/>
  </cols>
  <sheetData>
    <row r="1" customFormat="false" ht="12.75" hidden="false" customHeight="false" outlineLevel="0" collapsed="false">
      <c r="A1" s="166"/>
      <c r="B1" s="167"/>
      <c r="C1" s="168"/>
      <c r="D1" s="167"/>
      <c r="E1" s="475"/>
      <c r="F1" s="475"/>
      <c r="G1" s="475"/>
      <c r="H1" s="475"/>
      <c r="I1" s="475"/>
      <c r="J1" s="475"/>
      <c r="K1" s="475"/>
      <c r="L1" s="475"/>
      <c r="M1" s="476"/>
    </row>
    <row r="2" customFormat="false" ht="12.75" hidden="false" customHeight="true" outlineLevel="0" collapsed="false">
      <c r="A2" s="171"/>
      <c r="B2" s="172"/>
      <c r="C2" s="173" t="s">
        <v>356</v>
      </c>
      <c r="D2" s="173"/>
      <c r="E2" s="192"/>
      <c r="F2" s="192"/>
      <c r="G2" s="192"/>
      <c r="H2" s="192"/>
      <c r="I2" s="192"/>
      <c r="J2" s="192"/>
      <c r="K2" s="192"/>
      <c r="L2" s="192"/>
      <c r="M2" s="477"/>
    </row>
    <row r="3" customFormat="false" ht="12.75" hidden="false" customHeight="true" outlineLevel="0" collapsed="false">
      <c r="A3" s="171"/>
      <c r="B3" s="172"/>
      <c r="C3" s="173"/>
      <c r="D3" s="173"/>
      <c r="E3" s="192"/>
      <c r="F3" s="192"/>
      <c r="G3" s="192"/>
      <c r="H3" s="192"/>
      <c r="I3" s="192"/>
      <c r="J3" s="192"/>
      <c r="K3" s="192"/>
      <c r="L3" s="192"/>
      <c r="M3" s="477"/>
    </row>
    <row r="4" customFormat="false" ht="12.75" hidden="false" customHeight="false" outlineLevel="0" collapsed="false">
      <c r="A4" s="171"/>
      <c r="B4" s="172"/>
      <c r="C4" s="180" t="str">
        <f aca="false">IF(Lang="Français","Abaques de performance",IF(Lang="English","Performance charts",""))</f>
        <v>Abaques de performance</v>
      </c>
      <c r="D4" s="180"/>
      <c r="E4" s="192"/>
      <c r="F4" s="192"/>
      <c r="G4" s="192"/>
      <c r="H4" s="192"/>
      <c r="I4" s="192"/>
      <c r="J4" s="192"/>
      <c r="K4" s="192"/>
      <c r="L4" s="192"/>
      <c r="M4" s="477"/>
    </row>
    <row r="5" customFormat="false" ht="12.75" hidden="false" customHeight="false" outlineLevel="0" collapsed="false">
      <c r="A5" s="171"/>
      <c r="B5" s="172"/>
      <c r="C5" s="180" t="str">
        <f aca="false">IF(Lang="Français","Calcul analytique simple",IF(Lang="English","Analytical computation",""))</f>
        <v>Calcul analytique simple</v>
      </c>
      <c r="D5" s="180"/>
      <c r="E5" s="192"/>
      <c r="F5" s="192"/>
      <c r="G5" s="192"/>
      <c r="H5" s="192"/>
      <c r="I5" s="192"/>
      <c r="J5" s="192"/>
      <c r="K5" s="192"/>
      <c r="L5" s="192"/>
      <c r="M5" s="477"/>
    </row>
    <row r="6" customFormat="false" ht="12.75" hidden="false" customHeight="false" outlineLevel="0" collapsed="false">
      <c r="A6" s="171"/>
      <c r="B6" s="19"/>
      <c r="C6" s="174"/>
      <c r="D6" s="174"/>
      <c r="E6" s="192"/>
      <c r="F6" s="192"/>
      <c r="G6" s="192"/>
      <c r="H6" s="192"/>
      <c r="I6" s="192"/>
      <c r="J6" s="192"/>
      <c r="K6" s="192"/>
      <c r="L6" s="192"/>
      <c r="M6" s="477"/>
    </row>
    <row r="7" customFormat="false" ht="12.75" hidden="false" customHeight="false" outlineLevel="0" collapsed="false">
      <c r="A7" s="187"/>
      <c r="B7" s="182"/>
      <c r="C7" s="183" t="str">
        <f aca="false">IF(Lang="Français","Fusée",IF(Lang="English","Rocket",""))</f>
        <v>Fusée</v>
      </c>
      <c r="D7" s="183"/>
      <c r="E7" s="192"/>
      <c r="F7" s="192"/>
      <c r="G7" s="192"/>
      <c r="H7" s="192"/>
      <c r="I7" s="192"/>
      <c r="J7" s="192"/>
      <c r="K7" s="192"/>
      <c r="L7" s="192"/>
      <c r="M7" s="477"/>
    </row>
    <row r="8" customFormat="false" ht="15" hidden="false" customHeight="false" outlineLevel="0" collapsed="false">
      <c r="A8" s="187"/>
      <c r="B8" s="185" t="str">
        <f aca="false">IF(Lang="Français","Nom",IF(Lang="English","Name",""))</f>
        <v>Nom</v>
      </c>
      <c r="C8" s="186" t="str">
        <f aca="false">Nom</f>
        <v>Ma fusée</v>
      </c>
      <c r="D8" s="186"/>
      <c r="E8" s="192"/>
      <c r="F8" s="192"/>
      <c r="G8" s="192"/>
      <c r="H8" s="192"/>
      <c r="I8" s="192"/>
      <c r="J8" s="192"/>
      <c r="K8" s="192"/>
      <c r="L8" s="192"/>
      <c r="M8" s="477"/>
    </row>
    <row r="9" customFormat="false" ht="15" hidden="false" customHeight="false" outlineLevel="0" collapsed="false">
      <c r="A9" s="187"/>
      <c r="B9" s="185" t="s">
        <v>6</v>
      </c>
      <c r="C9" s="186" t="str">
        <f aca="false">Club</f>
        <v>Mon club</v>
      </c>
      <c r="D9" s="186"/>
      <c r="E9" s="192"/>
      <c r="F9" s="192"/>
      <c r="G9" s="192"/>
      <c r="H9" s="192"/>
      <c r="I9" s="192"/>
      <c r="J9" s="192"/>
      <c r="K9" s="192"/>
      <c r="L9" s="192"/>
      <c r="M9" s="477"/>
    </row>
    <row r="10" customFormat="false" ht="12.75" hidden="false" customHeight="false" outlineLevel="0" collapsed="false">
      <c r="A10" s="187"/>
      <c r="B10" s="185" t="str">
        <f aca="false">IF(Lang="Français","Masse sans propu",IF(Lang="English","Mass without M",""))</f>
        <v>Masse sans propu</v>
      </c>
      <c r="C10" s="478" t="n">
        <f aca="false">MasseSans</f>
        <v>8</v>
      </c>
      <c r="D10" s="478"/>
      <c r="E10" s="192"/>
      <c r="F10" s="192"/>
      <c r="G10" s="192"/>
      <c r="H10" s="192"/>
      <c r="I10" s="192"/>
      <c r="J10" s="192"/>
      <c r="K10" s="192"/>
      <c r="L10" s="192"/>
      <c r="M10" s="477"/>
    </row>
    <row r="11" customFormat="false" ht="12.75" hidden="false" customHeight="false" outlineLevel="0" collapsed="false">
      <c r="A11" s="187"/>
      <c r="B11" s="185" t="str">
        <f aca="false">IF(Lang="Français","Masse totale",IF(Lang="English","Total mass",""))</f>
        <v>Masse totale</v>
      </c>
      <c r="C11" s="479" t="str">
        <f aca="false">MassePlein &amp; " kg ±" &amp; MasseSans &amp; " kg"</f>
        <v>9.685 kg ±8 kg</v>
      </c>
      <c r="D11" s="479"/>
      <c r="E11" s="192"/>
      <c r="F11" s="192"/>
      <c r="G11" s="192"/>
      <c r="H11" s="192"/>
      <c r="I11" s="192"/>
      <c r="J11" s="192"/>
      <c r="K11" s="192"/>
      <c r="L11" s="192"/>
      <c r="M11" s="477"/>
    </row>
    <row r="12" customFormat="false" ht="12.75" hidden="false" customHeight="false" outlineLevel="0" collapsed="false">
      <c r="A12" s="187"/>
      <c r="B12" s="190" t="str">
        <f aca="false">IF(Lang="Français","Propulseur",IF(Lang="English","Motor",""))</f>
        <v>Propulseur</v>
      </c>
      <c r="C12" s="191" t="str">
        <f aca="false">Propu</f>
        <v>Barasinga (Pro54-5G C)</v>
      </c>
      <c r="D12" s="191"/>
      <c r="E12" s="192"/>
      <c r="F12" s="192"/>
      <c r="G12" s="192"/>
      <c r="H12" s="192"/>
      <c r="I12" s="192"/>
      <c r="J12" s="192"/>
      <c r="K12" s="192"/>
      <c r="L12" s="192"/>
      <c r="M12" s="477"/>
    </row>
    <row r="13" customFormat="false" ht="12" hidden="false" customHeight="false" outlineLevel="0" collapsed="false">
      <c r="A13" s="187"/>
      <c r="B13" s="174"/>
      <c r="C13" s="174"/>
      <c r="D13" s="174"/>
      <c r="E13" s="192"/>
      <c r="F13" s="192"/>
      <c r="G13" s="192"/>
      <c r="H13" s="192"/>
      <c r="I13" s="192"/>
      <c r="J13" s="192"/>
      <c r="K13" s="192"/>
      <c r="L13" s="192"/>
      <c r="M13" s="477"/>
    </row>
    <row r="14" customFormat="false" ht="12.75" hidden="false" customHeight="false" outlineLevel="0" collapsed="false">
      <c r="A14" s="255"/>
      <c r="B14" s="192"/>
      <c r="C14" s="183" t="str">
        <f aca="false">IF(Lang="Français","Traînée Aérdynamique",IF(Lang="English","Drag",""))</f>
        <v>Traînée Aérdynamique</v>
      </c>
      <c r="D14" s="183"/>
      <c r="E14" s="192"/>
      <c r="F14" s="192"/>
      <c r="G14" s="192"/>
      <c r="H14" s="192"/>
      <c r="I14" s="192"/>
      <c r="J14" s="192"/>
      <c r="K14" s="192"/>
      <c r="L14" s="192"/>
      <c r="M14" s="477"/>
    </row>
    <row r="15" customFormat="false" ht="12.75" hidden="false" customHeight="false" outlineLevel="0" collapsed="false">
      <c r="A15" s="255"/>
      <c r="B15" s="24" t="str">
        <f aca="false">IF(Lang="Français","Diamètre Ø",IF(Lang="English","Diameter Ø",""))</f>
        <v>Diamètre Ø</v>
      </c>
      <c r="C15" s="480" t="n">
        <f aca="false">D_ref</f>
        <v>100</v>
      </c>
      <c r="D15" s="480"/>
      <c r="E15" s="192"/>
      <c r="F15" s="192"/>
      <c r="G15" s="192"/>
      <c r="H15" s="192"/>
      <c r="I15" s="192"/>
      <c r="J15" s="192"/>
      <c r="K15" s="192"/>
      <c r="L15" s="192"/>
      <c r="M15" s="477"/>
    </row>
    <row r="16" customFormat="false" ht="12.75" hidden="false" customHeight="false" outlineLevel="0" collapsed="false">
      <c r="A16" s="255"/>
      <c r="B16" s="185" t="s">
        <v>159</v>
      </c>
      <c r="C16" s="481" t="n">
        <f aca="false">Cx</f>
        <v>0.5</v>
      </c>
      <c r="D16" s="481"/>
      <c r="E16" s="192"/>
      <c r="F16" s="192"/>
      <c r="G16" s="192"/>
      <c r="H16" s="192"/>
      <c r="I16" s="192"/>
      <c r="J16" s="192"/>
      <c r="K16" s="192"/>
      <c r="L16" s="192"/>
      <c r="M16" s="477"/>
    </row>
    <row r="17" customFormat="false" ht="12" hidden="false" customHeight="false" outlineLevel="0" collapsed="false">
      <c r="A17" s="255"/>
      <c r="B17" s="192"/>
      <c r="C17" s="192"/>
      <c r="D17" s="192"/>
      <c r="E17" s="192"/>
      <c r="F17" s="192"/>
      <c r="G17" s="192"/>
      <c r="H17" s="192"/>
      <c r="I17" s="192"/>
      <c r="J17" s="192"/>
      <c r="K17" s="192"/>
      <c r="L17" s="192"/>
      <c r="M17" s="477"/>
    </row>
    <row r="18" customFormat="false" ht="12" hidden="false" customHeight="false" outlineLevel="0" collapsed="false">
      <c r="A18" s="255"/>
      <c r="B18" s="192"/>
      <c r="C18" s="192"/>
      <c r="D18" s="192"/>
      <c r="E18" s="192"/>
      <c r="F18" s="192"/>
      <c r="G18" s="192"/>
      <c r="H18" s="192"/>
      <c r="I18" s="192"/>
      <c r="J18" s="192"/>
      <c r="K18" s="192"/>
      <c r="L18" s="192"/>
      <c r="M18" s="477"/>
    </row>
    <row r="19" customFormat="false" ht="12" hidden="false" customHeight="false" outlineLevel="0" collapsed="false">
      <c r="A19" s="255"/>
      <c r="B19" s="192"/>
      <c r="C19" s="192"/>
      <c r="D19" s="192"/>
      <c r="E19" s="192"/>
      <c r="F19" s="192"/>
      <c r="G19" s="192"/>
      <c r="H19" s="192"/>
      <c r="I19" s="192"/>
      <c r="J19" s="192"/>
      <c r="K19" s="192"/>
      <c r="L19" s="192"/>
      <c r="M19" s="477"/>
    </row>
    <row r="20" customFormat="false" ht="12" hidden="false" customHeight="false" outlineLevel="0" collapsed="false">
      <c r="A20" s="255"/>
      <c r="B20" s="192"/>
      <c r="C20" s="192"/>
      <c r="D20" s="192"/>
      <c r="E20" s="192"/>
      <c r="F20" s="192"/>
      <c r="G20" s="192"/>
      <c r="H20" s="192"/>
      <c r="I20" s="192"/>
      <c r="J20" s="192"/>
      <c r="K20" s="192"/>
      <c r="L20" s="192"/>
      <c r="M20" s="477"/>
    </row>
    <row r="21" customFormat="false" ht="12" hidden="false" customHeight="false" outlineLevel="0" collapsed="false">
      <c r="A21" s="255"/>
      <c r="B21" s="192"/>
      <c r="C21" s="192"/>
      <c r="D21" s="192"/>
      <c r="E21" s="192"/>
      <c r="F21" s="192"/>
      <c r="G21" s="192"/>
      <c r="H21" s="192"/>
      <c r="I21" s="192"/>
      <c r="J21" s="192"/>
      <c r="K21" s="192"/>
      <c r="L21" s="192"/>
      <c r="M21" s="477"/>
    </row>
    <row r="22" customFormat="false" ht="12" hidden="false" customHeight="false" outlineLevel="0" collapsed="false">
      <c r="A22" s="255"/>
      <c r="B22" s="192"/>
      <c r="C22" s="192"/>
      <c r="D22" s="192"/>
      <c r="E22" s="192"/>
      <c r="F22" s="192"/>
      <c r="G22" s="192"/>
      <c r="H22" s="192"/>
      <c r="I22" s="192"/>
      <c r="J22" s="192"/>
      <c r="K22" s="192"/>
      <c r="L22" s="192"/>
      <c r="M22" s="477"/>
    </row>
    <row r="23" customFormat="false" ht="12" hidden="false" customHeight="false" outlineLevel="0" collapsed="false">
      <c r="A23" s="255"/>
      <c r="B23" s="192"/>
      <c r="C23" s="192"/>
      <c r="D23" s="192"/>
      <c r="E23" s="192"/>
      <c r="F23" s="192"/>
      <c r="G23" s="192"/>
      <c r="H23" s="192"/>
      <c r="I23" s="192"/>
      <c r="J23" s="192"/>
      <c r="K23" s="192"/>
      <c r="L23" s="192"/>
      <c r="M23" s="477"/>
    </row>
    <row r="24" customFormat="false" ht="12" hidden="false" customHeight="false" outlineLevel="0" collapsed="false">
      <c r="A24" s="255"/>
      <c r="B24" s="192"/>
      <c r="C24" s="192"/>
      <c r="D24" s="192"/>
      <c r="E24" s="192"/>
      <c r="F24" s="192"/>
      <c r="G24" s="192"/>
      <c r="H24" s="192"/>
      <c r="I24" s="192"/>
      <c r="J24" s="192"/>
      <c r="K24" s="192"/>
      <c r="L24" s="192"/>
      <c r="M24" s="477"/>
    </row>
    <row r="25" customFormat="false" ht="12" hidden="false" customHeight="false" outlineLevel="0" collapsed="false">
      <c r="A25" s="255"/>
      <c r="B25" s="192"/>
      <c r="C25" s="192"/>
      <c r="D25" s="192"/>
      <c r="E25" s="192"/>
      <c r="F25" s="192"/>
      <c r="G25" s="192"/>
      <c r="H25" s="192"/>
      <c r="I25" s="192"/>
      <c r="J25" s="192"/>
      <c r="K25" s="192"/>
      <c r="L25" s="192"/>
      <c r="M25" s="477"/>
    </row>
    <row r="26" customFormat="false" ht="12" hidden="false" customHeight="false" outlineLevel="0" collapsed="false">
      <c r="A26" s="255"/>
      <c r="B26" s="192"/>
      <c r="C26" s="192"/>
      <c r="D26" s="192"/>
      <c r="E26" s="192"/>
      <c r="F26" s="192"/>
      <c r="G26" s="192"/>
      <c r="H26" s="192"/>
      <c r="I26" s="192"/>
      <c r="J26" s="192"/>
      <c r="K26" s="192"/>
      <c r="L26" s="192"/>
      <c r="M26" s="477"/>
    </row>
    <row r="27" customFormat="false" ht="12" hidden="false" customHeight="false" outlineLevel="0" collapsed="false">
      <c r="A27" s="255"/>
      <c r="B27" s="192"/>
      <c r="C27" s="192"/>
      <c r="D27" s="192"/>
      <c r="E27" s="192"/>
      <c r="F27" s="192"/>
      <c r="G27" s="192"/>
      <c r="H27" s="192"/>
      <c r="I27" s="192"/>
      <c r="J27" s="192"/>
      <c r="K27" s="192"/>
      <c r="L27" s="192"/>
      <c r="M27" s="477"/>
    </row>
    <row r="28" customFormat="false" ht="12" hidden="false" customHeight="false" outlineLevel="0" collapsed="false">
      <c r="A28" s="255"/>
      <c r="B28" s="192"/>
      <c r="C28" s="192"/>
      <c r="D28" s="192"/>
      <c r="E28" s="192"/>
      <c r="F28" s="192"/>
      <c r="G28" s="192"/>
      <c r="H28" s="192"/>
      <c r="I28" s="192"/>
      <c r="J28" s="192"/>
      <c r="K28" s="192"/>
      <c r="L28" s="192"/>
      <c r="M28" s="477"/>
    </row>
    <row r="29" customFormat="false" ht="12" hidden="false" customHeight="false" outlineLevel="0" collapsed="false">
      <c r="A29" s="255"/>
      <c r="B29" s="192"/>
      <c r="C29" s="192"/>
      <c r="D29" s="192"/>
      <c r="E29" s="192"/>
      <c r="F29" s="192"/>
      <c r="G29" s="192"/>
      <c r="H29" s="192"/>
      <c r="I29" s="192"/>
      <c r="J29" s="192"/>
      <c r="K29" s="192"/>
      <c r="L29" s="192"/>
      <c r="M29" s="477"/>
    </row>
    <row r="30" customFormat="false" ht="12" hidden="false" customHeight="false" outlineLevel="0" collapsed="false">
      <c r="A30" s="255"/>
      <c r="B30" s="192"/>
      <c r="C30" s="192"/>
      <c r="D30" s="192"/>
      <c r="E30" s="192"/>
      <c r="F30" s="192"/>
      <c r="G30" s="192"/>
      <c r="H30" s="192"/>
      <c r="I30" s="192"/>
      <c r="J30" s="192"/>
      <c r="K30" s="192"/>
      <c r="L30" s="192"/>
      <c r="M30" s="477"/>
    </row>
    <row r="31" customFormat="false" ht="12" hidden="false" customHeight="false" outlineLevel="0" collapsed="false">
      <c r="A31" s="255"/>
      <c r="B31" s="192"/>
      <c r="C31" s="192"/>
      <c r="D31" s="192"/>
      <c r="E31" s="192"/>
      <c r="F31" s="192"/>
      <c r="G31" s="192"/>
      <c r="H31" s="192"/>
      <c r="I31" s="192"/>
      <c r="J31" s="192"/>
      <c r="K31" s="192"/>
      <c r="L31" s="192"/>
      <c r="M31" s="477"/>
    </row>
    <row r="32" customFormat="false" ht="12" hidden="false" customHeight="false" outlineLevel="0" collapsed="false">
      <c r="A32" s="255"/>
      <c r="B32" s="192"/>
      <c r="C32" s="192"/>
      <c r="D32" s="192"/>
      <c r="E32" s="192"/>
      <c r="F32" s="192"/>
      <c r="G32" s="192"/>
      <c r="H32" s="192"/>
      <c r="I32" s="192"/>
      <c r="J32" s="192"/>
      <c r="K32" s="192"/>
      <c r="L32" s="192"/>
      <c r="M32" s="477"/>
    </row>
    <row r="33" customFormat="false" ht="12" hidden="false" customHeight="false" outlineLevel="0" collapsed="false">
      <c r="A33" s="255"/>
      <c r="B33" s="192"/>
      <c r="C33" s="192"/>
      <c r="D33" s="192"/>
      <c r="E33" s="192"/>
      <c r="F33" s="192"/>
      <c r="G33" s="192"/>
      <c r="H33" s="192"/>
      <c r="I33" s="192"/>
      <c r="J33" s="192"/>
      <c r="K33" s="192"/>
      <c r="L33" s="192"/>
      <c r="M33" s="477"/>
    </row>
    <row r="34" customFormat="false" ht="12" hidden="false" customHeight="false" outlineLevel="0" collapsed="false">
      <c r="A34" s="255"/>
      <c r="B34" s="192"/>
      <c r="C34" s="192"/>
      <c r="D34" s="192"/>
      <c r="E34" s="192"/>
      <c r="F34" s="192"/>
      <c r="G34" s="192"/>
      <c r="H34" s="192"/>
      <c r="I34" s="192"/>
      <c r="J34" s="192"/>
      <c r="K34" s="192"/>
      <c r="L34" s="192"/>
      <c r="M34" s="477"/>
    </row>
    <row r="35" customFormat="false" ht="12.75" hidden="false" customHeight="false" outlineLevel="0" collapsed="false">
      <c r="A35" s="482"/>
      <c r="B35" s="483"/>
      <c r="C35" s="483"/>
      <c r="D35" s="483"/>
      <c r="E35" s="483"/>
      <c r="F35" s="483"/>
      <c r="G35" s="483"/>
      <c r="H35" s="483"/>
      <c r="I35" s="483"/>
      <c r="J35" s="483"/>
      <c r="K35" s="483"/>
      <c r="L35" s="483"/>
      <c r="M35" s="484"/>
    </row>
    <row r="39" customFormat="false" ht="12.75" hidden="false" customHeight="false" outlineLevel="0" collapsed="false">
      <c r="B39" s="265" t="s">
        <v>220</v>
      </c>
      <c r="C39" s="264" t="s">
        <v>357</v>
      </c>
      <c r="D39" s="265" t="s">
        <v>358</v>
      </c>
      <c r="E39" s="265" t="s">
        <v>359</v>
      </c>
      <c r="F39" s="265" t="s">
        <v>360</v>
      </c>
      <c r="G39" s="265" t="s">
        <v>162</v>
      </c>
      <c r="H39" s="265" t="s">
        <v>361</v>
      </c>
      <c r="I39" s="265" t="s">
        <v>362</v>
      </c>
      <c r="J39" s="265" t="s">
        <v>363</v>
      </c>
      <c r="K39" s="265" t="s">
        <v>364</v>
      </c>
      <c r="L39" s="265" t="s">
        <v>365</v>
      </c>
      <c r="M39" s="265" t="s">
        <v>366</v>
      </c>
    </row>
    <row r="40" customFormat="false" ht="12.75" hidden="false" customHeight="false" outlineLevel="0" collapsed="false">
      <c r="B40" s="272" t="s">
        <v>367</v>
      </c>
      <c r="C40" s="264" t="s">
        <v>368</v>
      </c>
      <c r="D40" s="265" t="s">
        <v>369</v>
      </c>
      <c r="E40" s="265" t="s">
        <v>370</v>
      </c>
      <c r="F40" s="265" t="s">
        <v>371</v>
      </c>
      <c r="G40" s="265" t="s">
        <v>372</v>
      </c>
      <c r="H40" s="265" t="s">
        <v>373</v>
      </c>
      <c r="I40" s="265" t="s">
        <v>374</v>
      </c>
      <c r="J40" s="265" t="s">
        <v>375</v>
      </c>
      <c r="K40" s="265" t="s">
        <v>376</v>
      </c>
      <c r="L40" s="265"/>
      <c r="M40" s="265"/>
    </row>
    <row r="41" customFormat="false" ht="12" hidden="false" customHeight="false" outlineLevel="0" collapsed="false">
      <c r="B41" s="485" t="n">
        <f aca="false">MAX(D_ref*0.5, Diam_propu)</f>
        <v>54</v>
      </c>
      <c r="C41" s="486" t="n">
        <f aca="false">1/2*Rho_moyen*PI()*D_var^2/4*Cx/10^6</f>
        <v>0.000701380194868006</v>
      </c>
      <c r="D41" s="487" t="n">
        <f aca="false">MpropuPlein+0*MasseSans</f>
        <v>1.685</v>
      </c>
      <c r="E41" s="487" t="n">
        <f aca="false">m_var - 0.5*m_poudre</f>
        <v>1.1685</v>
      </c>
      <c r="F41" s="487" t="n">
        <f aca="false">m_var - m_poudre</f>
        <v>0.652</v>
      </c>
      <c r="G41" s="488" t="n">
        <f aca="false">MAX(0, (I_total/Temps_fin_propu)/m_prop-g)</f>
        <v>480.872171152455</v>
      </c>
      <c r="H41" s="489" t="n">
        <f aca="false">Q_var/m_prop</f>
        <v>0.000600239790216522</v>
      </c>
      <c r="I41" s="486" t="n">
        <f aca="false">Q_var/m_bal</f>
        <v>0.00107573649519633</v>
      </c>
      <c r="J41" s="486" t="n">
        <f aca="false">1/(2*b_prop)*LN(  ((EXP(2*SQRT(a_prop*b_prop)*Temps_fin_propu)+1)^2)  /  (((1+1)^2)*EXP(2*SQRT(a_prop*b_prop)*Temps_fin_propu)))</f>
        <v>2093.30573157519</v>
      </c>
      <c r="K41" s="490" t="n">
        <f aca="false">SQRT(a_prop/b_prop)  *  (EXP(2*SQRT(a_prop*b_prop)*Temps_fin_propu)-1)/(EXP(2*SQRT(a_prop*b_prop)*Temps_fin_propu)+1)</f>
        <v>858.03255877093</v>
      </c>
      <c r="L41" s="491" t="n">
        <f aca="false">alt_prop + 1/(2*b_bal) * LN(1+b_bal/g*V_prop^2)</f>
        <v>4140.01638474441</v>
      </c>
      <c r="M41" s="492" t="n">
        <f aca="false">Temps_fin_propu + ATAN(SQRT(b_bal/g)*V_prop)/SQRT(b_bal*g)</f>
        <v>17.80191452983</v>
      </c>
    </row>
    <row r="42" customFormat="false" ht="12" hidden="false" customHeight="false" outlineLevel="0" collapsed="false">
      <c r="B42" s="493" t="n">
        <f aca="false">MAX(D_ref*0.5, Diam_propu)</f>
        <v>54</v>
      </c>
      <c r="C42" s="494" t="n">
        <f aca="false">1/2*Rho_moyen*PI()*D_var^2/4*Cx/10^6</f>
        <v>0.000701380194868006</v>
      </c>
      <c r="D42" s="495" t="n">
        <f aca="false">MpropuPlein+0.25*MasseSans</f>
        <v>3.685</v>
      </c>
      <c r="E42" s="495" t="n">
        <f aca="false">m_var - 0.5*m_poudre</f>
        <v>3.1685</v>
      </c>
      <c r="F42" s="495" t="n">
        <f aca="false">m_var - m_poudre</f>
        <v>2.652</v>
      </c>
      <c r="G42" s="496" t="n">
        <f aca="false">MAX(0, (I_total/Temps_fin_propu)/m_prop-g)</f>
        <v>171.146956601434</v>
      </c>
      <c r="H42" s="494" t="n">
        <f aca="false">Q_var/m_prop</f>
        <v>0.000221360326611332</v>
      </c>
      <c r="I42" s="494" t="n">
        <f aca="false">Q_var/m_bal</f>
        <v>0.00026447217001056</v>
      </c>
      <c r="J42" s="494" t="n">
        <f aca="false">1/(2*b_prop)*LN(  ((EXP(2*SQRT(a_prop*b_prop)*Temps_fin_propu)+1)^2)  /  (((1+1)^2)*EXP(2*SQRT(a_prop*b_prop)*Temps_fin_propu)))</f>
        <v>1023.31874643569</v>
      </c>
      <c r="K42" s="497" t="n">
        <f aca="false">SQRT(a_prop/b_prop)  *  (EXP(2*SQRT(a_prop*b_prop)*Temps_fin_propu)-1)/(EXP(2*SQRT(a_prop*b_prop)*Temps_fin_propu)+1)</f>
        <v>530.725893022717</v>
      </c>
      <c r="L42" s="498" t="n">
        <f aca="false">alt_prop + 1/(2*b_bal) * LN(1+b_bal/g*V_prop^2)</f>
        <v>5089.95737874255</v>
      </c>
      <c r="M42" s="499" t="n">
        <f aca="false">Temps_fin_propu + ATAN(SQRT(b_bal/g)*V_prop)/SQRT(b_bal*g)</f>
        <v>27.5943625236025</v>
      </c>
    </row>
    <row r="43" customFormat="false" ht="12" hidden="false" customHeight="false" outlineLevel="0" collapsed="false">
      <c r="B43" s="493" t="n">
        <f aca="false">MAX(D_ref*0.5, Diam_propu)</f>
        <v>54</v>
      </c>
      <c r="C43" s="494" t="n">
        <f aca="false">1/2*Rho_moyen*PI()*D_var^2/4*Cx/10^6</f>
        <v>0.000701380194868006</v>
      </c>
      <c r="D43" s="495" t="n">
        <f aca="false">MpropuPlein+0.5*MasseSans</f>
        <v>5.685</v>
      </c>
      <c r="E43" s="495" t="n">
        <f aca="false">m_var - 0.5*m_poudre</f>
        <v>5.1685</v>
      </c>
      <c r="F43" s="495" t="n">
        <f aca="false">m_var - m_poudre</f>
        <v>4.652</v>
      </c>
      <c r="G43" s="496" t="n">
        <f aca="false">MAX(0, (I_total/Temps_fin_propu)/m_prop-g)</f>
        <v>101.123949306693</v>
      </c>
      <c r="H43" s="494" t="n">
        <f aca="false">Q_var/m_prop</f>
        <v>0.000135702852833125</v>
      </c>
      <c r="I43" s="494" t="n">
        <f aca="false">Q_var/m_bal</f>
        <v>0.000150769603368015</v>
      </c>
      <c r="J43" s="494" t="n">
        <f aca="false">1/(2*b_prop)*LN(  ((EXP(2*SQRT(a_prop*b_prop)*Temps_fin_propu)+1)^2)  /  (((1+1)^2)*EXP(2*SQRT(a_prop*b_prop)*Temps_fin_propu)))</f>
        <v>633.299201900387</v>
      </c>
      <c r="K43" s="497" t="n">
        <f aca="false">SQRT(a_prop/b_prop)  *  (EXP(2*SQRT(a_prop*b_prop)*Temps_fin_propu)-1)/(EXP(2*SQRT(a_prop*b_prop)*Temps_fin_propu)+1)</f>
        <v>343.045691557145</v>
      </c>
      <c r="L43" s="498" t="n">
        <f aca="false">alt_prop + 1/(2*b_bal) * LN(1+b_bal/g*V_prop^2)</f>
        <v>4058.04564932133</v>
      </c>
      <c r="M43" s="499" t="n">
        <f aca="false">Temps_fin_propu + ATAN(SQRT(b_bal/g)*V_prop)/SQRT(b_bal*g)</f>
        <v>27.8088589782933</v>
      </c>
    </row>
    <row r="44" customFormat="false" ht="12" hidden="false" customHeight="false" outlineLevel="0" collapsed="false">
      <c r="B44" s="493" t="n">
        <f aca="false">MAX(D_ref*0.5, Diam_propu)</f>
        <v>54</v>
      </c>
      <c r="C44" s="494" t="n">
        <f aca="false">1/2*Rho_moyen*PI()*D_var^2/4*Cx/10^6</f>
        <v>0.000701380194868006</v>
      </c>
      <c r="D44" s="495" t="n">
        <f aca="false">MpropuPlein+0.75*MasseSans</f>
        <v>7.685</v>
      </c>
      <c r="E44" s="495" t="n">
        <f aca="false">m_var - 0.5*m_poudre</f>
        <v>7.1685</v>
      </c>
      <c r="F44" s="495" t="n">
        <f aca="false">m_var - m_poudre</f>
        <v>6.652</v>
      </c>
      <c r="G44" s="496" t="n">
        <f aca="false">MAX(0, (I_total/Temps_fin_propu)/m_prop-g)</f>
        <v>70.1735554148906</v>
      </c>
      <c r="H44" s="494" t="n">
        <f aca="false">Q_var/m_prop</f>
        <v>9.7841974592733E-005</v>
      </c>
      <c r="I44" s="494" t="n">
        <f aca="false">Q_var/m_bal</f>
        <v>0.000105438995019243</v>
      </c>
      <c r="J44" s="494" t="n">
        <f aca="false">1/(2*b_prop)*LN(  ((EXP(2*SQRT(a_prop*b_prop)*Temps_fin_propu)+1)^2)  /  (((1+1)^2)*EXP(2*SQRT(a_prop*b_prop)*Temps_fin_propu)))</f>
        <v>445.686038367972</v>
      </c>
      <c r="K44" s="497" t="n">
        <f aca="false">SQRT(a_prop/b_prop)  *  (EXP(2*SQRT(a_prop*b_prop)*Temps_fin_propu)-1)/(EXP(2*SQRT(a_prop*b_prop)*Temps_fin_propu)+1)</f>
        <v>244.746207872167</v>
      </c>
      <c r="L44" s="498" t="n">
        <f aca="false">alt_prop + 1/(2*b_bal) * LN(1+b_bal/g*V_prop^2)</f>
        <v>2802.60606486734</v>
      </c>
      <c r="M44" s="499" t="n">
        <f aca="false">Temps_fin_propu + ATAN(SQRT(b_bal/g)*V_prop)/SQRT(b_bal*g)</f>
        <v>24.6149689503576</v>
      </c>
    </row>
    <row r="45" customFormat="false" ht="12" hidden="false" customHeight="false" outlineLevel="0" collapsed="false">
      <c r="B45" s="493" t="n">
        <f aca="false">MAX(D_ref*0.5, Diam_propu)</f>
        <v>54</v>
      </c>
      <c r="C45" s="494" t="n">
        <f aca="false">1/2*Rho_moyen*PI()*D_var^2/4*Cx/10^6</f>
        <v>0.000701380194868006</v>
      </c>
      <c r="D45" s="495" t="n">
        <f aca="false">MpropuPlein+1*MasseSans</f>
        <v>9.685</v>
      </c>
      <c r="E45" s="495" t="n">
        <f aca="false">m_var - 0.5*m_poudre</f>
        <v>9.1685</v>
      </c>
      <c r="F45" s="495" t="n">
        <f aca="false">m_var - m_poudre</f>
        <v>8.652</v>
      </c>
      <c r="G45" s="496" t="n">
        <f aca="false">MAX(0, (I_total/Temps_fin_propu)/m_prop-g)</f>
        <v>52.7260873634339</v>
      </c>
      <c r="H45" s="494" t="n">
        <f aca="false">Q_var/m_prop</f>
        <v>7.64989032958506E-005</v>
      </c>
      <c r="I45" s="494" t="n">
        <f aca="false">Q_var/m_bal</f>
        <v>8.10656720836808E-005</v>
      </c>
      <c r="J45" s="494" t="n">
        <f aca="false">1/(2*b_prop)*LN(  ((EXP(2*SQRT(a_prop*b_prop)*Temps_fin_propu)+1)^2)  /  (((1+1)^2)*EXP(2*SQRT(a_prop*b_prop)*Temps_fin_propu)))</f>
        <v>336.86595454496</v>
      </c>
      <c r="K45" s="497" t="n">
        <f aca="false">SQRT(a_prop/b_prop)  *  (EXP(2*SQRT(a_prop*b_prop)*Temps_fin_propu)-1)/(EXP(2*SQRT(a_prop*b_prop)*Temps_fin_propu)+1)</f>
        <v>186.073491524422</v>
      </c>
      <c r="L45" s="498" t="n">
        <f aca="false">alt_prop + 1/(2*b_bal) * LN(1+b_bal/g*V_prop^2)</f>
        <v>1888.84337610522</v>
      </c>
      <c r="M45" s="499" t="n">
        <f aca="false">Temps_fin_propu + ATAN(SQRT(b_bal/g)*V_prop)/SQRT(b_bal*g)</f>
        <v>21.0073024890271</v>
      </c>
    </row>
    <row r="46" customFormat="false" ht="12" hidden="false" customHeight="false" outlineLevel="0" collapsed="false">
      <c r="B46" s="493" t="n">
        <f aca="false">MAX(D_ref*0.5, Diam_propu)</f>
        <v>54</v>
      </c>
      <c r="C46" s="494" t="n">
        <f aca="false">1/2*Rho_moyen*PI()*D_var^2/4*Cx/10^6</f>
        <v>0.000701380194868006</v>
      </c>
      <c r="D46" s="495" t="n">
        <f aca="false">MpropuPlein+1.25*MasseSans</f>
        <v>11.685</v>
      </c>
      <c r="E46" s="495" t="n">
        <f aca="false">m_var - 0.5*m_poudre</f>
        <v>11.1685</v>
      </c>
      <c r="F46" s="495" t="n">
        <f aca="false">m_var - m_poudre</f>
        <v>10.652</v>
      </c>
      <c r="G46" s="496" t="n">
        <f aca="false">MAX(0, (I_total/Temps_fin_propu)/m_prop-g)</f>
        <v>41.5274326894071</v>
      </c>
      <c r="H46" s="494" t="n">
        <f aca="false">Q_var/m_prop</f>
        <v>6.27998562804321E-005</v>
      </c>
      <c r="I46" s="494" t="n">
        <f aca="false">Q_var/m_bal</f>
        <v>6.58449300476912E-005</v>
      </c>
      <c r="J46" s="494" t="n">
        <f aca="false">1/(2*b_prop)*LN(  ((EXP(2*SQRT(a_prop*b_prop)*Temps_fin_propu)+1)^2)  /  (((1+1)^2)*EXP(2*SQRT(a_prop*b_prop)*Temps_fin_propu)))</f>
        <v>266.119071300646</v>
      </c>
      <c r="K46" s="497" t="n">
        <f aca="false">SQRT(a_prop/b_prop)  *  (EXP(2*SQRT(a_prop*b_prop)*Temps_fin_propu)-1)/(EXP(2*SQRT(a_prop*b_prop)*Temps_fin_propu)+1)</f>
        <v>147.435351761997</v>
      </c>
      <c r="L46" s="498" t="n">
        <f aca="false">alt_prop + 1/(2*b_bal) * LN(1+b_bal/g*V_prop^2)</f>
        <v>1300.29691950421</v>
      </c>
      <c r="M46" s="499" t="n">
        <f aca="false">Temps_fin_propu + ATAN(SQRT(b_bal/g)*V_prop)/SQRT(b_bal*g)</f>
        <v>17.9461637928285</v>
      </c>
    </row>
    <row r="47" customFormat="false" ht="12" hidden="false" customHeight="false" outlineLevel="0" collapsed="false">
      <c r="B47" s="493" t="n">
        <f aca="false">MAX(D_ref*0.5, Diam_propu)</f>
        <v>54</v>
      </c>
      <c r="C47" s="494" t="n">
        <f aca="false">1/2*Rho_moyen*PI()*D_var^2/4*Cx/10^6</f>
        <v>0.000701380194868006</v>
      </c>
      <c r="D47" s="495" t="n">
        <f aca="false">MpropuPlein+1.5*MasseSans</f>
        <v>13.685</v>
      </c>
      <c r="E47" s="495" t="n">
        <f aca="false">m_var - 0.5*m_poudre</f>
        <v>13.1685</v>
      </c>
      <c r="F47" s="495" t="n">
        <f aca="false">m_var - m_poudre</f>
        <v>12.652</v>
      </c>
      <c r="G47" s="496" t="n">
        <f aca="false">MAX(0, (I_total/Temps_fin_propu)/m_prop-g)</f>
        <v>33.7304273069555</v>
      </c>
      <c r="H47" s="494" t="n">
        <f aca="false">Q_var/m_prop</f>
        <v>5.3261965665642E-005</v>
      </c>
      <c r="I47" s="494" t="n">
        <f aca="false">Q_var/m_bal</f>
        <v>5.54363100591216E-005</v>
      </c>
      <c r="J47" s="494" t="n">
        <f aca="false">1/(2*b_prop)*LN(  ((EXP(2*SQRT(a_prop*b_prop)*Temps_fin_propu)+1)^2)  /  (((1+1)^2)*EXP(2*SQRT(a_prop*b_prop)*Temps_fin_propu)))</f>
        <v>216.526904978604</v>
      </c>
      <c r="K47" s="497" t="n">
        <f aca="false">SQRT(a_prop/b_prop)  *  (EXP(2*SQRT(a_prop*b_prop)*Temps_fin_propu)-1)/(EXP(2*SQRT(a_prop*b_prop)*Temps_fin_propu)+1)</f>
        <v>120.166215583097</v>
      </c>
      <c r="L47" s="498" t="n">
        <f aca="false">alt_prop + 1/(2*b_bal) * LN(1+b_bal/g*V_prop^2)</f>
        <v>924.018184885724</v>
      </c>
      <c r="M47" s="499" t="n">
        <f aca="false">Temps_fin_propu + ATAN(SQRT(b_bal/g)*V_prop)/SQRT(b_bal*g)</f>
        <v>15.5215952701193</v>
      </c>
    </row>
    <row r="48" customFormat="false" ht="12" hidden="false" customHeight="false" outlineLevel="0" collapsed="false">
      <c r="B48" s="493" t="n">
        <f aca="false">MAX(D_ref*0.5, Diam_propu)</f>
        <v>54</v>
      </c>
      <c r="C48" s="494" t="n">
        <f aca="false">1/2*Rho_moyen*PI()*D_var^2/4*Cx/10^6</f>
        <v>0.000701380194868006</v>
      </c>
      <c r="D48" s="495" t="n">
        <f aca="false">MpropuPlein+1.75*MasseSans</f>
        <v>15.685</v>
      </c>
      <c r="E48" s="495" t="n">
        <f aca="false">m_var - 0.5*m_poudre</f>
        <v>15.1685</v>
      </c>
      <c r="F48" s="495" t="n">
        <f aca="false">m_var - m_poudre</f>
        <v>14.652</v>
      </c>
      <c r="G48" s="496" t="n">
        <f aca="false">MAX(0, (I_total/Temps_fin_propu)/m_prop-g)</f>
        <v>27.9895264522954</v>
      </c>
      <c r="H48" s="494" t="n">
        <f aca="false">Q_var/m_prop</f>
        <v>4.62392586523391E-005</v>
      </c>
      <c r="I48" s="494" t="n">
        <f aca="false">Q_var/m_bal</f>
        <v>4.78692461689876E-005</v>
      </c>
      <c r="J48" s="494" t="n">
        <f aca="false">1/(2*b_prop)*LN(  ((EXP(2*SQRT(a_prop*b_prop)*Temps_fin_propu)+1)^2)  /  (((1+1)^2)*EXP(2*SQRT(a_prop*b_prop)*Temps_fin_propu)))</f>
        <v>179.86671062417</v>
      </c>
      <c r="K48" s="497" t="n">
        <f aca="false">SQRT(a_prop/b_prop)  *  (EXP(2*SQRT(a_prop*b_prop)*Temps_fin_propu)-1)/(EXP(2*SQRT(a_prop*b_prop)*Temps_fin_propu)+1)</f>
        <v>99.9274212841347</v>
      </c>
      <c r="L48" s="498" t="n">
        <f aca="false">alt_prop + 1/(2*b_bal) * LN(1+b_bal/g*V_prop^2)</f>
        <v>676.800434711026</v>
      </c>
      <c r="M48" s="499" t="n">
        <f aca="false">Temps_fin_propu + ATAN(SQRT(b_bal/g)*V_prop)/SQRT(b_bal*g)</f>
        <v>13.6155119585794</v>
      </c>
    </row>
    <row r="49" customFormat="false" ht="12" hidden="false" customHeight="false" outlineLevel="0" collapsed="false">
      <c r="B49" s="500" t="n">
        <f aca="false">MAX(D_ref*0.5, Diam_propu)</f>
        <v>54</v>
      </c>
      <c r="C49" s="501" t="n">
        <f aca="false">1/2*Rho_moyen*PI()*D_var^2/4*Cx/10^6</f>
        <v>0.000701380194868006</v>
      </c>
      <c r="D49" s="502" t="n">
        <f aca="false">MpropuPlein+2*MasseSans</f>
        <v>17.685</v>
      </c>
      <c r="E49" s="502" t="n">
        <f aca="false">m_var - 0.5*m_poudre</f>
        <v>17.1685</v>
      </c>
      <c r="F49" s="502" t="n">
        <f aca="false">m_var - m_poudre</f>
        <v>16.652</v>
      </c>
      <c r="G49" s="503" t="n">
        <f aca="false">MAX(0, (I_total/Temps_fin_propu)/m_prop-g)</f>
        <v>23.5861683892969</v>
      </c>
      <c r="H49" s="501" t="n">
        <f aca="false">Q_var/m_prop</f>
        <v>4.08527358166413E-005</v>
      </c>
      <c r="I49" s="501" t="n">
        <f aca="false">Q_var/m_bal</f>
        <v>4.21198771840023E-005</v>
      </c>
      <c r="J49" s="501" t="n">
        <f aca="false">1/(2*b_prop)*LN(  ((EXP(2*SQRT(a_prop*b_prop)*Temps_fin_propu)+1)^2)  /  (((1+1)^2)*EXP(2*SQRT(a_prop*b_prop)*Temps_fin_propu)))</f>
        <v>151.676905263604</v>
      </c>
      <c r="K49" s="504" t="n">
        <f aca="false">SQRT(a_prop/b_prop)  *  (EXP(2*SQRT(a_prop*b_prop)*Temps_fin_propu)-1)/(EXP(2*SQRT(a_prop*b_prop)*Temps_fin_propu)+1)</f>
        <v>84.3255688429026</v>
      </c>
      <c r="L49" s="505" t="n">
        <f aca="false">alt_prop + 1/(2*b_bal) * LN(1+b_bal/g*V_prop^2)</f>
        <v>508.680611178318</v>
      </c>
      <c r="M49" s="506" t="n">
        <f aca="false">Temps_fin_propu + ATAN(SQRT(b_bal/g)*V_prop)/SQRT(b_bal*g)</f>
        <v>12.0999675502613</v>
      </c>
    </row>
    <row r="50" customFormat="false" ht="12" hidden="false" customHeight="false" outlineLevel="0" collapsed="false">
      <c r="B50" s="485" t="n">
        <f aca="false">D_ref</f>
        <v>100</v>
      </c>
      <c r="C50" s="486" t="n">
        <f aca="false">1/2*Rho_moyen*PI()*D_var^2/4*Cx/10^6</f>
        <v>0.00240528187540469</v>
      </c>
      <c r="D50" s="487" t="n">
        <f aca="false">MpropuPlein+0*MasseSans</f>
        <v>1.685</v>
      </c>
      <c r="E50" s="487" t="n">
        <f aca="false">m_var - 0.5*m_poudre</f>
        <v>1.1685</v>
      </c>
      <c r="F50" s="487" t="n">
        <f aca="false">m_var - m_poudre</f>
        <v>0.652</v>
      </c>
      <c r="G50" s="488" t="n">
        <f aca="false">MAX(0, (I_total/Temps_fin_propu)/m_prop-g)</f>
        <v>480.872171152455</v>
      </c>
      <c r="H50" s="486" t="n">
        <f aca="false">Q_var/m_prop</f>
        <v>0.00205843549456969</v>
      </c>
      <c r="I50" s="486" t="n">
        <f aca="false">Q_var/m_bal</f>
        <v>0.00368908263098878</v>
      </c>
      <c r="J50" s="486" t="n">
        <f aca="false">1/(2*b_prop)*LN(  ((EXP(2*SQRT(a_prop*b_prop)*Temps_fin_propu)+1)^2)  /  (((1+1)^2)*EXP(2*SQRT(a_prop*b_prop)*Temps_fin_propu)))</f>
        <v>1398.81313701222</v>
      </c>
      <c r="K50" s="490" t="n">
        <f aca="false">SQRT(a_prop/b_prop)  *  (EXP(2*SQRT(a_prop*b_prop)*Temps_fin_propu)-1)/(EXP(2*SQRT(a_prop*b_prop)*Temps_fin_propu)+1)</f>
        <v>482.569628915319</v>
      </c>
      <c r="L50" s="491" t="n">
        <f aca="false">alt_prop + 1/(2*b_bal) * LN(1+b_bal/g*V_prop^2)</f>
        <v>2006.52859285991</v>
      </c>
      <c r="M50" s="492" t="n">
        <f aca="false">Temps_fin_propu + ATAN(SQRT(b_bal/g)*V_prop)/SQRT(b_bal*g)</f>
        <v>11.2874754245382</v>
      </c>
    </row>
    <row r="51" customFormat="false" ht="12" hidden="false" customHeight="false" outlineLevel="0" collapsed="false">
      <c r="B51" s="493" t="n">
        <f aca="false">D_ref</f>
        <v>100</v>
      </c>
      <c r="C51" s="494" t="n">
        <f aca="false">1/2*Rho_moyen*PI()*D_var^2/4*Cx/10^6</f>
        <v>0.00240528187540469</v>
      </c>
      <c r="D51" s="495" t="n">
        <f aca="false">MpropuPlein+0.25*MasseSans</f>
        <v>3.685</v>
      </c>
      <c r="E51" s="495" t="n">
        <f aca="false">m_var - 0.5*m_poudre</f>
        <v>3.1685</v>
      </c>
      <c r="F51" s="495" t="n">
        <f aca="false">m_var - m_poudre</f>
        <v>2.652</v>
      </c>
      <c r="G51" s="496" t="n">
        <f aca="false">MAX(0, (I_total/Temps_fin_propu)/m_prop-g)</f>
        <v>171.146956601434</v>
      </c>
      <c r="H51" s="494" t="n">
        <f aca="false">Q_var/m_prop</f>
        <v>0.000759123205114308</v>
      </c>
      <c r="I51" s="494" t="n">
        <f aca="false">Q_var/m_bal</f>
        <v>0.000906969032958026</v>
      </c>
      <c r="J51" s="494" t="n">
        <f aca="false">1/(2*b_prop)*LN(  ((EXP(2*SQRT(a_prop*b_prop)*Temps_fin_propu)+1)^2)  /  (((1+1)^2)*EXP(2*SQRT(a_prop*b_prop)*Temps_fin_propu)))</f>
        <v>886.989245975327</v>
      </c>
      <c r="K51" s="497" t="n">
        <f aca="false">SQRT(a_prop/b_prop)  *  (EXP(2*SQRT(a_prop*b_prop)*Temps_fin_propu)-1)/(EXP(2*SQRT(a_prop*b_prop)*Temps_fin_propu)+1)</f>
        <v>408.425996592281</v>
      </c>
      <c r="L51" s="498" t="n">
        <f aca="false">alt_prop + 1/(2*b_bal) * LN(1+b_bal/g*V_prop^2)</f>
        <v>2429.84371883604</v>
      </c>
      <c r="M51" s="499" t="n">
        <f aca="false">Temps_fin_propu + ATAN(SQRT(b_bal/g)*V_prop)/SQRT(b_bal*g)</f>
        <v>17.5994823382187</v>
      </c>
    </row>
    <row r="52" customFormat="false" ht="12" hidden="false" customHeight="false" outlineLevel="0" collapsed="false">
      <c r="B52" s="493" t="n">
        <f aca="false">D_ref</f>
        <v>100</v>
      </c>
      <c r="C52" s="494" t="n">
        <f aca="false">1/2*Rho_moyen*PI()*D_var^2/4*Cx/10^6</f>
        <v>0.00240528187540469</v>
      </c>
      <c r="D52" s="495" t="n">
        <f aca="false">MpropuPlein+0.5*MasseSans</f>
        <v>5.685</v>
      </c>
      <c r="E52" s="495" t="n">
        <f aca="false">m_var - 0.5*m_poudre</f>
        <v>5.1685</v>
      </c>
      <c r="F52" s="495" t="n">
        <f aca="false">m_var - m_poudre</f>
        <v>4.652</v>
      </c>
      <c r="G52" s="496" t="n">
        <f aca="false">MAX(0, (I_total/Temps_fin_propu)/m_prop-g)</f>
        <v>101.123949306693</v>
      </c>
      <c r="H52" s="494" t="n">
        <f aca="false">Q_var/m_prop</f>
        <v>0.000465373295038151</v>
      </c>
      <c r="I52" s="494" t="n">
        <f aca="false">Q_var/m_bal</f>
        <v>0.000517042535555607</v>
      </c>
      <c r="J52" s="494" t="n">
        <f aca="false">1/(2*b_prop)*LN(  ((EXP(2*SQRT(a_prop*b_prop)*Temps_fin_propu)+1)^2)  /  (((1+1)^2)*EXP(2*SQRT(a_prop*b_prop)*Temps_fin_propu)))</f>
        <v>594.787898853918</v>
      </c>
      <c r="K52" s="497" t="n">
        <f aca="false">SQRT(a_prop/b_prop)  *  (EXP(2*SQRT(a_prop*b_prop)*Temps_fin_propu)-1)/(EXP(2*SQRT(a_prop*b_prop)*Temps_fin_propu)+1)</f>
        <v>303.936521247396</v>
      </c>
      <c r="L52" s="498" t="n">
        <f aca="false">alt_prop + 1/(2*b_bal) * LN(1+b_bal/g*V_prop^2)</f>
        <v>2306.10967284898</v>
      </c>
      <c r="M52" s="499" t="n">
        <f aca="false">Temps_fin_propu + ATAN(SQRT(b_bal/g)*V_prop)/SQRT(b_bal*g)</f>
        <v>19.6711164749995</v>
      </c>
    </row>
    <row r="53" customFormat="false" ht="12" hidden="false" customHeight="false" outlineLevel="0" collapsed="false">
      <c r="B53" s="493" t="n">
        <f aca="false">D_ref</f>
        <v>100</v>
      </c>
      <c r="C53" s="494" t="n">
        <f aca="false">1/2*Rho_moyen*PI()*D_var^2/4*Cx/10^6</f>
        <v>0.00240528187540469</v>
      </c>
      <c r="D53" s="495" t="n">
        <f aca="false">MpropuPlein+0.75*MasseSans</f>
        <v>7.685</v>
      </c>
      <c r="E53" s="495" t="n">
        <f aca="false">m_var - 0.5*m_poudre</f>
        <v>7.1685</v>
      </c>
      <c r="F53" s="495" t="n">
        <f aca="false">m_var - m_poudre</f>
        <v>6.652</v>
      </c>
      <c r="G53" s="496" t="n">
        <f aca="false">MAX(0, (I_total/Temps_fin_propu)/m_prop-g)</f>
        <v>70.1735554148906</v>
      </c>
      <c r="H53" s="494" t="n">
        <f aca="false">Q_var/m_prop</f>
        <v>0.000335534892293323</v>
      </c>
      <c r="I53" s="494" t="n">
        <f aca="false">Q_var/m_bal</f>
        <v>0.000361587774414415</v>
      </c>
      <c r="J53" s="494" t="n">
        <f aca="false">1/(2*b_prop)*LN(  ((EXP(2*SQRT(a_prop*b_prop)*Temps_fin_propu)+1)^2)  /  (((1+1)^2)*EXP(2*SQRT(a_prop*b_prop)*Temps_fin_propu)))</f>
        <v>431.026590108975</v>
      </c>
      <c r="K53" s="497" t="n">
        <f aca="false">SQRT(a_prop/b_prop)  *  (EXP(2*SQRT(a_prop*b_prop)*Temps_fin_propu)-1)/(EXP(2*SQRT(a_prop*b_prop)*Temps_fin_propu)+1)</f>
        <v>229.195150290916</v>
      </c>
      <c r="L53" s="498" t="n">
        <f aca="false">alt_prop + 1/(2*b_bal) * LN(1+b_bal/g*V_prop^2)</f>
        <v>1920.4635223859</v>
      </c>
      <c r="M53" s="499" t="n">
        <f aca="false">Temps_fin_propu + ATAN(SQRT(b_bal/g)*V_prop)/SQRT(b_bal*g)</f>
        <v>19.5014636915179</v>
      </c>
    </row>
    <row r="54" customFormat="false" ht="12" hidden="false" customHeight="false" outlineLevel="0" collapsed="false">
      <c r="B54" s="493" t="n">
        <f aca="false">D_ref</f>
        <v>100</v>
      </c>
      <c r="C54" s="494" t="n">
        <f aca="false">1/2*Rho_moyen*PI()*D_var^2/4*Cx/10^6</f>
        <v>0.00240528187540469</v>
      </c>
      <c r="D54" s="495" t="n">
        <f aca="false">MpropuPlein+1*MasseSans</f>
        <v>9.685</v>
      </c>
      <c r="E54" s="495" t="n">
        <f aca="false">m_var - 0.5*m_poudre</f>
        <v>9.1685</v>
      </c>
      <c r="F54" s="495" t="n">
        <f aca="false">m_var - m_poudre</f>
        <v>8.652</v>
      </c>
      <c r="G54" s="496" t="n">
        <f aca="false">MAX(0, (I_total/Temps_fin_propu)/m_prop-g)</f>
        <v>52.7260873634339</v>
      </c>
      <c r="H54" s="494" t="n">
        <f aca="false">Q_var/m_prop</f>
        <v>0.000262341918024179</v>
      </c>
      <c r="I54" s="494" t="n">
        <f aca="false">Q_var/m_bal</f>
        <v>0.000278002990684776</v>
      </c>
      <c r="J54" s="494" t="n">
        <f aca="false">1/(2*b_prop)*LN(  ((EXP(2*SQRT(a_prop*b_prop)*Temps_fin_propu)+1)^2)  /  (((1+1)^2)*EXP(2*SQRT(a_prop*b_prop)*Temps_fin_propu)))</f>
        <v>330.129694702268</v>
      </c>
      <c r="K54" s="497" t="n">
        <f aca="false">SQRT(a_prop/b_prop)  *  (EXP(2*SQRT(a_prop*b_prop)*Temps_fin_propu)-1)/(EXP(2*SQRT(a_prop*b_prop)*Temps_fin_propu)+1)</f>
        <v>178.786621874164</v>
      </c>
      <c r="L54" s="498" t="n">
        <f aca="false">alt_prop + 1/(2*b_bal) * LN(1+b_bal/g*V_prop^2)</f>
        <v>1490.04844960581</v>
      </c>
      <c r="M54" s="499" t="n">
        <f aca="false">Temps_fin_propu + ATAN(SQRT(b_bal/g)*V_prop)/SQRT(b_bal*g)</f>
        <v>18.1561687124639</v>
      </c>
    </row>
    <row r="55" customFormat="false" ht="12" hidden="false" customHeight="false" outlineLevel="0" collapsed="false">
      <c r="B55" s="493" t="n">
        <f aca="false">D_ref</f>
        <v>100</v>
      </c>
      <c r="C55" s="494" t="n">
        <f aca="false">1/2*Rho_moyen*PI()*D_var^2/4*Cx/10^6</f>
        <v>0.00240528187540469</v>
      </c>
      <c r="D55" s="495" t="n">
        <f aca="false">MpropuPlein+1.25*MasseSans</f>
        <v>11.685</v>
      </c>
      <c r="E55" s="495" t="n">
        <f aca="false">m_var - 0.5*m_poudre</f>
        <v>11.1685</v>
      </c>
      <c r="F55" s="495" t="n">
        <f aca="false">m_var - m_poudre</f>
        <v>10.652</v>
      </c>
      <c r="G55" s="496" t="n">
        <f aca="false">MAX(0, (I_total/Temps_fin_propu)/m_prop-g)</f>
        <v>41.5274326894071</v>
      </c>
      <c r="H55" s="494" t="n">
        <f aca="false">Q_var/m_prop</f>
        <v>0.000215363018794349</v>
      </c>
      <c r="I55" s="494" t="n">
        <f aca="false">Q_var/m_bal</f>
        <v>0.000225805658599764</v>
      </c>
      <c r="J55" s="494" t="n">
        <f aca="false">1/(2*b_prop)*LN(  ((EXP(2*SQRT(a_prop*b_prop)*Temps_fin_propu)+1)^2)  /  (((1+1)^2)*EXP(2*SQRT(a_prop*b_prop)*Temps_fin_propu)))</f>
        <v>262.616654107427</v>
      </c>
      <c r="K55" s="497" t="n">
        <f aca="false">SQRT(a_prop/b_prop)  *  (EXP(2*SQRT(a_prop*b_prop)*Temps_fin_propu)-1)/(EXP(2*SQRT(a_prop*b_prop)*Temps_fin_propu)+1)</f>
        <v>143.607800957287</v>
      </c>
      <c r="L55" s="498" t="n">
        <f aca="false">alt_prop + 1/(2*b_bal) * LN(1+b_bal/g*V_prop^2)</f>
        <v>1122.7734428019</v>
      </c>
      <c r="M55" s="499" t="n">
        <f aca="false">Temps_fin_propu + ATAN(SQRT(b_bal/g)*V_prop)/SQRT(b_bal*g)</f>
        <v>16.4082500806784</v>
      </c>
    </row>
    <row r="56" customFormat="false" ht="12" hidden="false" customHeight="false" outlineLevel="0" collapsed="false">
      <c r="B56" s="493" t="n">
        <f aca="false">D_ref</f>
        <v>100</v>
      </c>
      <c r="C56" s="494" t="n">
        <f aca="false">1/2*Rho_moyen*PI()*D_var^2/4*Cx/10^6</f>
        <v>0.00240528187540469</v>
      </c>
      <c r="D56" s="495" t="n">
        <f aca="false">MpropuPlein+1.5*MasseSans</f>
        <v>13.685</v>
      </c>
      <c r="E56" s="495" t="n">
        <f aca="false">m_var - 0.5*m_poudre</f>
        <v>13.1685</v>
      </c>
      <c r="F56" s="495" t="n">
        <f aca="false">m_var - m_poudre</f>
        <v>12.652</v>
      </c>
      <c r="G56" s="496" t="n">
        <f aca="false">MAX(0, (I_total/Temps_fin_propu)/m_prop-g)</f>
        <v>33.7304273069555</v>
      </c>
      <c r="H56" s="494" t="n">
        <f aca="false">Q_var/m_prop</f>
        <v>0.000182654203242942</v>
      </c>
      <c r="I56" s="494" t="n">
        <f aca="false">Q_var/m_bal</f>
        <v>0.000190110802671885</v>
      </c>
      <c r="J56" s="494" t="n">
        <f aca="false">1/(2*b_prop)*LN(  ((EXP(2*SQRT(a_prop*b_prop)*Temps_fin_propu)+1)^2)  /  (((1+1)^2)*EXP(2*SQRT(a_prop*b_prop)*Temps_fin_propu)))</f>
        <v>214.5435007662</v>
      </c>
      <c r="K56" s="497" t="n">
        <f aca="false">SQRT(a_prop/b_prop)  *  (EXP(2*SQRT(a_prop*b_prop)*Temps_fin_propu)-1)/(EXP(2*SQRT(a_prop*b_prop)*Temps_fin_propu)+1)</f>
        <v>117.985806795792</v>
      </c>
      <c r="L56" s="498" t="n">
        <f aca="false">alt_prop + 1/(2*b_bal) * LN(1+b_bal/g*V_prop^2)</f>
        <v>842.697118094334</v>
      </c>
      <c r="M56" s="499" t="n">
        <f aca="false">Temps_fin_propu + ATAN(SQRT(b_bal/g)*V_prop)/SQRT(b_bal*g)</f>
        <v>14.6827011646711</v>
      </c>
    </row>
    <row r="57" customFormat="false" ht="12" hidden="false" customHeight="false" outlineLevel="0" collapsed="false">
      <c r="B57" s="493" t="n">
        <f aca="false">D_ref</f>
        <v>100</v>
      </c>
      <c r="C57" s="494" t="n">
        <f aca="false">1/2*Rho_moyen*PI()*D_var^2/4*Cx/10^6</f>
        <v>0.00240528187540469</v>
      </c>
      <c r="D57" s="495" t="n">
        <f aca="false">MpropuPlein+1.75*MasseSans</f>
        <v>15.685</v>
      </c>
      <c r="E57" s="495" t="n">
        <f aca="false">m_var - 0.5*m_poudre</f>
        <v>15.1685</v>
      </c>
      <c r="F57" s="495" t="n">
        <f aca="false">m_var - m_poudre</f>
        <v>14.652</v>
      </c>
      <c r="G57" s="496" t="n">
        <f aca="false">MAX(0, (I_total/Temps_fin_propu)/m_prop-g)</f>
        <v>27.9895264522954</v>
      </c>
      <c r="H57" s="494" t="n">
        <f aca="false">Q_var/m_prop</f>
        <v>0.000158570845858502</v>
      </c>
      <c r="I57" s="494" t="n">
        <f aca="false">Q_var/m_bal</f>
        <v>0.000164160652157022</v>
      </c>
      <c r="J57" s="494" t="n">
        <f aca="false">1/(2*b_prop)*LN(  ((EXP(2*SQRT(a_prop*b_prop)*Temps_fin_propu)+1)^2)  /  (((1+1)^2)*EXP(2*SQRT(a_prop*b_prop)*Temps_fin_propu)))</f>
        <v>178.672155212077</v>
      </c>
      <c r="K57" s="497" t="n">
        <f aca="false">SQRT(a_prop/b_prop)  *  (EXP(2*SQRT(a_prop*b_prop)*Temps_fin_propu)-1)/(EXP(2*SQRT(a_prop*b_prop)*Temps_fin_propu)+1)</f>
        <v>98.6093290291499</v>
      </c>
      <c r="L57" s="498" t="n">
        <f aca="false">alt_prop + 1/(2*b_bal) * LN(1+b_bal/g*V_prop^2)</f>
        <v>637.858073521038</v>
      </c>
      <c r="M57" s="499" t="n">
        <f aca="false">Temps_fin_propu + ATAN(SQRT(b_bal/g)*V_prop)/SQRT(b_bal*g)</f>
        <v>13.1444433400867</v>
      </c>
    </row>
    <row r="58" customFormat="false" ht="12" hidden="false" customHeight="false" outlineLevel="0" collapsed="false">
      <c r="B58" s="500" t="n">
        <f aca="false">D_ref</f>
        <v>100</v>
      </c>
      <c r="C58" s="501" t="n">
        <f aca="false">1/2*Rho_moyen*PI()*D_var^2/4*Cx/10^6</f>
        <v>0.00240528187540469</v>
      </c>
      <c r="D58" s="502" t="n">
        <f aca="false">MpropuPlein+2*MasseSans</f>
        <v>17.685</v>
      </c>
      <c r="E58" s="502" t="n">
        <f aca="false">m_var - 0.5*m_poudre</f>
        <v>17.1685</v>
      </c>
      <c r="F58" s="502" t="n">
        <f aca="false">m_var - m_poudre</f>
        <v>16.652</v>
      </c>
      <c r="G58" s="503" t="n">
        <f aca="false">MAX(0, (I_total/Temps_fin_propu)/m_prop-g)</f>
        <v>23.5861683892969</v>
      </c>
      <c r="H58" s="501" t="n">
        <f aca="false">Q_var/m_prop</f>
        <v>0.000140098545324559</v>
      </c>
      <c r="I58" s="501" t="n">
        <f aca="false">Q_var/m_bal</f>
        <v>0.000144444023264754</v>
      </c>
      <c r="J58" s="501" t="n">
        <f aca="false">1/(2*b_prop)*LN(  ((EXP(2*SQRT(a_prop*b_prop)*Temps_fin_propu)+1)^2)  /  (((1+1)^2)*EXP(2*SQRT(a_prop*b_prop)*Temps_fin_propu)))</f>
        <v>150.9237337944</v>
      </c>
      <c r="K58" s="504" t="n">
        <f aca="false">SQRT(a_prop/b_prop)  *  (EXP(2*SQRT(a_prop*b_prop)*Temps_fin_propu)-1)/(EXP(2*SQRT(a_prop*b_prop)*Temps_fin_propu)+1)</f>
        <v>83.4924570776588</v>
      </c>
      <c r="L58" s="505" t="n">
        <f aca="false">alt_prop + 1/(2*b_bal) * LN(1+b_bal/g*V_prop^2)</f>
        <v>489.148551739144</v>
      </c>
      <c r="M58" s="506" t="n">
        <f aca="false">Temps_fin_propu + ATAN(SQRT(b_bal/g)*V_prop)/SQRT(b_bal*g)</f>
        <v>11.8264753784027</v>
      </c>
    </row>
    <row r="59" customFormat="false" ht="12" hidden="false" customHeight="false" outlineLevel="0" collapsed="false">
      <c r="B59" s="485" t="n">
        <f aca="false">D_ref*1.5</f>
        <v>150</v>
      </c>
      <c r="C59" s="486" t="n">
        <f aca="false">1/2*Rho_moyen*PI()*D_var^2/4*Cx/10^6</f>
        <v>0.00541188421966054</v>
      </c>
      <c r="D59" s="487" t="n">
        <f aca="false">MpropuPlein+0*MasseSans</f>
        <v>1.685</v>
      </c>
      <c r="E59" s="487" t="n">
        <f aca="false">m_var - 0.5*m_poudre</f>
        <v>1.1685</v>
      </c>
      <c r="F59" s="487" t="n">
        <f aca="false">m_var - m_poudre</f>
        <v>0.652</v>
      </c>
      <c r="G59" s="488" t="n">
        <f aca="false">MAX(0, (I_total/Temps_fin_propu)/m_prop-g)</f>
        <v>480.872171152455</v>
      </c>
      <c r="H59" s="486" t="n">
        <f aca="false">Q_var/m_prop</f>
        <v>0.00463147986278181</v>
      </c>
      <c r="I59" s="486" t="n">
        <f aca="false">Q_var/m_bal</f>
        <v>0.00830043591972476</v>
      </c>
      <c r="J59" s="486" t="n">
        <f aca="false">1/(2*b_prop)*LN(  ((EXP(2*SQRT(a_prop*b_prop)*Temps_fin_propu)+1)^2)  /  (((1+1)^2)*EXP(2*SQRT(a_prop*b_prop)*Temps_fin_propu)))</f>
        <v>1007.12111115493</v>
      </c>
      <c r="K59" s="490" t="n">
        <f aca="false">SQRT(a_prop/b_prop)  *  (EXP(2*SQRT(a_prop*b_prop)*Temps_fin_propu)-1)/(EXP(2*SQRT(a_prop*b_prop)*Temps_fin_propu)+1)</f>
        <v>322.207499642357</v>
      </c>
      <c r="L59" s="491" t="n">
        <f aca="false">alt_prop + 1/(2*b_bal) * LN(1+b_bal/g*V_prop^2)</f>
        <v>1277.39979038696</v>
      </c>
      <c r="M59" s="492" t="n">
        <f aca="false">Temps_fin_propu + ATAN(SQRT(b_bal/g)*V_prop)/SQRT(b_bal*g)</f>
        <v>8.72221843118746</v>
      </c>
    </row>
    <row r="60" customFormat="false" ht="12" hidden="false" customHeight="false" outlineLevel="0" collapsed="false">
      <c r="B60" s="493" t="n">
        <f aca="false">D_ref*1.5</f>
        <v>150</v>
      </c>
      <c r="C60" s="494" t="n">
        <f aca="false">1/2*Rho_moyen*PI()*D_var^2/4*Cx/10^6</f>
        <v>0.00541188421966054</v>
      </c>
      <c r="D60" s="495" t="n">
        <f aca="false">MpropuPlein+0.25*MasseSans</f>
        <v>3.685</v>
      </c>
      <c r="E60" s="495" t="n">
        <f aca="false">m_var - 0.5*m_poudre</f>
        <v>3.1685</v>
      </c>
      <c r="F60" s="495" t="n">
        <f aca="false">m_var - m_poudre</f>
        <v>2.652</v>
      </c>
      <c r="G60" s="496" t="n">
        <f aca="false">MAX(0, (I_total/Temps_fin_propu)/m_prop-g)</f>
        <v>171.146956601434</v>
      </c>
      <c r="H60" s="494" t="n">
        <f aca="false">Q_var/m_prop</f>
        <v>0.00170802721150719</v>
      </c>
      <c r="I60" s="494" t="n">
        <f aca="false">Q_var/m_bal</f>
        <v>0.00204068032415556</v>
      </c>
      <c r="J60" s="494" t="n">
        <f aca="false">1/(2*b_prop)*LN(  ((EXP(2*SQRT(a_prop*b_prop)*Temps_fin_propu)+1)^2)  /  (((1+1)^2)*EXP(2*SQRT(a_prop*b_prop)*Temps_fin_propu)))</f>
        <v>742.527236193305</v>
      </c>
      <c r="K60" s="497" t="n">
        <f aca="false">SQRT(a_prop/b_prop)  *  (EXP(2*SQRT(a_prop*b_prop)*Temps_fin_propu)-1)/(EXP(2*SQRT(a_prop*b_prop)*Temps_fin_propu)+1)</f>
        <v>303.76208522696</v>
      </c>
      <c r="L60" s="498" t="n">
        <f aca="false">alt_prop + 1/(2*b_bal) * LN(1+b_bal/g*V_prop^2)</f>
        <v>1478.89984445003</v>
      </c>
      <c r="M60" s="499" t="n">
        <f aca="false">Temps_fin_propu + ATAN(SQRT(b_bal/g)*V_prop)/SQRT(b_bal*g)</f>
        <v>13.105873614309</v>
      </c>
    </row>
    <row r="61" customFormat="false" ht="12" hidden="false" customHeight="false" outlineLevel="0" collapsed="false">
      <c r="B61" s="493" t="n">
        <f aca="false">D_ref*1.5</f>
        <v>150</v>
      </c>
      <c r="C61" s="494" t="n">
        <f aca="false">1/2*Rho_moyen*PI()*D_var^2/4*Cx/10^6</f>
        <v>0.00541188421966054</v>
      </c>
      <c r="D61" s="495" t="n">
        <f aca="false">MpropuPlein+0.5*MasseSans</f>
        <v>5.685</v>
      </c>
      <c r="E61" s="495" t="n">
        <f aca="false">m_var - 0.5*m_poudre</f>
        <v>5.1685</v>
      </c>
      <c r="F61" s="495" t="n">
        <f aca="false">m_var - m_poudre</f>
        <v>4.652</v>
      </c>
      <c r="G61" s="496" t="n">
        <f aca="false">MAX(0, (I_total/Temps_fin_propu)/m_prop-g)</f>
        <v>101.123949306693</v>
      </c>
      <c r="H61" s="494" t="n">
        <f aca="false">Q_var/m_prop</f>
        <v>0.00104708991383584</v>
      </c>
      <c r="I61" s="494" t="n">
        <f aca="false">Q_var/m_bal</f>
        <v>0.00116334570500012</v>
      </c>
      <c r="J61" s="494" t="n">
        <f aca="false">1/(2*b_prop)*LN(  ((EXP(2*SQRT(a_prop*b_prop)*Temps_fin_propu)+1)^2)  /  (((1+1)^2)*EXP(2*SQRT(a_prop*b_prop)*Temps_fin_propu)))</f>
        <v>541.813466162145</v>
      </c>
      <c r="K61" s="497" t="n">
        <f aca="false">SQRT(a_prop/b_prop)  *  (EXP(2*SQRT(a_prop*b_prop)*Temps_fin_propu)-1)/(EXP(2*SQRT(a_prop*b_prop)*Temps_fin_propu)+1)</f>
        <v>255.976065898685</v>
      </c>
      <c r="L61" s="498" t="n">
        <f aca="false">alt_prop + 1/(2*b_bal) * LN(1+b_bal/g*V_prop^2)</f>
        <v>1475.05818728192</v>
      </c>
      <c r="M61" s="499" t="n">
        <f aca="false">Temps_fin_propu + ATAN(SQRT(b_bal/g)*V_prop)/SQRT(b_bal*g)</f>
        <v>15.0696233913747</v>
      </c>
    </row>
    <row r="62" customFormat="false" ht="12" hidden="false" customHeight="false" outlineLevel="0" collapsed="false">
      <c r="B62" s="493" t="n">
        <f aca="false">D_ref*1.5</f>
        <v>150</v>
      </c>
      <c r="C62" s="494" t="n">
        <f aca="false">1/2*Rho_moyen*PI()*D_var^2/4*Cx/10^6</f>
        <v>0.00541188421966054</v>
      </c>
      <c r="D62" s="495" t="n">
        <f aca="false">MpropuPlein+0.75*MasseSans</f>
        <v>7.685</v>
      </c>
      <c r="E62" s="495" t="n">
        <f aca="false">m_var - 0.5*m_poudre</f>
        <v>7.1685</v>
      </c>
      <c r="F62" s="495" t="n">
        <f aca="false">m_var - m_poudre</f>
        <v>6.652</v>
      </c>
      <c r="G62" s="496" t="n">
        <f aca="false">MAX(0, (I_total/Temps_fin_propu)/m_prop-g)</f>
        <v>70.1735554148906</v>
      </c>
      <c r="H62" s="494" t="n">
        <f aca="false">Q_var/m_prop</f>
        <v>0.000754953507659977</v>
      </c>
      <c r="I62" s="494" t="n">
        <f aca="false">Q_var/m_bal</f>
        <v>0.000813572492432433</v>
      </c>
      <c r="J62" s="494" t="n">
        <f aca="false">1/(2*b_prop)*LN(  ((EXP(2*SQRT(a_prop*b_prop)*Temps_fin_propu)+1)^2)  /  (((1+1)^2)*EXP(2*SQRT(a_prop*b_prop)*Temps_fin_propu)))</f>
        <v>408.519725803062</v>
      </c>
      <c r="K62" s="497" t="n">
        <f aca="false">SQRT(a_prop/b_prop)  *  (EXP(2*SQRT(a_prop*b_prop)*Temps_fin_propu)-1)/(EXP(2*SQRT(a_prop*b_prop)*Temps_fin_propu)+1)</f>
        <v>206.856299448678</v>
      </c>
      <c r="L62" s="498" t="n">
        <f aca="false">alt_prop + 1/(2*b_bal) * LN(1+b_bal/g*V_prop^2)</f>
        <v>1339.4959723795</v>
      </c>
      <c r="M62" s="499" t="n">
        <f aca="false">Temps_fin_propu + ATAN(SQRT(b_bal/g)*V_prop)/SQRT(b_bal*g)</f>
        <v>15.7101207504958</v>
      </c>
    </row>
    <row r="63" customFormat="false" ht="12" hidden="false" customHeight="false" outlineLevel="0" collapsed="false">
      <c r="B63" s="493" t="n">
        <f aca="false">D_ref*1.5</f>
        <v>150</v>
      </c>
      <c r="C63" s="494" t="n">
        <f aca="false">1/2*Rho_moyen*PI()*D_var^2/4*Cx/10^6</f>
        <v>0.00541188421966054</v>
      </c>
      <c r="D63" s="495" t="n">
        <f aca="false">MpropuPlein+1*MasseSans</f>
        <v>9.685</v>
      </c>
      <c r="E63" s="495" t="n">
        <f aca="false">m_var - 0.5*m_poudre</f>
        <v>9.1685</v>
      </c>
      <c r="F63" s="495" t="n">
        <f aca="false">m_var - m_poudre</f>
        <v>8.652</v>
      </c>
      <c r="G63" s="496" t="n">
        <f aca="false">MAX(0, (I_total/Temps_fin_propu)/m_prop-g)</f>
        <v>52.7260873634339</v>
      </c>
      <c r="H63" s="494" t="n">
        <f aca="false">Q_var/m_prop</f>
        <v>0.000590269315554403</v>
      </c>
      <c r="I63" s="494" t="n">
        <f aca="false">Q_var/m_bal</f>
        <v>0.000625506729040747</v>
      </c>
      <c r="J63" s="494" t="n">
        <f aca="false">1/(2*b_prop)*LN(  ((EXP(2*SQRT(a_prop*b_prop)*Temps_fin_propu)+1)^2)  /  (((1+1)^2)*EXP(2*SQRT(a_prop*b_prop)*Temps_fin_propu)))</f>
        <v>319.222956180007</v>
      </c>
      <c r="K63" s="497" t="n">
        <f aca="false">SQRT(a_prop/b_prop)  *  (EXP(2*SQRT(a_prop*b_prop)*Temps_fin_propu)-1)/(EXP(2*SQRT(a_prop*b_prop)*Temps_fin_propu)+1)</f>
        <v>167.471828283796</v>
      </c>
      <c r="L63" s="498" t="n">
        <f aca="false">alt_prop + 1/(2*b_bal) * LN(1+b_bal/g*V_prop^2)</f>
        <v>1138.91128975725</v>
      </c>
      <c r="M63" s="499" t="n">
        <f aca="false">Temps_fin_propu + ATAN(SQRT(b_bal/g)*V_prop)/SQRT(b_bal*g)</f>
        <v>15.4458213949365</v>
      </c>
    </row>
    <row r="64" customFormat="false" ht="12" hidden="false" customHeight="false" outlineLevel="0" collapsed="false">
      <c r="B64" s="493" t="n">
        <f aca="false">D_ref*1.5</f>
        <v>150</v>
      </c>
      <c r="C64" s="494" t="n">
        <f aca="false">1/2*Rho_moyen*PI()*D_var^2/4*Cx/10^6</f>
        <v>0.00541188421966054</v>
      </c>
      <c r="D64" s="495" t="n">
        <f aca="false">MpropuPlein+1.25*MasseSans</f>
        <v>11.685</v>
      </c>
      <c r="E64" s="495" t="n">
        <f aca="false">m_var - 0.5*m_poudre</f>
        <v>11.1685</v>
      </c>
      <c r="F64" s="495" t="n">
        <f aca="false">m_var - m_poudre</f>
        <v>10.652</v>
      </c>
      <c r="G64" s="496" t="n">
        <f aca="false">MAX(0, (I_total/Temps_fin_propu)/m_prop-g)</f>
        <v>41.5274326894071</v>
      </c>
      <c r="H64" s="494" t="n">
        <f aca="false">Q_var/m_prop</f>
        <v>0.000484566792287285</v>
      </c>
      <c r="I64" s="494" t="n">
        <f aca="false">Q_var/m_bal</f>
        <v>0.000508062731849469</v>
      </c>
      <c r="J64" s="494" t="n">
        <f aca="false">1/(2*b_prop)*LN(  ((EXP(2*SQRT(a_prop*b_prop)*Temps_fin_propu)+1)^2)  /  (((1+1)^2)*EXP(2*SQRT(a_prop*b_prop)*Temps_fin_propu)))</f>
        <v>256.779708895508</v>
      </c>
      <c r="K64" s="497" t="n">
        <f aca="false">SQRT(a_prop/b_prop)  *  (EXP(2*SQRT(a_prop*b_prop)*Temps_fin_propu)-1)/(EXP(2*SQRT(a_prop*b_prop)*Temps_fin_propu)+1)</f>
        <v>137.405448351953</v>
      </c>
      <c r="L64" s="498" t="n">
        <f aca="false">alt_prop + 1/(2*b_bal) * LN(1+b_bal/g*V_prop^2)</f>
        <v>927.948973751355</v>
      </c>
      <c r="M64" s="499" t="n">
        <f aca="false">Temps_fin_propu + ATAN(SQRT(b_bal/g)*V_prop)/SQRT(b_bal*g)</f>
        <v>14.6354677061756</v>
      </c>
    </row>
    <row r="65" customFormat="false" ht="12" hidden="false" customHeight="false" outlineLevel="0" collapsed="false">
      <c r="B65" s="493" t="n">
        <f aca="false">D_ref*1.5</f>
        <v>150</v>
      </c>
      <c r="C65" s="494" t="n">
        <f aca="false">1/2*Rho_moyen*PI()*D_var^2/4*Cx/10^6</f>
        <v>0.00541188421966054</v>
      </c>
      <c r="D65" s="495" t="n">
        <f aca="false">MpropuPlein+1.5*MasseSans</f>
        <v>13.685</v>
      </c>
      <c r="E65" s="495" t="n">
        <f aca="false">m_var - 0.5*m_poudre</f>
        <v>13.1685</v>
      </c>
      <c r="F65" s="495" t="n">
        <f aca="false">m_var - m_poudre</f>
        <v>12.652</v>
      </c>
      <c r="G65" s="496" t="n">
        <f aca="false">MAX(0, (I_total/Temps_fin_propu)/m_prop-g)</f>
        <v>33.7304273069555</v>
      </c>
      <c r="H65" s="494" t="n">
        <f aca="false">Q_var/m_prop</f>
        <v>0.00041097195729662</v>
      </c>
      <c r="I65" s="494" t="n">
        <f aca="false">Q_var/m_bal</f>
        <v>0.000427749306011741</v>
      </c>
      <c r="J65" s="494" t="n">
        <f aca="false">1/(2*b_prop)*LN(  ((EXP(2*SQRT(a_prop*b_prop)*Temps_fin_propu)+1)^2)  /  (((1+1)^2)*EXP(2*SQRT(a_prop*b_prop)*Temps_fin_propu)))</f>
        <v>211.18089285211</v>
      </c>
      <c r="K65" s="497" t="n">
        <f aca="false">SQRT(a_prop/b_prop)  *  (EXP(2*SQRT(a_prop*b_prop)*Temps_fin_propu)-1)/(EXP(2*SQRT(a_prop*b_prop)*Temps_fin_propu)+1)</f>
        <v>114.361458223124</v>
      </c>
      <c r="L65" s="498" t="n">
        <f aca="false">alt_prop + 1/(2*b_bal) * LN(1+b_bal/g*V_prop^2)</f>
        <v>738.647403806562</v>
      </c>
      <c r="M65" s="499" t="n">
        <f aca="false">Temps_fin_propu + ATAN(SQRT(b_bal/g)*V_prop)/SQRT(b_bal*g)</f>
        <v>13.5747767626599</v>
      </c>
    </row>
    <row r="66" customFormat="false" ht="12" hidden="false" customHeight="false" outlineLevel="0" collapsed="false">
      <c r="B66" s="493" t="n">
        <f aca="false">D_ref*1.5</f>
        <v>150</v>
      </c>
      <c r="C66" s="494" t="n">
        <f aca="false">1/2*Rho_moyen*PI()*D_var^2/4*Cx/10^6</f>
        <v>0.00541188421966054</v>
      </c>
      <c r="D66" s="495" t="n">
        <f aca="false">MpropuPlein+1.75*MasseSans</f>
        <v>15.685</v>
      </c>
      <c r="E66" s="495" t="n">
        <f aca="false">m_var - 0.5*m_poudre</f>
        <v>15.1685</v>
      </c>
      <c r="F66" s="495" t="n">
        <f aca="false">m_var - m_poudre</f>
        <v>14.652</v>
      </c>
      <c r="G66" s="496" t="n">
        <f aca="false">MAX(0, (I_total/Temps_fin_propu)/m_prop-g)</f>
        <v>27.9895264522954</v>
      </c>
      <c r="H66" s="494" t="n">
        <f aca="false">Q_var/m_prop</f>
        <v>0.000356784403181629</v>
      </c>
      <c r="I66" s="494" t="n">
        <f aca="false">Q_var/m_bal</f>
        <v>0.000369361467353299</v>
      </c>
      <c r="J66" s="494" t="n">
        <f aca="false">1/(2*b_prop)*LN(  ((EXP(2*SQRT(a_prop*b_prop)*Temps_fin_propu)+1)^2)  /  (((1+1)^2)*EXP(2*SQRT(a_prop*b_prop)*Temps_fin_propu)))</f>
        <v>176.624759920001</v>
      </c>
      <c r="K66" s="497" t="n">
        <f aca="false">SQRT(a_prop/b_prop)  *  (EXP(2*SQRT(a_prop*b_prop)*Temps_fin_propu)-1)/(EXP(2*SQRT(a_prop*b_prop)*Temps_fin_propu)+1)</f>
        <v>96.3825268205508</v>
      </c>
      <c r="L66" s="498" t="n">
        <f aca="false">alt_prop + 1/(2*b_bal) * LN(1+b_bal/g*V_prop^2)</f>
        <v>582.639231012887</v>
      </c>
      <c r="M66" s="499" t="n">
        <f aca="false">Temps_fin_propu + ATAN(SQRT(b_bal/g)*V_prop)/SQRT(b_bal*g)</f>
        <v>12.4625055756035</v>
      </c>
    </row>
    <row r="67" customFormat="false" ht="12" hidden="false" customHeight="false" outlineLevel="0" collapsed="false">
      <c r="B67" s="500" t="n">
        <f aca="false">D_ref*1.5</f>
        <v>150</v>
      </c>
      <c r="C67" s="501" t="n">
        <f aca="false">1/2*Rho_moyen*PI()*D_var^2/4*Cx/10^6</f>
        <v>0.00541188421966054</v>
      </c>
      <c r="D67" s="502" t="n">
        <f aca="false">MpropuPlein+2*MasseSans</f>
        <v>17.685</v>
      </c>
      <c r="E67" s="502" t="n">
        <f aca="false">m_var - 0.5*m_poudre</f>
        <v>17.1685</v>
      </c>
      <c r="F67" s="502" t="n">
        <f aca="false">m_var - m_poudre</f>
        <v>16.652</v>
      </c>
      <c r="G67" s="503" t="n">
        <f aca="false">MAX(0, (I_total/Temps_fin_propu)/m_prop-g)</f>
        <v>23.5861683892969</v>
      </c>
      <c r="H67" s="501" t="n">
        <f aca="false">Q_var/m_prop</f>
        <v>0.000315221726980257</v>
      </c>
      <c r="I67" s="501" t="n">
        <f aca="false">Q_var/m_bal</f>
        <v>0.000324999052345697</v>
      </c>
      <c r="J67" s="501" t="n">
        <f aca="false">1/(2*b_prop)*LN(  ((EXP(2*SQRT(a_prop*b_prop)*Temps_fin_propu)+1)^2)  /  (((1+1)^2)*EXP(2*SQRT(a_prop*b_prop)*Temps_fin_propu)))</f>
        <v>149.623399847994</v>
      </c>
      <c r="K67" s="504" t="n">
        <f aca="false">SQRT(a_prop/b_prop)  *  (EXP(2*SQRT(a_prop*b_prop)*Temps_fin_propu)-1)/(EXP(2*SQRT(a_prop*b_prop)*Temps_fin_propu)+1)</f>
        <v>82.0695977262359</v>
      </c>
      <c r="L67" s="505" t="n">
        <f aca="false">alt_prop + 1/(2*b_bal) * LN(1+b_bal/g*V_prop^2)</f>
        <v>459.503434627879</v>
      </c>
      <c r="M67" s="506" t="n">
        <f aca="false">Temps_fin_propu + ATAN(SQRT(b_bal/g)*V_prop)/SQRT(b_bal*g)</f>
        <v>11.4056373840313</v>
      </c>
    </row>
    <row r="71" customFormat="false" ht="12.75" hidden="false" customHeight="false" outlineLevel="0" collapsed="false">
      <c r="B71" s="1" t="str">
        <f aca="false">IF(Lang="Français","Textes pour les graphiques :","Texts for graphics :")</f>
        <v>Textes pour les graphiques :</v>
      </c>
    </row>
    <row r="73" customFormat="false" ht="12" hidden="false" customHeight="false" outlineLevel="0" collapsed="false">
      <c r="B73" s="0" t="str">
        <f aca="false">IF(Lang="Français","Masse totale",IF(Lang="English","Total Mass",""))</f>
        <v>Masse totale</v>
      </c>
    </row>
    <row r="74" customFormat="false" ht="12" hidden="false" customHeight="false" outlineLevel="0" collapsed="false">
      <c r="B74" s="0" t="str">
        <f aca="false">IF(Lang="Français","Vitesse max",IF(Lang="English","Max Velocity",""))</f>
        <v>Vitesse max</v>
      </c>
    </row>
    <row r="75" customFormat="false" ht="12" hidden="false" customHeight="false" outlineLevel="0" collapsed="false">
      <c r="B75" s="0" t="str">
        <f aca="false">Abaco!$B$74 &amp; " / " &amp; Abaco!$B$73</f>
        <v>Vitesse max / Masse totale</v>
      </c>
    </row>
    <row r="76" customFormat="false" ht="12" hidden="false" customHeight="false" outlineLevel="0" collapsed="false">
      <c r="B76" s="0" t="str">
        <f aca="false">IF(Lang="Français","Altitude max",IF(Lang="English","Max Altitude",""))</f>
        <v>Altitude max</v>
      </c>
    </row>
    <row r="77" customFormat="false" ht="12" hidden="false" customHeight="false" outlineLevel="0" collapsed="false">
      <c r="B77" s="0" t="str">
        <f aca="false">Abaco!$B$76 &amp; " / " &amp; Abaco!$B$73</f>
        <v>Altitude max / Masse totale</v>
      </c>
    </row>
    <row r="78" customFormat="false" ht="12" hidden="false" customHeight="false" outlineLevel="0" collapsed="false">
      <c r="B78" s="0" t="str">
        <f aca="false">IF(Lang="Français","Temps de culmination",IF(Lang="English","Apogee time",""))</f>
        <v>Temps de culmination</v>
      </c>
    </row>
    <row r="79" customFormat="false" ht="12" hidden="false" customHeight="false" outlineLevel="0" collapsed="false">
      <c r="B79" s="0" t="str">
        <f aca="false">Abaco!$B$78 &amp; " / " &amp; Abaco!$B$73</f>
        <v>Temps de culmination / Masse totale</v>
      </c>
    </row>
  </sheetData>
  <sheetProtection sheet="true" password="c6ac"/>
  <mergeCells count="12">
    <mergeCell ref="C2:D3"/>
    <mergeCell ref="C4:D4"/>
    <mergeCell ref="C5:D5"/>
    <mergeCell ref="C7:D7"/>
    <mergeCell ref="C8:D8"/>
    <mergeCell ref="C9:D9"/>
    <mergeCell ref="C10:D10"/>
    <mergeCell ref="C11:D11"/>
    <mergeCell ref="C12:D12"/>
    <mergeCell ref="C14:D14"/>
    <mergeCell ref="C15:D15"/>
    <mergeCell ref="C16:D16"/>
  </mergeCells>
  <dataValidations count="3">
    <dataValidation allowBlank="false" error="Le Cx est souvent compris entre 0 et 1.&#10;Cx may be between 0 &amp; 1." errorStyle="warning" errorTitle="Cx" operator="between" showDropDown="false" showErrorMessage="true" showInputMessage="false" sqref="C16:D16" type="decimal">
      <formula1>0</formula1>
      <formula2>1</formula2>
    </dataValidation>
    <dataValidation allowBlank="false" errorStyle="stop" operator="greaterThanOrEqual" showDropDown="false" showErrorMessage="false" showInputMessage="false" sqref="C10:D11" type="none">
      <formula1>0</formula1>
      <formula2>0</formula2>
    </dataValidation>
    <dataValidation allowBlank="false" errorStyle="stop" operator="between" showDropDown="false" showErrorMessage="false" showInputMessage="false" sqref="C12:D12" type="none">
      <formula1>0</formula1>
      <formula2>0</formula2>
    </dataValidation>
  </dataValidations>
  <hyperlinks>
    <hyperlink ref="B12" location="Stabilito!C17" display="#Stabilito!C17"/>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C2:H5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49" activeCellId="0" sqref="E49"/>
    </sheetView>
  </sheetViews>
  <sheetFormatPr defaultColWidth="10.6796875" defaultRowHeight="12" zeroHeight="false" outlineLevelRow="0" outlineLevelCol="0"/>
  <cols>
    <col collapsed="false" customWidth="true" hidden="false" outlineLevel="0" max="1" min="1" style="0" width="2.18"/>
    <col collapsed="false" customWidth="true" hidden="false" outlineLevel="0" max="2" min="2" style="0" width="16.27"/>
    <col collapsed="false" customWidth="true" hidden="false" outlineLevel="0" max="4" min="3" style="0" width="13.63"/>
  </cols>
  <sheetData>
    <row r="2" customFormat="false" ht="12" hidden="false" customHeight="false" outlineLevel="0" collapsed="false">
      <c r="C2" s="173" t="s">
        <v>377</v>
      </c>
      <c r="D2" s="173"/>
    </row>
    <row r="3" customFormat="false" ht="12" hidden="false" customHeight="false" outlineLevel="0" collapsed="false">
      <c r="C3" s="173"/>
      <c r="D3" s="173"/>
    </row>
    <row r="5" customFormat="false" ht="12.75" hidden="false" customHeight="false" outlineLevel="0" collapsed="false">
      <c r="C5" s="507" t="str">
        <f aca="false">IF(Lang="Français","Stabilité de fusée à ailerons","Stability of finned rocket")</f>
        <v>Stabilité de fusée à ailerons</v>
      </c>
    </row>
    <row r="6" customFormat="false" ht="12.75" hidden="false" customHeight="false" outlineLevel="0" collapsed="false">
      <c r="C6" s="508" t="str">
        <f aca="false">IF(Lang="Français","Calculs de Stabilité basés sur les équations de Barrowman","Stability calculs are based on Barrowman equations")</f>
        <v>Calculs de Stabilité basés sur les équations de Barrowman</v>
      </c>
    </row>
    <row r="7" customFormat="false" ht="12.75" hidden="false" customHeight="false" outlineLevel="0" collapsed="false">
      <c r="C7" s="507" t="str">
        <f aca="false">IF(Lang="Français","Trajectographie de fusée","Rocket Trajectography")</f>
        <v>Trajectographie de fusée</v>
      </c>
    </row>
    <row r="8" customFormat="false" ht="12.75" hidden="false" customHeight="false" outlineLevel="0" collapsed="false">
      <c r="C8" s="508" t="str">
        <f aca="false">IF(Lang="Français","Trajectoire dans un plan par calcul pas à pas","Trajectory in a plane, step by step computation")</f>
        <v>Trajectoire dans un plan par calcul pas à pas</v>
      </c>
    </row>
    <row r="9" customFormat="false" ht="12.75" hidden="false" customHeight="false" outlineLevel="0" collapsed="false">
      <c r="C9" s="508"/>
    </row>
    <row r="10" customFormat="false" ht="12" hidden="false" customHeight="false" outlineLevel="0" collapsed="false">
      <c r="C10" s="509" t="str">
        <f aca="false">IF(Lang="Français","Documentation et équations :","Documentation and equations are aviable in french:")</f>
        <v>Documentation et équations :</v>
      </c>
    </row>
    <row r="11" customFormat="false" ht="12" hidden="false" customHeight="false" outlineLevel="0" collapsed="false">
      <c r="C11" s="0" t="str">
        <f aca="false">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customFormat="false" ht="12" hidden="false" customHeight="false" outlineLevel="0" collapsed="false">
      <c r="C12" s="0" t="str">
        <f aca="false">IF(Lang="Français","Néanmoins, les équations d'intégration du mouvement utilisées sont légèrement différentes !","")</f>
        <v>Néanmoins, les équations d'intégration du mouvement utilisées sont légèrement différentes !</v>
      </c>
    </row>
    <row r="13" customFormat="false" ht="12" hidden="false" customHeight="false" outlineLevel="0" collapsed="false">
      <c r="C13" s="0" t="str">
        <f aca="false">IF(Lang="Français","Logiciels et dossier technique téléchargeables sur :","Softwares and french documentation can be downloaded at:")</f>
        <v>Logiciels et dossier technique téléchargeables sur :</v>
      </c>
      <c r="H13" s="510" t="s">
        <v>378</v>
      </c>
    </row>
    <row r="15" customFormat="false" ht="12" hidden="false" customHeight="false" outlineLevel="0" collapsed="false">
      <c r="C15" s="509" t="str">
        <f aca="false">IF(Lang="Français","Pour les experts :","For experts:")</f>
        <v>Pour les experts :</v>
      </c>
    </row>
    <row r="16" customFormat="false" ht="12" hidden="false" customHeight="false" outlineLevel="0" collapsed="false">
      <c r="C16" s="511" t="str">
        <f aca="false">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customFormat="false" ht="12" hidden="false" customHeight="false" outlineLevel="0" collapsed="false">
      <c r="C17" s="512" t="str">
        <f aca="false">IF(Lang="Français","et faire vos modifications personnelles (ajout de moteur...).","and do your personal modification (adding a motor...)")</f>
        <v>et faire vos modifications personnelles (ajout de moteur...).</v>
      </c>
    </row>
    <row r="18" customFormat="false" ht="12" hidden="false" customHeight="false" outlineLevel="0" collapsed="false">
      <c r="C18" s="511" t="s">
        <v>379</v>
      </c>
    </row>
    <row r="19" customFormat="false" ht="12" hidden="false" customHeight="false" outlineLevel="0" collapsed="false">
      <c r="C19" s="512" t="str">
        <f aca="false">IF(Lang="Français","Merci néanmoins de diffuser uniquement la version officielle protégée (fichier initial).","Please avoid distributing unlocked version.")</f>
        <v>Merci néanmoins de diffuser uniquement la version officielle protégée (fichier initial).</v>
      </c>
    </row>
    <row r="20" customFormat="false" ht="12" hidden="false" customHeight="false" outlineLevel="0" collapsed="false">
      <c r="C20" s="512" t="str">
        <f aca="false">IF(Lang="Français","Aucune Macro. Mise en forme conditionnelle, Noms de zone.","No macro. Conditionnal formating, named zones.")</f>
        <v>Aucune Macro. Mise en forme conditionnelle, Noms de zone.</v>
      </c>
    </row>
    <row r="21" customFormat="false" ht="12" hidden="false" customHeight="false" outlineLevel="0" collapsed="false">
      <c r="C21" s="512" t="str">
        <f aca="false">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customFormat="false" ht="12" hidden="false" customHeight="false" outlineLevel="0" collapsed="false">
      <c r="C22" s="512" t="str">
        <f aca="false">IF(Lang="Français","Les unités sont réglés dans le Format de la cellule.","Units are set in cell number Format")</f>
        <v>Les unités sont réglés dans le Format de la cellule.</v>
      </c>
      <c r="H22" s="510" t="s">
        <v>380</v>
      </c>
    </row>
    <row r="23" customFormat="false" ht="12" hidden="false" customHeight="false" outlineLevel="0" collapsed="false">
      <c r="C23" s="512" t="str">
        <f aca="false">IF(Lang="Français","Vous pouvez proposer vos améliorations en envoyant votre fichier à : ","Send all remarks and improvements proposals to:")</f>
        <v>Vous pouvez proposer vos améliorations en envoyant votre fichier à : </v>
      </c>
      <c r="H23" s="510"/>
    </row>
    <row r="25" customFormat="false" ht="12" hidden="false" customHeight="false" outlineLevel="0" collapsed="false">
      <c r="C25" s="509" t="str">
        <f aca="false">IF(Lang="Français","Licence :","License:")</f>
        <v>Licence :</v>
      </c>
      <c r="D25" s="513"/>
    </row>
    <row r="26" customFormat="false" ht="12" hidden="false" customHeight="false" outlineLevel="0" collapsed="false">
      <c r="C26" s="0" t="str">
        <f aca="false">IF(Lang="Français","Ce logiciel est placé sous la licence Creative Commons BY-SA","This software is placed under Creative Commons licence BY-SA")</f>
        <v>Ce logiciel est placé sous la licence Creative Commons BY-SA</v>
      </c>
      <c r="H26" s="510" t="s">
        <v>381</v>
      </c>
    </row>
    <row r="28" customFormat="false" ht="12" hidden="false" customHeight="false" outlineLevel="0" collapsed="false">
      <c r="C28" s="509" t="str">
        <f aca="false">IF(Lang="Français","Compatibilité :","Compatibility:")</f>
        <v>Compatibilité :</v>
      </c>
    </row>
    <row r="29" customFormat="false" ht="12" hidden="false" customHeight="false" outlineLevel="0" collapsed="false">
      <c r="C29" s="0" t="s">
        <v>382</v>
      </c>
    </row>
    <row r="30" customFormat="false" ht="12" hidden="false" customHeight="false" outlineLevel="0" collapsed="false">
      <c r="C30" s="0" t="s">
        <v>383</v>
      </c>
    </row>
    <row r="31" customFormat="false" ht="12" hidden="false" customHeight="false" outlineLevel="0" collapsed="false">
      <c r="C31" s="514" t="s">
        <v>384</v>
      </c>
    </row>
    <row r="33" customFormat="false" ht="12" hidden="false" customHeight="false" outlineLevel="0" collapsed="false">
      <c r="C33" s="509" t="str">
        <f aca="false">IF(Lang="Français","Historique :","History:")</f>
        <v>Historique :</v>
      </c>
    </row>
    <row r="34" customFormat="false" ht="12" hidden="false" customHeight="false" outlineLevel="0" collapsed="false">
      <c r="C34" s="0" t="s">
        <v>385</v>
      </c>
      <c r="D34" s="0" t="s">
        <v>386</v>
      </c>
      <c r="E34" s="515" t="s">
        <v>387</v>
      </c>
      <c r="F34" s="0" t="str">
        <f aca="false">IF(Lang="Français","Essais personnels, héritage d'une feuille de calcul de Vincent Girard, ESO","Personnel tests")</f>
        <v>Essais personnels, héritage d'une feuille de calcul de Vincent Girard, ESO</v>
      </c>
    </row>
    <row r="35" customFormat="false" ht="12" hidden="false" customHeight="false" outlineLevel="0" collapsed="false">
      <c r="C35" s="0" t="s">
        <v>388</v>
      </c>
      <c r="D35" s="0" t="s">
        <v>386</v>
      </c>
      <c r="E35" s="513" t="n">
        <v>39483</v>
      </c>
      <c r="F35" s="0" t="str">
        <f aca="false">IF(Lang="Français","Equations de Barrowman généralisées (D_ref), masquage inter-ailerons, bilingue fr-en","Generalized Barrowman equations (D_ref), fin-fin interaction, english translation")</f>
        <v>Equations de Barrowman généralisées (D_ref), masquage inter-ailerons, bilingue fr-en</v>
      </c>
    </row>
    <row r="36" customFormat="false" ht="12" hidden="false" customHeight="false" outlineLevel="0" collapsed="false">
      <c r="C36" s="0" t="s">
        <v>389</v>
      </c>
      <c r="D36" s="0" t="s">
        <v>386</v>
      </c>
      <c r="E36" s="513" t="n">
        <v>39507</v>
      </c>
      <c r="F36" s="0" t="str">
        <f aca="false">IF(Lang="Français","Schéma de la fusée, estimation analytique de la trajecto, diagramme des critères","Rocket schematic, analytical trajecto, criterions diagram")</f>
        <v>Schéma de la fusée, estimation analytique de la trajecto, diagramme des critères</v>
      </c>
    </row>
    <row r="37" customFormat="false" ht="12" hidden="false" customHeight="false" outlineLevel="0" collapsed="false">
      <c r="C37" s="0" t="s">
        <v>390</v>
      </c>
      <c r="D37" s="0" t="s">
        <v>386</v>
      </c>
      <c r="E37" s="513" t="n">
        <v>39694</v>
      </c>
      <c r="F37" s="0" t="str">
        <f aca="false">IF(Lang="Français","Mise en forme","Formatting")</f>
        <v>Mise en forme</v>
      </c>
    </row>
    <row r="38" customFormat="false" ht="12" hidden="false" customHeight="false" outlineLevel="0" collapsed="false">
      <c r="C38" s="0" t="s">
        <v>391</v>
      </c>
      <c r="D38" s="0" t="s">
        <v>386</v>
      </c>
      <c r="E38" s="513" t="n">
        <v>39643</v>
      </c>
      <c r="F38" s="0" t="str">
        <f aca="false">IF(Lang="Français","Essais personnels, héritage d'une feuille de calcul de Félicien Roux, ESO","Personal tests")</f>
        <v>Essais personnels, héritage d'une feuille de calcul de Félicien Roux, ESO</v>
      </c>
    </row>
    <row r="39" customFormat="false" ht="12" hidden="false" customHeight="false" outlineLevel="0" collapsed="false">
      <c r="C39" s="0" t="s">
        <v>392</v>
      </c>
      <c r="D39" s="0" t="s">
        <v>386</v>
      </c>
      <c r="E39" s="513" t="n">
        <v>39755</v>
      </c>
      <c r="F39" s="0" t="str">
        <f aca="false">IF(Lang="Français","Réécriture équations, traduction, érgonomie","Equations, traduction, ergonomy")</f>
        <v>Réécriture équations, traduction, érgonomie</v>
      </c>
    </row>
    <row r="40" customFormat="false" ht="12" hidden="false" customHeight="false" outlineLevel="0" collapsed="false">
      <c r="C40" s="0" t="s">
        <v>393</v>
      </c>
      <c r="D40" s="0" t="s">
        <v>386</v>
      </c>
      <c r="E40" s="513" t="n">
        <v>39756</v>
      </c>
      <c r="F40" s="0" t="str">
        <f aca="false">IF(Lang="Français","Conditions Initiales pour vol 2e étage, 1ère publication","Initial Conditions, 1st publication")</f>
        <v>Conditions Initiales pour vol 2e étage, 1ère publication</v>
      </c>
    </row>
    <row r="41" customFormat="false" ht="12" hidden="false" customHeight="false" outlineLevel="0" collapsed="false">
      <c r="C41" s="0" t="s">
        <v>394</v>
      </c>
      <c r="D41" s="0" t="s">
        <v>386</v>
      </c>
      <c r="E41" s="513" t="n">
        <v>40658</v>
      </c>
      <c r="F41" s="0" t="s">
        <v>395</v>
      </c>
    </row>
    <row r="42" customFormat="false" ht="12" hidden="false" customHeight="false" outlineLevel="0" collapsed="false">
      <c r="C42" s="0" t="s">
        <v>396</v>
      </c>
      <c r="D42" s="0" t="s">
        <v>386</v>
      </c>
      <c r="E42" s="513" t="n">
        <v>40868</v>
      </c>
      <c r="F42" s="0" t="str">
        <f aca="false">IF(Lang="Français","Fusion Stabilito+Trajecto, mise en forme, Ctrl, RC, H2O, Abaco","Merge Stabilito+Trajecto, formatting, Ctrl, RC, H2O, Abaco")</f>
        <v>Fusion Stabilito+Trajecto, mise en forme, Ctrl, RC, H2O, Abaco</v>
      </c>
    </row>
    <row r="43" customFormat="false" ht="12" hidden="false" customHeight="false" outlineLevel="0" collapsed="false">
      <c r="C43" s="0" t="s">
        <v>397</v>
      </c>
      <c r="D43" s="0" t="s">
        <v>386</v>
      </c>
      <c r="E43" s="513" t="n">
        <v>41194</v>
      </c>
      <c r="F43" s="0" t="s">
        <v>398</v>
      </c>
    </row>
    <row r="44" customFormat="false" ht="12" hidden="false" customHeight="false" outlineLevel="0" collapsed="false">
      <c r="C44" s="0" t="s">
        <v>399</v>
      </c>
      <c r="D44" s="0" t="s">
        <v>386</v>
      </c>
      <c r="E44" s="513" t="n">
        <v>41329</v>
      </c>
      <c r="F44" s="0" t="s">
        <v>400</v>
      </c>
    </row>
    <row r="45" customFormat="false" ht="12" hidden="false" customHeight="false" outlineLevel="0" collapsed="false">
      <c r="C45" s="0" t="s">
        <v>401</v>
      </c>
      <c r="D45" s="0" t="s">
        <v>402</v>
      </c>
      <c r="E45" s="513" t="n">
        <v>41947</v>
      </c>
      <c r="F45" s="0" t="s">
        <v>403</v>
      </c>
    </row>
    <row r="46" customFormat="false" ht="12" hidden="false" customHeight="false" outlineLevel="0" collapsed="false">
      <c r="C46" s="0" t="s">
        <v>404</v>
      </c>
      <c r="D46" s="0" t="s">
        <v>402</v>
      </c>
      <c r="E46" s="513" t="n">
        <v>41965</v>
      </c>
      <c r="F46" s="0" t="s">
        <v>405</v>
      </c>
    </row>
    <row r="47" customFormat="false" ht="12" hidden="false" customHeight="false" outlineLevel="0" collapsed="false">
      <c r="C47" s="0" t="s">
        <v>406</v>
      </c>
      <c r="D47" s="0" t="s">
        <v>402</v>
      </c>
      <c r="E47" s="513" t="n">
        <v>43048</v>
      </c>
      <c r="F47" s="0" t="s">
        <v>407</v>
      </c>
    </row>
    <row r="48" customFormat="false" ht="12" hidden="false" customHeight="false" outlineLevel="0" collapsed="false">
      <c r="C48" s="0" t="s">
        <v>408</v>
      </c>
      <c r="D48" s="0" t="s">
        <v>402</v>
      </c>
      <c r="E48" s="513" t="n">
        <v>44160</v>
      </c>
      <c r="F48" s="0" t="s">
        <v>409</v>
      </c>
    </row>
    <row r="49" customFormat="false" ht="12" hidden="false" customHeight="false" outlineLevel="0" collapsed="false">
      <c r="E49" s="513"/>
    </row>
    <row r="51" customFormat="false" ht="12" hidden="false" customHeight="false" outlineLevel="0" collapsed="false">
      <c r="C51" s="509" t="str">
        <f aca="false">IF(Lang="Français","Paramètres de référence :","Reference parameters:")</f>
        <v>Paramètres de référence :</v>
      </c>
    </row>
    <row r="52" customFormat="false" ht="12" hidden="false" customHeight="false" outlineLevel="0" collapsed="false">
      <c r="C52" s="516" t="str">
        <f aca="false">IF(Lang="Français","Gravité g :","Gravity g")</f>
        <v>Gravité g :</v>
      </c>
      <c r="E52" s="516" t="n">
        <v>9.81</v>
      </c>
      <c r="F52" s="516" t="s">
        <v>177</v>
      </c>
    </row>
    <row r="53" customFormat="false" ht="12" hidden="false" customHeight="false" outlineLevel="0" collapsed="false">
      <c r="C53" s="516" t="str">
        <f aca="false">IF(Lang="Français","Masse volumique de l'air ρ :","Air density ρ")</f>
        <v>Masse volumique de l'air ρ :</v>
      </c>
      <c r="E53" s="517" t="n">
        <v>1.225</v>
      </c>
      <c r="F53" s="516" t="s">
        <v>333</v>
      </c>
    </row>
    <row r="54" customFormat="false" ht="12" hidden="false" customHeight="false" outlineLevel="0" collapsed="false">
      <c r="C54" s="512"/>
    </row>
    <row r="55" customFormat="false" ht="12" hidden="false" customHeight="false" outlineLevel="0" collapsed="false">
      <c r="C55" s="512"/>
    </row>
    <row r="56" customFormat="false" ht="12" hidden="false" customHeight="false" outlineLevel="0" collapsed="false">
      <c r="C56" s="512"/>
    </row>
    <row r="57" customFormat="false" ht="12" hidden="false" customHeight="false" outlineLevel="0" collapsed="false">
      <c r="C57" s="512"/>
    </row>
    <row r="58" customFormat="false" ht="12" hidden="false" customHeight="false" outlineLevel="0" collapsed="false">
      <c r="C58" s="512"/>
    </row>
    <row r="59" customFormat="false" ht="12" hidden="false" customHeight="false" outlineLevel="0" collapsed="false">
      <c r="C59" s="512"/>
    </row>
  </sheetData>
  <sheetProtection sheet="true" password="c6ac" objects="true" scenarios="true"/>
  <mergeCells count="1">
    <mergeCell ref="C2:D3"/>
  </mergeCells>
  <hyperlinks>
    <hyperlink ref="H13" r:id="rId2" display="http://www.planete-sciences.org/espace/basedoc/"/>
    <hyperlink ref="H22" r:id="rId3" display="espace@planete-sciences.org"/>
    <hyperlink ref="H26" r:id="rId4" display="http://creativecommons.org/licenses/by-sa/3.0/"/>
  </hyperlinks>
  <printOptions headings="false" gridLines="false" gridLinesSet="true" horizontalCentered="false" verticalCentered="false"/>
  <pageMargins left="0.39375" right="0.39375" top="0.39375" bottom="0.393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legacyDrawing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U134"/>
  <sheetViews>
    <sheetView showFormulas="false" showGridLines="false" showRowColHeaders="true" showZeros="true" rightToLeft="false" tabSelected="false" showOutlineSymbols="true" defaultGridColor="true" view="normal" topLeftCell="D1" colorId="64" zoomScale="100" zoomScaleNormal="100" zoomScalePageLayoutView="100" workbookViewId="0">
      <selection pane="topLeft" activeCell="H4" activeCellId="0" sqref="H4"/>
    </sheetView>
  </sheetViews>
  <sheetFormatPr defaultColWidth="11.6328125" defaultRowHeight="12" zeroHeight="false" outlineLevelRow="0" outlineLevelCol="0"/>
  <cols>
    <col collapsed="false" customWidth="true" hidden="false" outlineLevel="0" max="2" min="1" style="0" width="2.18"/>
    <col collapsed="false" customWidth="true" hidden="false" outlineLevel="0" max="3" min="3" style="0" width="12.63"/>
    <col collapsed="false" customWidth="true" hidden="false" outlineLevel="0" max="4" min="4" style="0" width="21"/>
    <col collapsed="false" customWidth="true" hidden="false" outlineLevel="0" max="7" min="7" style="0" width="26.63"/>
    <col collapsed="false" customWidth="true" hidden="false" outlineLevel="0" max="9" min="8" style="0" width="6.73"/>
    <col collapsed="false" customWidth="true" hidden="false" outlineLevel="0" max="10" min="10" style="0" width="10"/>
    <col collapsed="false" customWidth="true" hidden="false" outlineLevel="0" max="11" min="11" style="0" width="13"/>
    <col collapsed="false" customWidth="true" hidden="false" outlineLevel="0" max="12" min="12" style="0" width="21.27"/>
    <col collapsed="false" customWidth="true" hidden="false" outlineLevel="0" max="14" min="14" style="0" width="2.18"/>
    <col collapsed="false" customWidth="true" hidden="false" outlineLevel="0" max="19" min="18" style="0" width="16.27"/>
  </cols>
  <sheetData>
    <row r="1" customFormat="false" ht="13.5" hidden="false" customHeight="false" outlineLevel="0" collapsed="false">
      <c r="O1" s="182"/>
      <c r="P1" s="518"/>
      <c r="Q1" s="519"/>
      <c r="R1" s="518"/>
      <c r="S1" s="518"/>
      <c r="T1" s="518"/>
      <c r="U1" s="518"/>
    </row>
    <row r="2" customFormat="false" ht="13.5" hidden="false" customHeight="false" outlineLevel="0" collapsed="false">
      <c r="B2" s="520"/>
      <c r="C2" s="475"/>
      <c r="D2" s="475"/>
      <c r="E2" s="475"/>
      <c r="F2" s="475"/>
      <c r="G2" s="475"/>
      <c r="H2" s="475"/>
      <c r="I2" s="475"/>
      <c r="J2" s="475"/>
      <c r="K2" s="475"/>
      <c r="L2" s="475"/>
      <c r="M2" s="475"/>
      <c r="N2" s="476"/>
      <c r="O2" s="182"/>
      <c r="P2" s="518"/>
      <c r="Q2" s="519"/>
      <c r="R2" s="518"/>
      <c r="S2" s="518"/>
      <c r="T2" s="518"/>
      <c r="U2" s="518"/>
    </row>
    <row r="3" customFormat="false" ht="15.75" hidden="false" customHeight="true" outlineLevel="0" collapsed="false">
      <c r="B3" s="255"/>
      <c r="C3" s="192"/>
      <c r="D3" s="172" t="s">
        <v>410</v>
      </c>
      <c r="E3" s="192"/>
      <c r="F3" s="192"/>
      <c r="G3" s="192"/>
      <c r="H3" s="192"/>
      <c r="I3" s="192"/>
      <c r="J3" s="192"/>
      <c r="K3" s="192"/>
      <c r="L3" s="192"/>
      <c r="M3" s="192"/>
      <c r="N3" s="477"/>
      <c r="O3" s="182"/>
      <c r="P3" s="521" t="s">
        <v>411</v>
      </c>
      <c r="Q3" s="522" t="n">
        <f aca="false">Long_ogive</f>
        <v>40</v>
      </c>
      <c r="R3" s="518"/>
      <c r="S3" s="518"/>
      <c r="T3" s="518"/>
      <c r="U3" s="518"/>
    </row>
    <row r="4" customFormat="false" ht="15.75" hidden="false" customHeight="true" outlineLevel="0" collapsed="false">
      <c r="B4" s="255"/>
      <c r="C4" s="192"/>
      <c r="D4" s="172"/>
      <c r="E4" s="192"/>
      <c r="F4" s="192"/>
      <c r="G4" s="192"/>
      <c r="H4" s="192"/>
      <c r="I4" s="192"/>
      <c r="J4" s="192"/>
      <c r="K4" s="192"/>
      <c r="L4" s="192"/>
      <c r="M4" s="192"/>
      <c r="N4" s="477"/>
      <c r="O4" s="182"/>
      <c r="P4" s="521"/>
      <c r="Q4" s="402"/>
      <c r="R4" s="518"/>
      <c r="S4" s="518"/>
      <c r="T4" s="518"/>
      <c r="U4" s="518"/>
    </row>
    <row r="5" customFormat="false" ht="15.75" hidden="false" customHeight="true" outlineLevel="0" collapsed="false">
      <c r="B5" s="255"/>
      <c r="C5" s="192"/>
      <c r="D5" s="523" t="s">
        <v>412</v>
      </c>
      <c r="E5" s="192" t="str">
        <f aca="false">Propu</f>
        <v>Barasinga (Pro54-5G C)</v>
      </c>
      <c r="F5" s="192"/>
      <c r="G5" s="192" t="s">
        <v>413</v>
      </c>
      <c r="H5" s="192" t="n">
        <f aca="false">MasseSans</f>
        <v>8</v>
      </c>
      <c r="I5" s="192"/>
      <c r="J5" s="192"/>
      <c r="K5" s="192"/>
      <c r="L5" s="192"/>
      <c r="M5" s="192"/>
      <c r="N5" s="477"/>
      <c r="O5" s="182"/>
      <c r="P5" s="521"/>
      <c r="Q5" s="402"/>
      <c r="R5" s="518"/>
      <c r="S5" s="518"/>
      <c r="T5" s="518"/>
      <c r="U5" s="518"/>
    </row>
    <row r="6" customFormat="false" ht="12.75" hidden="false" customHeight="false" outlineLevel="0" collapsed="false">
      <c r="B6" s="255"/>
      <c r="D6" s="192" t="s">
        <v>414</v>
      </c>
      <c r="E6" s="172" t="str">
        <f aca="false">Trajecto!H32</f>
        <v>Noir</v>
      </c>
      <c r="G6" s="192" t="s">
        <v>415</v>
      </c>
      <c r="H6" s="192" t="n">
        <f aca="false">D_ref</f>
        <v>100</v>
      </c>
      <c r="I6" s="192"/>
      <c r="J6" s="192"/>
      <c r="K6" s="192"/>
      <c r="L6" s="192"/>
      <c r="M6" s="192"/>
      <c r="N6" s="477"/>
      <c r="O6" s="182"/>
      <c r="P6" s="521"/>
      <c r="Q6" s="402"/>
      <c r="R6" s="518"/>
      <c r="S6" s="518"/>
      <c r="T6" s="518"/>
      <c r="U6" s="518"/>
    </row>
    <row r="7" customFormat="false" ht="12.75" hidden="false" customHeight="false" outlineLevel="0" collapsed="false">
      <c r="B7" s="255"/>
      <c r="D7" s="192" t="s">
        <v>416</v>
      </c>
      <c r="E7" s="172" t="str">
        <f aca="false">Trajecto!H33</f>
        <v>Rouge</v>
      </c>
      <c r="G7" s="0" t="s">
        <v>159</v>
      </c>
      <c r="H7" s="0" t="n">
        <f aca="false">Cx</f>
        <v>0.5</v>
      </c>
      <c r="I7" s="192"/>
      <c r="J7" s="192"/>
      <c r="K7" s="192"/>
      <c r="L7" s="192"/>
      <c r="M7" s="192"/>
      <c r="N7" s="477"/>
      <c r="O7" s="182"/>
      <c r="P7" s="521"/>
      <c r="Q7" s="402"/>
      <c r="R7" s="518"/>
      <c r="S7" s="518"/>
      <c r="T7" s="518"/>
      <c r="U7" s="518"/>
    </row>
    <row r="8" customFormat="false" ht="12.75" hidden="false" customHeight="false" outlineLevel="0" collapsed="false">
      <c r="B8" s="255"/>
      <c r="D8" s="192" t="s">
        <v>417</v>
      </c>
      <c r="E8" s="172" t="n">
        <f aca="false">S_para</f>
        <v>2</v>
      </c>
      <c r="G8" s="192" t="s">
        <v>418</v>
      </c>
      <c r="H8" s="192" t="n">
        <f aca="false">L_rampe</f>
        <v>4</v>
      </c>
      <c r="I8" s="192"/>
      <c r="J8" s="192"/>
      <c r="K8" s="192"/>
      <c r="L8" s="192"/>
      <c r="M8" s="192"/>
      <c r="N8" s="477"/>
      <c r="O8" s="182"/>
      <c r="P8" s="521"/>
      <c r="Q8" s="402"/>
      <c r="R8" s="518"/>
      <c r="S8" s="518"/>
      <c r="T8" s="518"/>
      <c r="U8" s="518"/>
    </row>
    <row r="9" customFormat="false" ht="12.75" hidden="false" customHeight="false" outlineLevel="0" collapsed="false">
      <c r="B9" s="255"/>
      <c r="D9" s="511" t="s">
        <v>419</v>
      </c>
      <c r="E9" s="172"/>
      <c r="G9" s="511" t="s">
        <v>420</v>
      </c>
      <c r="H9" s="524" t="str">
        <f aca="false">Forme_ogive</f>
        <v>Parabolique (arrondie)</v>
      </c>
      <c r="I9" s="192"/>
      <c r="J9" s="192"/>
      <c r="K9" s="192"/>
      <c r="L9" s="192"/>
      <c r="M9" s="192"/>
      <c r="N9" s="477"/>
      <c r="O9" s="182"/>
      <c r="P9" s="521"/>
      <c r="Q9" s="402"/>
      <c r="R9" s="518"/>
      <c r="S9" s="518"/>
      <c r="T9" s="518"/>
      <c r="U9" s="518"/>
    </row>
    <row r="10" customFormat="false" ht="12.75" hidden="false" customHeight="false" outlineLevel="0" collapsed="false">
      <c r="B10" s="255"/>
      <c r="C10" s="192"/>
      <c r="D10" s="192"/>
      <c r="E10" s="192"/>
      <c r="F10" s="175"/>
      <c r="G10" s="356"/>
      <c r="H10" s="192"/>
      <c r="I10" s="192"/>
      <c r="J10" s="192"/>
      <c r="K10" s="192"/>
      <c r="L10" s="192"/>
      <c r="M10" s="192"/>
      <c r="N10" s="477"/>
      <c r="O10" s="525"/>
      <c r="P10" s="518"/>
      <c r="Q10" s="402"/>
      <c r="R10" s="518"/>
      <c r="S10" s="518"/>
      <c r="T10" s="518"/>
      <c r="U10" s="518"/>
    </row>
    <row r="11" customFormat="false" ht="13.5" hidden="false" customHeight="false" outlineLevel="0" collapsed="false">
      <c r="B11" s="255"/>
      <c r="C11" s="526"/>
      <c r="D11" s="527" t="s">
        <v>421</v>
      </c>
      <c r="E11" s="528" t="n">
        <f aca="false">MasseSans</f>
        <v>8</v>
      </c>
      <c r="F11" s="529" t="s">
        <v>422</v>
      </c>
      <c r="G11" s="529" t="s">
        <v>423</v>
      </c>
      <c r="H11" s="530" t="n">
        <f aca="false">Vsortie_de_rampe</f>
        <v>25.0361140400673</v>
      </c>
      <c r="I11" s="530"/>
      <c r="J11" s="531"/>
      <c r="K11" s="192"/>
      <c r="L11" s="192"/>
      <c r="M11" s="192"/>
      <c r="N11" s="477"/>
      <c r="O11" s="192"/>
      <c r="P11" s="518"/>
      <c r="Q11" s="402"/>
      <c r="R11" s="518"/>
      <c r="S11" s="518"/>
      <c r="T11" s="518"/>
      <c r="U11" s="532" t="n">
        <f aca="false">IF(RIGHT(Nb_diam,1)=",", "", X_j)</f>
        <v>40</v>
      </c>
    </row>
    <row r="12" customFormat="false" ht="13.5" hidden="false" customHeight="false" outlineLevel="0" collapsed="false">
      <c r="B12" s="255"/>
      <c r="C12" s="526"/>
      <c r="D12" s="533"/>
      <c r="E12" s="534"/>
      <c r="F12" s="356" t="s">
        <v>422</v>
      </c>
      <c r="G12" s="356" t="s">
        <v>424</v>
      </c>
      <c r="H12" s="535" t="n">
        <f aca="false">Finesse</f>
        <v>21.92</v>
      </c>
      <c r="I12" s="535"/>
      <c r="J12" s="531"/>
      <c r="K12" s="192"/>
      <c r="L12" s="192"/>
      <c r="M12" s="192"/>
      <c r="N12" s="477"/>
      <c r="O12" s="182"/>
      <c r="P12" s="521" t="s">
        <v>425</v>
      </c>
      <c r="Q12" s="522" t="n">
        <f aca="false">D_og</f>
        <v>80</v>
      </c>
      <c r="R12" s="518"/>
      <c r="S12" s="518"/>
      <c r="T12" s="518"/>
      <c r="U12" s="402"/>
    </row>
    <row r="13" customFormat="false" ht="12.75" hidden="false" customHeight="false" outlineLevel="0" collapsed="false">
      <c r="B13" s="255"/>
      <c r="C13" s="526"/>
      <c r="D13" s="533" t="s">
        <v>159</v>
      </c>
      <c r="E13" s="534" t="n">
        <f aca="false">Cx</f>
        <v>0.5</v>
      </c>
      <c r="F13" s="356" t="s">
        <v>422</v>
      </c>
      <c r="G13" s="356" t="s">
        <v>426</v>
      </c>
      <c r="H13" s="535" t="n">
        <f aca="false">Cn</f>
        <v>19.2249118748816</v>
      </c>
      <c r="I13" s="535"/>
      <c r="J13" s="531"/>
      <c r="K13" s="192"/>
      <c r="L13" s="192"/>
      <c r="M13" s="192"/>
      <c r="N13" s="477"/>
      <c r="O13" s="182"/>
      <c r="P13" s="518"/>
      <c r="Q13" s="402"/>
      <c r="R13" s="518"/>
      <c r="S13" s="518"/>
      <c r="T13" s="518"/>
      <c r="U13" s="532" t="n">
        <f aca="false">IF(RIGHT(Nb_diam,1)=",", "", X_r)</f>
        <v>2152</v>
      </c>
    </row>
    <row r="14" customFormat="false" ht="12.75" hidden="false" customHeight="false" outlineLevel="0" collapsed="false">
      <c r="B14" s="255"/>
      <c r="C14" s="388"/>
      <c r="D14" s="533" t="s">
        <v>427</v>
      </c>
      <c r="E14" s="534" t="n">
        <f aca="false">L_rampe</f>
        <v>4</v>
      </c>
      <c r="F14" s="356" t="s">
        <v>422</v>
      </c>
      <c r="G14" s="356" t="s">
        <v>428</v>
      </c>
      <c r="H14" s="536" t="n">
        <f aca="false">MS_min</f>
        <v>3.05542133808662</v>
      </c>
      <c r="I14" s="537" t="n">
        <f aca="false">MS_max</f>
        <v>4.08276499527281</v>
      </c>
      <c r="J14" s="531"/>
      <c r="K14" s="531"/>
      <c r="L14" s="192"/>
      <c r="M14" s="192"/>
      <c r="N14" s="477"/>
      <c r="O14" s="192"/>
      <c r="P14" s="518"/>
      <c r="Q14" s="402"/>
      <c r="R14" s="518"/>
      <c r="S14" s="518"/>
      <c r="T14" s="518"/>
      <c r="U14" s="402"/>
    </row>
    <row r="15" customFormat="false" ht="12.75" hidden="false" customHeight="false" outlineLevel="0" collapsed="false">
      <c r="B15" s="255"/>
      <c r="C15" s="388"/>
      <c r="D15" s="533" t="s">
        <v>429</v>
      </c>
      <c r="E15" s="534" t="n">
        <f aca="false">ep_ail</f>
        <v>2</v>
      </c>
      <c r="F15" s="356" t="s">
        <v>422</v>
      </c>
      <c r="G15" s="356" t="s">
        <v>430</v>
      </c>
      <c r="H15" s="536" t="n">
        <f aca="false">MS_Cn_min</f>
        <v>58.7402059653482</v>
      </c>
      <c r="I15" s="537" t="n">
        <f aca="false">MS_Cn_max</f>
        <v>83.5048080854817</v>
      </c>
      <c r="J15" s="531"/>
      <c r="K15" s="531"/>
      <c r="L15" s="192"/>
      <c r="M15" s="192"/>
      <c r="N15" s="477"/>
      <c r="O15" s="192"/>
      <c r="P15" s="518"/>
      <c r="Q15" s="402"/>
      <c r="R15" s="518"/>
      <c r="S15" s="518"/>
      <c r="T15" s="518"/>
    </row>
    <row r="16" customFormat="false" ht="12.75" hidden="false" customHeight="false" outlineLevel="0" collapsed="false">
      <c r="B16" s="255"/>
      <c r="C16" s="388"/>
      <c r="D16" s="533" t="s">
        <v>431</v>
      </c>
      <c r="E16" s="534" t="n">
        <f aca="false">Q_ail</f>
        <v>4</v>
      </c>
      <c r="F16" s="356" t="s">
        <v>432</v>
      </c>
      <c r="G16" s="356" t="s">
        <v>433</v>
      </c>
      <c r="H16" s="536" t="n">
        <f aca="false">V_para</f>
        <v>8.32385899516736</v>
      </c>
      <c r="I16" s="535" t="n">
        <f aca="false">V_satellite</f>
        <v>12.6555626230572</v>
      </c>
      <c r="J16" s="531"/>
      <c r="K16" s="192"/>
      <c r="L16" s="192"/>
      <c r="M16" s="192"/>
      <c r="N16" s="477"/>
      <c r="O16" s="192"/>
      <c r="P16" s="518"/>
      <c r="Q16" s="402"/>
      <c r="R16" s="518"/>
      <c r="S16" s="518"/>
      <c r="T16" s="518"/>
      <c r="U16" s="532" t="n">
        <f aca="false">IF(RIGHT(Nb_diam,1)=",", "", l_j)</f>
        <v>150</v>
      </c>
    </row>
    <row r="17" customFormat="false" ht="12.75" hidden="false" customHeight="false" outlineLevel="0" collapsed="false">
      <c r="B17" s="255"/>
      <c r="C17" s="388"/>
      <c r="D17" s="533" t="s">
        <v>420</v>
      </c>
      <c r="E17" s="538" t="str">
        <f aca="false">Forme_ogive</f>
        <v>Parabolique (arrondie)</v>
      </c>
      <c r="F17" s="356" t="s">
        <v>434</v>
      </c>
      <c r="G17" s="356" t="s">
        <v>435</v>
      </c>
      <c r="H17" s="535" t="n">
        <f aca="false">T_para</f>
        <v>16</v>
      </c>
      <c r="I17" s="535"/>
      <c r="J17" s="539"/>
      <c r="K17" s="192"/>
      <c r="L17" s="192"/>
      <c r="M17" s="192"/>
      <c r="N17" s="477"/>
      <c r="O17" s="192"/>
      <c r="P17" s="540" t="s">
        <v>436</v>
      </c>
      <c r="Q17" s="532" t="n">
        <f aca="false">IF(RIGHT(Nb_diam,1)=",", "", D2j)</f>
        <v>100</v>
      </c>
      <c r="R17" s="518"/>
      <c r="S17" s="518"/>
      <c r="T17" s="518"/>
      <c r="U17" s="402"/>
    </row>
    <row r="18" customFormat="false" ht="12.75" hidden="false" customHeight="false" outlineLevel="0" collapsed="false">
      <c r="B18" s="255"/>
      <c r="C18" s="388"/>
      <c r="D18" s="533" t="s">
        <v>437</v>
      </c>
      <c r="E18" s="541" t="n">
        <f aca="false">XpropuRef-Long_propu</f>
        <v>1704</v>
      </c>
      <c r="F18" s="388" t="s">
        <v>434</v>
      </c>
      <c r="G18" s="388" t="s">
        <v>438</v>
      </c>
      <c r="H18" s="542" t="n">
        <f aca="false">T_para-Combustion-Depotage</f>
        <v>16</v>
      </c>
      <c r="I18" s="542"/>
      <c r="J18" s="192"/>
      <c r="K18" s="192"/>
      <c r="L18" s="192"/>
      <c r="M18" s="192"/>
      <c r="N18" s="477"/>
      <c r="O18" s="192"/>
      <c r="P18" s="518"/>
      <c r="Q18" s="402"/>
      <c r="R18" s="518"/>
      <c r="S18" s="518"/>
    </row>
    <row r="19" customFormat="false" ht="12.75" hidden="false" customHeight="false" outlineLevel="0" collapsed="false">
      <c r="B19" s="255"/>
      <c r="C19" s="543"/>
      <c r="D19" s="544"/>
      <c r="E19" s="545"/>
      <c r="F19" s="546" t="s">
        <v>439</v>
      </c>
      <c r="G19" s="547" t="s">
        <v>440</v>
      </c>
      <c r="H19" s="548" t="n">
        <f aca="false">Portee_balistique</f>
        <v>1017.12580762709</v>
      </c>
      <c r="I19" s="548"/>
      <c r="J19" s="192"/>
      <c r="K19" s="192"/>
      <c r="L19" s="192"/>
      <c r="M19" s="192"/>
      <c r="N19" s="477"/>
      <c r="O19" s="192"/>
      <c r="P19" s="518"/>
      <c r="Q19" s="402"/>
      <c r="R19" s="518"/>
      <c r="S19" s="518"/>
      <c r="T19" s="518"/>
    </row>
    <row r="20" customFormat="false" ht="12.75" hidden="false" customHeight="false" outlineLevel="0" collapsed="false">
      <c r="B20" s="255"/>
      <c r="C20" s="388"/>
      <c r="D20" s="182"/>
      <c r="E20" s="182"/>
      <c r="H20" s="549"/>
      <c r="I20" s="549"/>
      <c r="J20" s="192"/>
      <c r="K20" s="192"/>
      <c r="L20" s="192"/>
      <c r="M20" s="192"/>
      <c r="N20" s="477"/>
      <c r="O20" s="192"/>
      <c r="P20" s="518"/>
      <c r="Q20" s="402"/>
      <c r="R20" s="518"/>
      <c r="S20" s="518"/>
      <c r="T20" s="518"/>
      <c r="U20" s="532" t="n">
        <f aca="false">IF(RIGHT(Nb_diam,1)=",", "", l_r)</f>
        <v>0</v>
      </c>
    </row>
    <row r="21" customFormat="false" ht="12.75" hidden="false" customHeight="false" outlineLevel="0" collapsed="false">
      <c r="B21" s="255"/>
      <c r="C21" s="388"/>
      <c r="D21" s="182"/>
      <c r="E21" s="550"/>
      <c r="F21" s="175"/>
      <c r="G21" s="356"/>
      <c r="H21" s="549"/>
      <c r="I21" s="549"/>
      <c r="J21" s="192"/>
      <c r="K21" s="192"/>
      <c r="L21" s="192"/>
      <c r="M21" s="192"/>
      <c r="N21" s="477"/>
      <c r="O21" s="551"/>
      <c r="P21" s="402"/>
      <c r="Q21" s="519"/>
      <c r="R21" s="518"/>
      <c r="S21" s="518"/>
      <c r="T21" s="552"/>
      <c r="U21" s="402"/>
    </row>
    <row r="22" customFormat="false" ht="12.75" hidden="false" customHeight="false" outlineLevel="0" collapsed="false">
      <c r="B22" s="255"/>
      <c r="C22" s="553" t="s">
        <v>441</v>
      </c>
      <c r="D22" s="554" t="s">
        <v>442</v>
      </c>
      <c r="E22" s="555"/>
      <c r="F22" s="556" t="s">
        <v>443</v>
      </c>
      <c r="G22" s="553" t="s">
        <v>444</v>
      </c>
      <c r="I22" s="557"/>
      <c r="J22" s="558" t="s">
        <v>3</v>
      </c>
      <c r="K22" s="554" t="s">
        <v>4</v>
      </c>
      <c r="N22" s="477"/>
      <c r="O22" s="551"/>
      <c r="P22" s="402"/>
      <c r="Q22" s="519"/>
      <c r="R22" s="518"/>
      <c r="S22" s="518"/>
      <c r="T22" s="552"/>
      <c r="U22" s="402"/>
    </row>
    <row r="23" customFormat="false" ht="12.75" hidden="false" customHeight="false" outlineLevel="0" collapsed="false">
      <c r="B23" s="255"/>
      <c r="C23" s="553" t="s">
        <v>445</v>
      </c>
      <c r="D23" s="555" t="n">
        <f aca="false">XcgSans</f>
        <v>1150</v>
      </c>
      <c r="E23" s="555" t="s">
        <v>175</v>
      </c>
      <c r="F23" s="559" t="n">
        <f aca="false">m_ail</f>
        <v>300</v>
      </c>
      <c r="G23" s="560" t="n">
        <f aca="false">m_can</f>
        <v>150</v>
      </c>
      <c r="I23" s="557" t="s">
        <v>446</v>
      </c>
      <c r="J23" s="561" t="n">
        <f aca="false">l_j</f>
        <v>150</v>
      </c>
      <c r="K23" s="562" t="n">
        <f aca="false">l_r</f>
        <v>0</v>
      </c>
      <c r="N23" s="477"/>
      <c r="O23" s="551"/>
      <c r="P23" s="402"/>
      <c r="Q23" s="519"/>
      <c r="R23" s="518"/>
      <c r="S23" s="518"/>
      <c r="T23" s="552"/>
      <c r="U23" s="402"/>
    </row>
    <row r="24" customFormat="false" ht="12.75" hidden="false" customHeight="false" outlineLevel="0" collapsed="false">
      <c r="B24" s="255"/>
      <c r="C24" s="553" t="s">
        <v>447</v>
      </c>
      <c r="D24" s="562" t="n">
        <f aca="false">Long_tot</f>
        <v>2192</v>
      </c>
      <c r="E24" s="555" t="s">
        <v>448</v>
      </c>
      <c r="F24" s="559" t="n">
        <f aca="false">n_ail</f>
        <v>150</v>
      </c>
      <c r="G24" s="560" t="n">
        <f aca="false">n_can</f>
        <v>150</v>
      </c>
      <c r="I24" s="557" t="s">
        <v>449</v>
      </c>
      <c r="J24" s="561" t="n">
        <f aca="false">D1j</f>
        <v>80</v>
      </c>
      <c r="K24" s="562" t="n">
        <f aca="false">D1r</f>
        <v>100</v>
      </c>
      <c r="N24" s="477"/>
      <c r="O24" s="551"/>
      <c r="P24" s="402"/>
      <c r="Q24" s="519"/>
      <c r="R24" s="518"/>
      <c r="S24" s="518"/>
      <c r="T24" s="552"/>
      <c r="U24" s="402"/>
    </row>
    <row r="25" customFormat="false" ht="12.75" hidden="false" customHeight="false" outlineLevel="0" collapsed="false">
      <c r="B25" s="255"/>
      <c r="C25" s="553" t="s">
        <v>450</v>
      </c>
      <c r="D25" s="562" t="n">
        <f aca="false">XpropuRef</f>
        <v>2192</v>
      </c>
      <c r="E25" s="555" t="s">
        <v>451</v>
      </c>
      <c r="F25" s="559" t="n">
        <f aca="false">p_ail</f>
        <v>75</v>
      </c>
      <c r="G25" s="560" t="n">
        <f aca="false">p_can</f>
        <v>0</v>
      </c>
      <c r="I25" s="557" t="s">
        <v>452</v>
      </c>
      <c r="J25" s="561" t="n">
        <f aca="false">D2j</f>
        <v>100</v>
      </c>
      <c r="K25" s="562" t="n">
        <f aca="false">D2r</f>
        <v>100</v>
      </c>
      <c r="N25" s="477"/>
      <c r="O25" s="551"/>
      <c r="P25" s="402"/>
      <c r="Q25" s="519"/>
      <c r="R25" s="518"/>
      <c r="S25" s="518"/>
      <c r="T25" s="552"/>
      <c r="U25" s="402"/>
    </row>
    <row r="26" customFormat="false" ht="12.75" hidden="false" customHeight="false" outlineLevel="0" collapsed="false">
      <c r="B26" s="255"/>
      <c r="C26" s="553" t="s">
        <v>453</v>
      </c>
      <c r="D26" s="562" t="n">
        <f aca="false">D_ref</f>
        <v>100</v>
      </c>
      <c r="E26" s="555" t="s">
        <v>454</v>
      </c>
      <c r="F26" s="559" t="n">
        <f aca="false">E_ail</f>
        <v>130</v>
      </c>
      <c r="G26" s="560" t="n">
        <f aca="false">E_can</f>
        <v>45</v>
      </c>
      <c r="I26" s="557" t="s">
        <v>455</v>
      </c>
      <c r="J26" s="561" t="n">
        <f aca="false">X_j</f>
        <v>40</v>
      </c>
      <c r="K26" s="562" t="n">
        <f aca="false">X_r</f>
        <v>2152</v>
      </c>
      <c r="N26" s="477"/>
      <c r="O26" s="551"/>
      <c r="P26" s="402"/>
      <c r="Q26" s="519"/>
      <c r="R26" s="518"/>
      <c r="S26" s="518"/>
      <c r="T26" s="552"/>
      <c r="U26" s="402"/>
    </row>
    <row r="27" customFormat="false" ht="12.75" hidden="false" customHeight="false" outlineLevel="0" collapsed="false">
      <c r="B27" s="255"/>
      <c r="C27" s="553" t="s">
        <v>456</v>
      </c>
      <c r="D27" s="562" t="n">
        <f aca="false">Long_ogive</f>
        <v>40</v>
      </c>
      <c r="E27" s="555" t="s">
        <v>457</v>
      </c>
      <c r="F27" s="559" t="n">
        <f aca="false">X_ail</f>
        <v>2192</v>
      </c>
      <c r="G27" s="560" t="n">
        <f aca="false">X_can</f>
        <v>600</v>
      </c>
      <c r="H27" s="549"/>
      <c r="I27" s="563"/>
      <c r="J27" s="564"/>
      <c r="N27" s="477"/>
      <c r="O27" s="551"/>
      <c r="P27" s="402"/>
      <c r="Q27" s="519"/>
      <c r="R27" s="518"/>
      <c r="S27" s="518"/>
      <c r="T27" s="552"/>
      <c r="U27" s="402"/>
    </row>
    <row r="28" customFormat="false" ht="13.5" hidden="false" customHeight="false" outlineLevel="0" collapsed="false">
      <c r="B28" s="255"/>
      <c r="C28" s="192"/>
      <c r="D28" s="192"/>
      <c r="E28" s="565"/>
      <c r="F28" s="192"/>
      <c r="G28" s="192"/>
      <c r="H28" s="192"/>
      <c r="I28" s="192"/>
      <c r="J28" s="192"/>
      <c r="K28" s="192"/>
      <c r="L28" s="192"/>
      <c r="M28" s="192"/>
      <c r="N28" s="477"/>
      <c r="O28" s="172"/>
      <c r="P28" s="182"/>
      <c r="Q28" s="172"/>
      <c r="R28" s="518"/>
      <c r="S28" s="518"/>
      <c r="T28" s="518"/>
      <c r="U28" s="402"/>
    </row>
    <row r="29" customFormat="false" ht="13.5" hidden="false" customHeight="false" outlineLevel="0" collapsed="false">
      <c r="B29" s="255"/>
      <c r="C29" s="566" t="s">
        <v>458</v>
      </c>
      <c r="D29" s="566" t="s">
        <v>459</v>
      </c>
      <c r="E29" s="566" t="s">
        <v>460</v>
      </c>
      <c r="F29" s="566"/>
      <c r="G29" s="566"/>
      <c r="H29" s="567" t="s">
        <v>461</v>
      </c>
      <c r="I29" s="567"/>
      <c r="J29" s="567"/>
      <c r="K29" s="567"/>
      <c r="L29" s="566" t="s">
        <v>462</v>
      </c>
      <c r="M29" s="566" t="s">
        <v>463</v>
      </c>
      <c r="N29" s="477"/>
      <c r="O29" s="551" t="s">
        <v>464</v>
      </c>
      <c r="P29" s="522" t="n">
        <f aca="false">n_ail</f>
        <v>150</v>
      </c>
      <c r="Q29" s="172"/>
      <c r="R29" s="518"/>
      <c r="S29" s="518"/>
      <c r="T29" s="518"/>
      <c r="U29" s="402" t="s">
        <v>465</v>
      </c>
    </row>
    <row r="30" customFormat="false" ht="13.5" hidden="false" customHeight="false" outlineLevel="0" collapsed="false">
      <c r="B30" s="255"/>
      <c r="C30" s="566"/>
      <c r="D30" s="566"/>
      <c r="E30" s="566"/>
      <c r="F30" s="566"/>
      <c r="G30" s="566"/>
      <c r="H30" s="567" t="s">
        <v>466</v>
      </c>
      <c r="I30" s="567"/>
      <c r="J30" s="567" t="s">
        <v>467</v>
      </c>
      <c r="K30" s="568" t="s">
        <v>468</v>
      </c>
      <c r="L30" s="566"/>
      <c r="M30" s="566"/>
      <c r="N30" s="477"/>
      <c r="P30" s="402"/>
      <c r="R30" s="518"/>
      <c r="S30" s="518"/>
      <c r="T30" s="540" t="s">
        <v>469</v>
      </c>
      <c r="U30" s="532" t="n">
        <f aca="false">p_can</f>
        <v>0</v>
      </c>
    </row>
    <row r="31" customFormat="false" ht="13.5" hidden="false" customHeight="false" outlineLevel="0" collapsed="false">
      <c r="B31" s="255"/>
      <c r="C31" s="569" t="n">
        <f aca="false">Beta_rampe</f>
        <v>80</v>
      </c>
      <c r="D31" s="570" t="n">
        <f aca="false">Portee_balistique</f>
        <v>1017.12580762709</v>
      </c>
      <c r="E31" s="571" t="n">
        <f aca="false">T_para+Dt_para</f>
        <v>185.91470001415</v>
      </c>
      <c r="F31" s="571"/>
      <c r="G31" s="571"/>
      <c r="H31" s="572" t="n">
        <f aca="false">Altitude_culmi</f>
        <v>1422.92722994048</v>
      </c>
      <c r="I31" s="572"/>
      <c r="J31" s="571" t="n">
        <f aca="false">Temps_culmi</f>
        <v>17.2999999999999</v>
      </c>
      <c r="K31" s="573" t="n">
        <f aca="false">Vit_culmi</f>
        <v>29.7850604961553</v>
      </c>
      <c r="L31" s="570" t="n">
        <f aca="false">Acc_max</f>
        <v>82.5828910827605</v>
      </c>
      <c r="M31" s="573" t="n">
        <f aca="false">Vit_max</f>
        <v>176.528323408766</v>
      </c>
      <c r="N31" s="477"/>
      <c r="O31" s="551" t="s">
        <v>470</v>
      </c>
      <c r="P31" s="522" t="n">
        <f aca="false">ep_ail</f>
        <v>2</v>
      </c>
      <c r="Q31" s="172"/>
      <c r="R31" s="518"/>
      <c r="S31" s="518"/>
      <c r="T31" s="574" t="s">
        <v>471</v>
      </c>
      <c r="U31" s="532" t="n">
        <f aca="false">m_can</f>
        <v>150</v>
      </c>
    </row>
    <row r="32" customFormat="false" ht="13.5" hidden="false" customHeight="false" outlineLevel="0" collapsed="false">
      <c r="B32" s="255"/>
      <c r="C32" s="575"/>
      <c r="D32" s="576"/>
      <c r="E32" s="536"/>
      <c r="F32" s="536"/>
      <c r="G32" s="536"/>
      <c r="H32" s="577"/>
      <c r="I32" s="577"/>
      <c r="J32" s="536"/>
      <c r="K32" s="578"/>
      <c r="L32" s="576"/>
      <c r="M32" s="578"/>
      <c r="N32" s="477"/>
      <c r="O32" s="551" t="s">
        <v>472</v>
      </c>
      <c r="P32" s="579" t="n">
        <f aca="false">Q_ail</f>
        <v>4</v>
      </c>
      <c r="Q32" s="172"/>
      <c r="R32" s="518"/>
      <c r="S32" s="518"/>
      <c r="T32" s="574" t="s">
        <v>464</v>
      </c>
      <c r="U32" s="532" t="n">
        <f aca="false">n_can</f>
        <v>150</v>
      </c>
    </row>
    <row r="33" customFormat="false" ht="13.5" hidden="false" customHeight="false" outlineLevel="0" collapsed="false">
      <c r="B33" s="255"/>
      <c r="C33" s="192"/>
      <c r="D33" s="580"/>
      <c r="E33" s="581"/>
      <c r="F33" s="581"/>
      <c r="G33" s="581"/>
      <c r="H33" s="582"/>
      <c r="I33" s="582"/>
      <c r="J33" s="581"/>
      <c r="K33" s="583"/>
      <c r="L33" s="580"/>
      <c r="M33" s="583"/>
      <c r="N33" s="477"/>
      <c r="O33" s="172"/>
      <c r="Q33" s="172"/>
      <c r="R33" s="518"/>
      <c r="S33" s="518"/>
      <c r="T33" s="540" t="s">
        <v>473</v>
      </c>
      <c r="U33" s="532" t="n">
        <f aca="false">E_can</f>
        <v>45</v>
      </c>
    </row>
    <row r="34" customFormat="false" ht="13.5" hidden="false" customHeight="false" outlineLevel="0" collapsed="false">
      <c r="B34" s="482"/>
      <c r="C34" s="483"/>
      <c r="D34" s="584"/>
      <c r="E34" s="584"/>
      <c r="F34" s="584"/>
      <c r="G34" s="584"/>
      <c r="H34" s="584"/>
      <c r="I34" s="584"/>
      <c r="J34" s="584"/>
      <c r="K34" s="584"/>
      <c r="L34" s="584"/>
      <c r="M34" s="584"/>
      <c r="N34" s="484"/>
      <c r="O34" s="172"/>
      <c r="P34" s="521" t="s">
        <v>473</v>
      </c>
      <c r="Q34" s="522" t="n">
        <f aca="false">E_ail</f>
        <v>130</v>
      </c>
      <c r="T34" s="585" t="s">
        <v>470</v>
      </c>
      <c r="U34" s="532" t="n">
        <f aca="false">ep_can</f>
        <v>45</v>
      </c>
    </row>
    <row r="35" customFormat="false" ht="12.75" hidden="false" customHeight="false" outlineLevel="0" collapsed="false">
      <c r="B35" s="192"/>
      <c r="C35" s="192"/>
      <c r="D35" s="512"/>
      <c r="E35" s="512"/>
      <c r="F35" s="512"/>
      <c r="G35" s="512"/>
      <c r="H35" s="512"/>
      <c r="I35" s="512"/>
      <c r="J35" s="512"/>
      <c r="K35" s="512"/>
      <c r="L35" s="512"/>
      <c r="M35" s="512"/>
      <c r="N35" s="192"/>
      <c r="O35" s="172"/>
      <c r="P35" s="182"/>
      <c r="Q35" s="182"/>
      <c r="R35" s="192"/>
      <c r="S35" s="192"/>
      <c r="T35" s="585" t="s">
        <v>472</v>
      </c>
      <c r="U35" s="586" t="n">
        <f aca="false">Q_can</f>
        <v>4</v>
      </c>
    </row>
    <row r="36" customFormat="false" ht="13.5" hidden="false" customHeight="false" outlineLevel="0" collapsed="false">
      <c r="T36" s="172"/>
      <c r="U36" s="402"/>
    </row>
    <row r="37" customFormat="false" ht="12.75" hidden="false" customHeight="false" outlineLevel="0" collapsed="false">
      <c r="B37" s="520"/>
      <c r="C37" s="475"/>
      <c r="D37" s="475"/>
      <c r="E37" s="475"/>
      <c r="F37" s="475"/>
      <c r="G37" s="475"/>
      <c r="H37" s="475"/>
      <c r="I37" s="475"/>
      <c r="J37" s="475"/>
      <c r="K37" s="475"/>
      <c r="L37" s="475"/>
      <c r="M37" s="475"/>
      <c r="N37" s="476"/>
      <c r="T37" s="172"/>
    </row>
    <row r="38" customFormat="false" ht="12.75" hidden="false" customHeight="false" outlineLevel="0" collapsed="false">
      <c r="B38" s="255"/>
      <c r="C38" s="192"/>
      <c r="D38" s="172" t="s">
        <v>474</v>
      </c>
      <c r="E38" s="192"/>
      <c r="F38" s="192"/>
      <c r="G38" s="192"/>
      <c r="H38" s="192"/>
      <c r="I38" s="192"/>
      <c r="J38" s="192"/>
      <c r="K38" s="192"/>
      <c r="L38" s="192"/>
      <c r="M38" s="192"/>
      <c r="N38" s="477"/>
    </row>
    <row r="39" customFormat="false" ht="12.75" hidden="false" customHeight="false" outlineLevel="0" collapsed="false">
      <c r="B39" s="255"/>
      <c r="C39" s="192"/>
      <c r="D39" s="172"/>
      <c r="E39" s="192"/>
      <c r="F39" s="192"/>
      <c r="G39" s="192"/>
      <c r="H39" s="192"/>
      <c r="I39" s="192"/>
      <c r="J39" s="192"/>
      <c r="K39" s="192"/>
      <c r="L39" s="192"/>
      <c r="M39" s="192"/>
      <c r="N39" s="477"/>
    </row>
    <row r="40" customFormat="false" ht="12.75" hidden="false" customHeight="false" outlineLevel="0" collapsed="false">
      <c r="B40" s="255"/>
      <c r="C40" s="192"/>
      <c r="D40" s="527" t="s">
        <v>475</v>
      </c>
      <c r="E40" s="587" t="n">
        <f aca="false">D_ref</f>
        <v>100</v>
      </c>
      <c r="F40" s="588"/>
      <c r="G40" s="588"/>
      <c r="H40" s="395" t="s">
        <v>476</v>
      </c>
      <c r="I40" s="395" t="s">
        <v>477</v>
      </c>
      <c r="J40" s="589" t="s">
        <v>478</v>
      </c>
      <c r="K40" s="192"/>
      <c r="L40" s="192"/>
      <c r="M40" s="192"/>
      <c r="N40" s="477"/>
    </row>
    <row r="41" customFormat="false" ht="12.75" hidden="false" customHeight="false" outlineLevel="0" collapsed="false">
      <c r="B41" s="255"/>
      <c r="C41" s="192"/>
      <c r="D41" s="533" t="s">
        <v>479</v>
      </c>
      <c r="E41" s="182" t="n">
        <f aca="false">Long_ogive</f>
        <v>40</v>
      </c>
      <c r="F41" s="172"/>
      <c r="G41" s="172" t="s">
        <v>480</v>
      </c>
      <c r="H41" s="182" t="n">
        <f aca="false">MasseSans</f>
        <v>8</v>
      </c>
      <c r="I41" s="182" t="n">
        <f aca="false">MasseVide</f>
        <v>8.652</v>
      </c>
      <c r="J41" s="534" t="n">
        <f aca="false">MassePlein</f>
        <v>9.685</v>
      </c>
      <c r="K41" s="192"/>
      <c r="L41" s="192"/>
      <c r="M41" s="192"/>
      <c r="N41" s="477"/>
    </row>
    <row r="42" customFormat="false" ht="12.75" hidden="false" customHeight="false" outlineLevel="0" collapsed="false">
      <c r="B42" s="255"/>
      <c r="C42" s="192"/>
      <c r="D42" s="533" t="s">
        <v>481</v>
      </c>
      <c r="E42" s="182" t="n">
        <f aca="false">X_ail-m_ail</f>
        <v>1892</v>
      </c>
      <c r="F42" s="590"/>
      <c r="G42" s="590" t="s">
        <v>482</v>
      </c>
      <c r="H42" s="550" t="n">
        <f aca="false">XcgSans</f>
        <v>1150</v>
      </c>
      <c r="I42" s="550" t="n">
        <f aca="false">XcgVide</f>
        <v>1209.83448913546</v>
      </c>
      <c r="J42" s="591" t="n">
        <f aca="false">XcgPlein</f>
        <v>1289.88022715539</v>
      </c>
      <c r="K42" s="192"/>
      <c r="L42" s="192"/>
      <c r="M42" s="192"/>
      <c r="N42" s="477"/>
    </row>
    <row r="43" customFormat="false" ht="12.75" hidden="false" customHeight="false" outlineLevel="0" collapsed="false">
      <c r="B43" s="255"/>
      <c r="C43" s="192"/>
      <c r="D43" s="533" t="str">
        <f aca="false">IF(Lang="Français","Emplanture 'm'",IF(Lang="English","Root edge  'm'",""))</f>
        <v>Emplanture 'm'</v>
      </c>
      <c r="E43" s="534" t="n">
        <f aca="false">m_ail</f>
        <v>300</v>
      </c>
      <c r="F43" s="192"/>
      <c r="G43" s="192"/>
      <c r="H43" s="192"/>
      <c r="I43" s="192"/>
      <c r="J43" s="192"/>
      <c r="K43" s="192"/>
      <c r="L43" s="192"/>
      <c r="M43" s="192"/>
      <c r="N43" s="477"/>
    </row>
    <row r="44" customFormat="false" ht="12.75" hidden="false" customHeight="false" outlineLevel="0" collapsed="false">
      <c r="B44" s="255"/>
      <c r="C44" s="192"/>
      <c r="D44" s="533" t="str">
        <f aca="false">IF(Lang="Français","Saumon      'n'",IF(Lang="English","Tip edge    'n'",""))</f>
        <v>Saumon      'n'</v>
      </c>
      <c r="E44" s="534" t="n">
        <f aca="false">n_ail</f>
        <v>150</v>
      </c>
      <c r="F44" s="587" t="s">
        <v>483</v>
      </c>
      <c r="G44" s="587" t="s">
        <v>484</v>
      </c>
      <c r="H44" s="592" t="n">
        <f aca="false">Vsortie_de_rampe</f>
        <v>25.0361140400673</v>
      </c>
      <c r="I44" s="592"/>
      <c r="J44" s="192"/>
      <c r="K44" s="192"/>
      <c r="L44" s="192"/>
      <c r="M44" s="192"/>
      <c r="N44" s="477"/>
    </row>
    <row r="45" customFormat="false" ht="12.75" hidden="false" customHeight="false" outlineLevel="0" collapsed="false">
      <c r="B45" s="255"/>
      <c r="C45" s="192"/>
      <c r="D45" s="533" t="str">
        <f aca="false">IF(Lang="Français","Flèche        'p'",IF(Lang="English","Offset         'p'",""))</f>
        <v>Flèche        'p'</v>
      </c>
      <c r="E45" s="534" t="n">
        <f aca="false">p_ail</f>
        <v>75</v>
      </c>
      <c r="F45" s="182" t="s">
        <v>485</v>
      </c>
      <c r="G45" s="182" t="s">
        <v>486</v>
      </c>
      <c r="H45" s="593" t="n">
        <f aca="false">Finesse</f>
        <v>21.92</v>
      </c>
      <c r="I45" s="593"/>
      <c r="J45" s="192"/>
      <c r="K45" s="192"/>
      <c r="L45" s="192"/>
      <c r="M45" s="192"/>
      <c r="N45" s="477"/>
    </row>
    <row r="46" customFormat="false" ht="12.75" hidden="false" customHeight="false" outlineLevel="0" collapsed="false">
      <c r="B46" s="255"/>
      <c r="C46" s="192"/>
      <c r="D46" s="533" t="str">
        <f aca="false">IF(Lang="Français","Envergure   'E'",IF(Lang="English","Span          'E'",""))</f>
        <v>Envergure   'E'</v>
      </c>
      <c r="E46" s="534" t="n">
        <f aca="false">E_ail</f>
        <v>130</v>
      </c>
      <c r="F46" s="182" t="s">
        <v>487</v>
      </c>
      <c r="G46" s="182" t="s">
        <v>488</v>
      </c>
      <c r="H46" s="593" t="n">
        <f aca="false">Cn</f>
        <v>19.2249118748816</v>
      </c>
      <c r="I46" s="593"/>
      <c r="J46" s="192"/>
      <c r="K46" s="192"/>
      <c r="L46" s="192"/>
      <c r="M46" s="192"/>
      <c r="N46" s="477"/>
    </row>
    <row r="47" customFormat="false" ht="12.75" hidden="false" customHeight="false" outlineLevel="0" collapsed="false">
      <c r="B47" s="255"/>
      <c r="C47" s="192"/>
      <c r="D47" s="533" t="s">
        <v>429</v>
      </c>
      <c r="E47" s="534" t="n">
        <f aca="false">ep_ail</f>
        <v>2</v>
      </c>
      <c r="F47" s="182" t="s">
        <v>489</v>
      </c>
      <c r="G47" s="182" t="s">
        <v>490</v>
      </c>
      <c r="H47" s="594" t="n">
        <f aca="false">MS_min</f>
        <v>3.05542133808662</v>
      </c>
      <c r="I47" s="595" t="n">
        <f aca="false">MS_max</f>
        <v>4.08276499527281</v>
      </c>
      <c r="J47" s="192"/>
      <c r="K47" s="192"/>
      <c r="L47" s="192"/>
      <c r="M47" s="192"/>
      <c r="N47" s="477"/>
    </row>
    <row r="48" customFormat="false" ht="12.75" hidden="false" customHeight="false" outlineLevel="0" collapsed="false">
      <c r="B48" s="255"/>
      <c r="C48" s="192"/>
      <c r="D48" s="533" t="s">
        <v>431</v>
      </c>
      <c r="E48" s="534" t="n">
        <f aca="false">Q_ail</f>
        <v>4</v>
      </c>
      <c r="F48" s="596" t="s">
        <v>491</v>
      </c>
      <c r="G48" s="596" t="s">
        <v>492</v>
      </c>
      <c r="H48" s="597" t="n">
        <f aca="false">MS_Cn_min</f>
        <v>58.7402059653482</v>
      </c>
      <c r="I48" s="598" t="n">
        <f aca="false">MS_Cn_max</f>
        <v>83.5048080854817</v>
      </c>
      <c r="J48" s="192"/>
      <c r="K48" s="192"/>
      <c r="L48" s="192"/>
      <c r="M48" s="192"/>
      <c r="N48" s="477"/>
    </row>
    <row r="49" customFormat="false" ht="12.75" hidden="false" customHeight="false" outlineLevel="0" collapsed="false">
      <c r="B49" s="255"/>
      <c r="C49" s="192"/>
      <c r="D49" s="533" t="s">
        <v>437</v>
      </c>
      <c r="E49" s="534" t="n">
        <f aca="false">XpropuRef-Long_propu</f>
        <v>1704</v>
      </c>
      <c r="F49" s="192"/>
      <c r="G49" s="192"/>
      <c r="H49" s="192"/>
      <c r="I49" s="192"/>
      <c r="J49" s="192"/>
      <c r="K49" s="192"/>
      <c r="L49" s="192"/>
      <c r="M49" s="192"/>
      <c r="N49" s="477"/>
    </row>
    <row r="50" customFormat="false" ht="12.75" hidden="false" customHeight="false" outlineLevel="0" collapsed="false">
      <c r="B50" s="255"/>
      <c r="C50" s="192"/>
      <c r="D50" s="533" t="s">
        <v>420</v>
      </c>
      <c r="E50" s="538" t="str">
        <f aca="false">Forme_ogive</f>
        <v>Parabolique (arrondie)</v>
      </c>
      <c r="F50" s="599" t="s">
        <v>93</v>
      </c>
      <c r="G50" s="527" t="s">
        <v>159</v>
      </c>
      <c r="H50" s="587" t="n">
        <f aca="false">Cx</f>
        <v>0.5</v>
      </c>
      <c r="I50" s="588"/>
      <c r="J50" s="600"/>
      <c r="K50" s="192"/>
      <c r="L50" s="192"/>
      <c r="M50" s="192"/>
      <c r="N50" s="477"/>
    </row>
    <row r="51" customFormat="false" ht="12.75" hidden="false" customHeight="false" outlineLevel="0" collapsed="false">
      <c r="B51" s="255"/>
      <c r="C51" s="192"/>
      <c r="D51" s="533" t="s">
        <v>493</v>
      </c>
      <c r="E51" s="534" t="n">
        <f aca="false">Long_tot</f>
        <v>2192</v>
      </c>
      <c r="F51" s="192"/>
      <c r="G51" s="533" t="s">
        <v>494</v>
      </c>
      <c r="H51" s="182" t="n">
        <f aca="false">Sref</f>
        <v>0.00889398163397448</v>
      </c>
      <c r="I51" s="192"/>
      <c r="J51" s="601"/>
      <c r="K51" s="192"/>
      <c r="L51" s="192"/>
      <c r="M51" s="192"/>
      <c r="N51" s="477"/>
    </row>
    <row r="52" customFormat="false" ht="12.75" hidden="false" customHeight="false" outlineLevel="0" collapsed="false">
      <c r="B52" s="255"/>
      <c r="C52" s="192"/>
      <c r="D52" s="533" t="s">
        <v>495</v>
      </c>
      <c r="E52" s="534" t="n">
        <f aca="false">MAX(D_ref,D_ail,D_og,(RIGHT(Nb_diam,1)=",")*MAX(D1j,D1r,D2j,D2r))</f>
        <v>100</v>
      </c>
      <c r="F52" s="192"/>
      <c r="G52" s="533" t="s">
        <v>496</v>
      </c>
      <c r="H52" s="182" t="n">
        <f aca="false">Beta_rampe</f>
        <v>80</v>
      </c>
      <c r="I52" s="182" t="n">
        <v>80</v>
      </c>
      <c r="J52" s="534" t="n">
        <v>90</v>
      </c>
      <c r="K52" s="192"/>
      <c r="L52" s="192"/>
      <c r="M52" s="192"/>
      <c r="N52" s="477"/>
    </row>
    <row r="53" customFormat="false" ht="12.75" hidden="false" customHeight="false" outlineLevel="0" collapsed="false">
      <c r="B53" s="255"/>
      <c r="C53" s="192"/>
      <c r="D53" s="602" t="s">
        <v>497</v>
      </c>
      <c r="E53" s="603" t="n">
        <f aca="false">E_ail*2+D_ail</f>
        <v>360</v>
      </c>
      <c r="F53" s="192"/>
      <c r="G53" s="604" t="s">
        <v>498</v>
      </c>
      <c r="H53" s="536" t="n">
        <f aca="false">Temps_culmi</f>
        <v>17.2999999999999</v>
      </c>
      <c r="I53" s="605"/>
      <c r="J53" s="606"/>
      <c r="K53" s="192"/>
      <c r="L53" s="192"/>
      <c r="M53" s="192"/>
      <c r="N53" s="477"/>
    </row>
    <row r="54" customFormat="false" ht="12.75" hidden="false" customHeight="false" outlineLevel="0" collapsed="false">
      <c r="B54" s="255"/>
      <c r="C54" s="192"/>
      <c r="D54" s="192"/>
      <c r="E54" s="192"/>
      <c r="F54" s="192"/>
      <c r="G54" s="604" t="s">
        <v>499</v>
      </c>
      <c r="H54" s="607" t="n">
        <f aca="false">Altitude_culmi</f>
        <v>1422.92722994048</v>
      </c>
      <c r="I54" s="605"/>
      <c r="J54" s="606"/>
      <c r="K54" s="192"/>
      <c r="L54" s="192"/>
      <c r="M54" s="192"/>
      <c r="N54" s="477"/>
    </row>
    <row r="55" customFormat="false" ht="12.75" hidden="false" customHeight="false" outlineLevel="0" collapsed="false">
      <c r="B55" s="255"/>
      <c r="C55" s="527" t="s">
        <v>500</v>
      </c>
      <c r="D55" s="608" t="s">
        <v>219</v>
      </c>
      <c r="E55" s="528" t="n">
        <f aca="false">Long_tot</f>
        <v>2192</v>
      </c>
      <c r="F55" s="192"/>
      <c r="G55" s="604" t="s">
        <v>501</v>
      </c>
      <c r="H55" s="578" t="n">
        <f aca="false">Vit_culmi</f>
        <v>29.7850604961553</v>
      </c>
      <c r="I55" s="605"/>
      <c r="J55" s="606"/>
      <c r="K55" s="192"/>
      <c r="L55" s="192"/>
      <c r="M55" s="192"/>
      <c r="N55" s="477"/>
    </row>
    <row r="56" customFormat="false" ht="12.75" hidden="false" customHeight="false" outlineLevel="0" collapsed="false">
      <c r="B56" s="255"/>
      <c r="C56" s="533"/>
      <c r="D56" s="172" t="s">
        <v>502</v>
      </c>
      <c r="E56" s="534" t="n">
        <f aca="false">MAX(D_ref,D_ail,D_og,(RIGHT(Nb_diam,1)=",")*MAX(D1j,D1r,D2j,D2r))</f>
        <v>100</v>
      </c>
      <c r="F56" s="192"/>
      <c r="G56" s="604" t="s">
        <v>459</v>
      </c>
      <c r="H56" s="576" t="n">
        <f aca="false">Portee_balistique</f>
        <v>1017.12580762709</v>
      </c>
      <c r="I56" s="605"/>
      <c r="J56" s="606"/>
      <c r="K56" s="192"/>
      <c r="L56" s="192"/>
      <c r="M56" s="192"/>
      <c r="N56" s="477"/>
    </row>
    <row r="57" customFormat="false" ht="12.75" hidden="false" customHeight="false" outlineLevel="0" collapsed="false">
      <c r="B57" s="255"/>
      <c r="C57" s="533"/>
      <c r="D57" s="172" t="s">
        <v>503</v>
      </c>
      <c r="E57" s="534" t="n">
        <f aca="false">E_ail*2+D_ail</f>
        <v>360</v>
      </c>
      <c r="F57" s="192"/>
      <c r="G57" s="604" t="s">
        <v>504</v>
      </c>
      <c r="H57" s="576" t="n">
        <f aca="false">T_balistique</f>
        <v>35.7000000000002</v>
      </c>
      <c r="I57" s="605"/>
      <c r="J57" s="606"/>
      <c r="K57" s="192"/>
      <c r="L57" s="192"/>
      <c r="M57" s="192"/>
      <c r="N57" s="477"/>
    </row>
    <row r="58" customFormat="false" ht="12.75" hidden="false" customHeight="false" outlineLevel="0" collapsed="false">
      <c r="B58" s="255"/>
      <c r="C58" s="533"/>
      <c r="D58" s="172" t="s">
        <v>505</v>
      </c>
      <c r="E58" s="534" t="n">
        <f aca="false">MassePlein</f>
        <v>9.685</v>
      </c>
      <c r="F58" s="192"/>
      <c r="G58" s="604" t="s">
        <v>463</v>
      </c>
      <c r="H58" s="578" t="n">
        <f aca="false">Vit_max</f>
        <v>176.528323408766</v>
      </c>
      <c r="I58" s="605"/>
      <c r="J58" s="606"/>
      <c r="K58" s="192"/>
      <c r="L58" s="192"/>
      <c r="M58" s="192"/>
      <c r="N58" s="477"/>
    </row>
    <row r="59" customFormat="false" ht="12.75" hidden="false" customHeight="false" outlineLevel="0" collapsed="false">
      <c r="B59" s="255"/>
      <c r="C59" s="602" t="s">
        <v>506</v>
      </c>
      <c r="D59" s="590" t="s">
        <v>431</v>
      </c>
      <c r="E59" s="603" t="n">
        <f aca="false">Q_ail</f>
        <v>4</v>
      </c>
      <c r="F59" s="192"/>
      <c r="G59" s="604" t="s">
        <v>462</v>
      </c>
      <c r="H59" s="576" t="n">
        <f aca="false">Acc_max</f>
        <v>82.5828910827605</v>
      </c>
      <c r="I59" s="605"/>
      <c r="J59" s="606"/>
      <c r="K59" s="192"/>
      <c r="L59" s="192"/>
      <c r="M59" s="192"/>
      <c r="N59" s="477"/>
    </row>
    <row r="60" customFormat="false" ht="12" hidden="false" customHeight="false" outlineLevel="0" collapsed="false">
      <c r="B60" s="255"/>
      <c r="C60" s="609"/>
      <c r="D60" s="192"/>
      <c r="E60" s="192"/>
      <c r="F60" s="192"/>
      <c r="G60" s="544" t="s">
        <v>507</v>
      </c>
      <c r="H60" s="610"/>
      <c r="I60" s="610"/>
      <c r="J60" s="545"/>
      <c r="K60" s="192"/>
      <c r="L60" s="192"/>
      <c r="M60" s="192"/>
      <c r="N60" s="477"/>
    </row>
    <row r="61" customFormat="false" ht="12.75" hidden="false" customHeight="false" outlineLevel="0" collapsed="false">
      <c r="B61" s="255"/>
      <c r="C61" s="527"/>
      <c r="D61" s="608"/>
      <c r="E61" s="587" t="s">
        <v>330</v>
      </c>
      <c r="F61" s="528" t="s">
        <v>332</v>
      </c>
      <c r="G61" s="508"/>
      <c r="H61" s="508"/>
      <c r="I61" s="508"/>
      <c r="J61" s="508"/>
      <c r="K61" s="172"/>
      <c r="L61" s="192"/>
      <c r="M61" s="192"/>
      <c r="N61" s="477"/>
    </row>
    <row r="62" customFormat="false" ht="12.75" hidden="false" customHeight="false" outlineLevel="0" collapsed="false">
      <c r="B62" s="255"/>
      <c r="C62" s="533" t="s">
        <v>508</v>
      </c>
      <c r="D62" s="611" t="s">
        <v>509</v>
      </c>
      <c r="E62" s="607" t="n">
        <f aca="false">2*Acc_max*MassePlein</f>
        <v>1599.63060027307</v>
      </c>
      <c r="F62" s="612" t="n">
        <f aca="false">E62/9.81</f>
        <v>163.061223269426</v>
      </c>
      <c r="H62" s="508"/>
      <c r="I62" s="508"/>
      <c r="J62" s="508"/>
      <c r="K62" s="172"/>
      <c r="L62" s="192"/>
      <c r="M62" s="192"/>
      <c r="N62" s="477"/>
    </row>
    <row r="63" customFormat="false" ht="12.75" hidden="false" customHeight="false" outlineLevel="0" collapsed="false">
      <c r="B63" s="255"/>
      <c r="C63" s="533"/>
      <c r="D63" s="172" t="s">
        <v>510</v>
      </c>
      <c r="E63" s="607" t="n">
        <f aca="false">2*Acc_max*Masse_ail</f>
        <v>19.324396513366</v>
      </c>
      <c r="F63" s="613" t="n">
        <f aca="false">E63/9.81</f>
        <v>1.96986712674475</v>
      </c>
      <c r="G63" s="587" t="s">
        <v>511</v>
      </c>
      <c r="H63" s="614" t="n">
        <f aca="false">S_ail*(ep_ail/1000)*2000</f>
        <v>0.117</v>
      </c>
      <c r="I63" s="508"/>
      <c r="J63" s="508"/>
      <c r="K63" s="172"/>
      <c r="L63" s="192"/>
      <c r="M63" s="192"/>
      <c r="N63" s="477"/>
    </row>
    <row r="64" customFormat="false" ht="12.75" hidden="false" customHeight="false" outlineLevel="0" collapsed="false">
      <c r="B64" s="255"/>
      <c r="C64" s="602"/>
      <c r="D64" s="590" t="s">
        <v>512</v>
      </c>
      <c r="E64" s="550" t="n">
        <f aca="false">0.104*S_ail*Vit_max^2</f>
        <v>94.7955613530809</v>
      </c>
      <c r="F64" s="615" t="n">
        <f aca="false">E64/9.81</f>
        <v>9.66315610123149</v>
      </c>
      <c r="G64" s="596" t="s">
        <v>513</v>
      </c>
      <c r="H64" s="616" t="n">
        <f aca="false">(E_ail*(m_ail+n_ail)/2)/10^6</f>
        <v>0.02925</v>
      </c>
      <c r="I64" s="508"/>
      <c r="J64" s="508"/>
      <c r="K64" s="508"/>
      <c r="L64" s="192"/>
      <c r="M64" s="192"/>
      <c r="N64" s="477"/>
    </row>
    <row r="65" customFormat="false" ht="12.75" hidden="false" customHeight="false" outlineLevel="0" collapsed="false">
      <c r="B65" s="255"/>
      <c r="C65" s="617" t="s">
        <v>514</v>
      </c>
      <c r="D65" s="618" t="s">
        <v>515</v>
      </c>
      <c r="E65" s="619" t="n">
        <f aca="false">2*Acc_max*H65</f>
        <v>799.815300136535</v>
      </c>
      <c r="F65" s="619" t="n">
        <f aca="false">E65/9.81</f>
        <v>81.5306116347131</v>
      </c>
      <c r="G65" s="620" t="s">
        <v>516</v>
      </c>
      <c r="H65" s="621" t="n">
        <f aca="false">E58/2</f>
        <v>4.8425</v>
      </c>
      <c r="I65" s="508"/>
      <c r="J65" s="508"/>
      <c r="K65" s="508"/>
      <c r="L65" s="192"/>
      <c r="M65" s="192"/>
      <c r="N65" s="477"/>
    </row>
    <row r="66" customFormat="false" ht="12.75" hidden="false" customHeight="false" outlineLevel="0" collapsed="false">
      <c r="B66" s="255"/>
      <c r="C66" s="622"/>
      <c r="D66" s="508"/>
      <c r="E66" s="508"/>
      <c r="F66" s="508"/>
      <c r="G66" s="508"/>
      <c r="H66" s="508"/>
      <c r="I66" s="508"/>
      <c r="J66" s="508"/>
      <c r="K66" s="508"/>
      <c r="L66" s="192"/>
      <c r="M66" s="192"/>
      <c r="N66" s="477"/>
    </row>
    <row r="67" customFormat="false" ht="12.75" hidden="false" customHeight="false" outlineLevel="0" collapsed="false">
      <c r="B67" s="255"/>
      <c r="F67" s="527" t="s">
        <v>517</v>
      </c>
      <c r="G67" s="608" t="s">
        <v>518</v>
      </c>
      <c r="H67" s="623" t="n">
        <f aca="false">T_para</f>
        <v>16</v>
      </c>
      <c r="I67" s="592" t="n">
        <f aca="false">Temps_culmi</f>
        <v>17.2999999999999</v>
      </c>
      <c r="J67" s="508"/>
      <c r="K67" s="508"/>
      <c r="L67" s="192"/>
      <c r="M67" s="192"/>
      <c r="N67" s="477"/>
    </row>
    <row r="68" customFormat="false" ht="12.75" hidden="false" customHeight="false" outlineLevel="0" collapsed="false">
      <c r="B68" s="255"/>
      <c r="C68" s="622"/>
      <c r="D68" s="508"/>
      <c r="E68" s="508"/>
      <c r="F68" s="527" t="s">
        <v>519</v>
      </c>
      <c r="G68" s="608" t="s">
        <v>433</v>
      </c>
      <c r="H68" s="623" t="n">
        <f aca="false">V_para</f>
        <v>8.32385899516736</v>
      </c>
      <c r="I68" s="592" t="n">
        <f aca="false">V_satellite</f>
        <v>12.6555626230572</v>
      </c>
      <c r="J68" s="508"/>
      <c r="K68" s="508"/>
      <c r="L68" s="192"/>
      <c r="M68" s="192"/>
      <c r="N68" s="477"/>
    </row>
    <row r="69" customFormat="false" ht="12.75" hidden="false" customHeight="false" outlineLevel="0" collapsed="false">
      <c r="B69" s="255"/>
      <c r="C69" s="622"/>
      <c r="D69" s="508"/>
      <c r="E69" s="508"/>
      <c r="F69" s="533"/>
      <c r="G69" s="172" t="s">
        <v>520</v>
      </c>
      <c r="H69" s="594" t="n">
        <f aca="false">S_para</f>
        <v>2</v>
      </c>
      <c r="I69" s="593" t="n">
        <f aca="false">S_satellite</f>
        <v>0.1</v>
      </c>
      <c r="J69" s="508"/>
      <c r="K69" s="508"/>
      <c r="L69" s="192"/>
      <c r="M69" s="192"/>
      <c r="N69" s="477"/>
    </row>
    <row r="70" customFormat="false" ht="12.75" hidden="false" customHeight="false" outlineLevel="0" collapsed="false">
      <c r="B70" s="255"/>
      <c r="C70" s="624"/>
      <c r="D70" s="172"/>
      <c r="E70" s="192"/>
      <c r="F70" s="533"/>
      <c r="G70" s="172" t="s">
        <v>521</v>
      </c>
      <c r="H70" s="594" t="n">
        <f aca="false">V_ouverture</f>
        <v>32.8119898389656</v>
      </c>
      <c r="I70" s="593" t="n">
        <f aca="false">V_ouv_sat</f>
        <v>175.233862532624</v>
      </c>
      <c r="L70" s="192"/>
      <c r="M70" s="192"/>
      <c r="N70" s="477"/>
    </row>
    <row r="71" customFormat="false" ht="12.75" hidden="false" customHeight="false" outlineLevel="0" collapsed="false">
      <c r="B71" s="255"/>
      <c r="C71" s="625"/>
      <c r="E71" s="192"/>
      <c r="F71" s="533"/>
      <c r="G71" s="172" t="s">
        <v>480</v>
      </c>
      <c r="H71" s="594" t="n">
        <f aca="false">m_vide</f>
        <v>8.652</v>
      </c>
      <c r="I71" s="593" t="n">
        <f aca="false">m_satellite</f>
        <v>1</v>
      </c>
      <c r="J71" s="192"/>
      <c r="K71" s="192"/>
      <c r="L71" s="192"/>
      <c r="M71" s="192"/>
      <c r="N71" s="477"/>
    </row>
    <row r="72" customFormat="false" ht="12.75" hidden="false" customHeight="false" outlineLevel="0" collapsed="false">
      <c r="B72" s="255"/>
      <c r="C72" s="625"/>
      <c r="E72" s="192"/>
      <c r="F72" s="533"/>
      <c r="G72" s="172" t="s">
        <v>522</v>
      </c>
      <c r="H72" s="626" t="n">
        <f aca="false">1/2*Rho_moyen*S_para*V_ouverture^2</f>
        <v>1318.86767956067</v>
      </c>
      <c r="I72" s="627" t="n">
        <f aca="false">1/2*Rho_moyen*S_satellite*V_ouv_sat^2</f>
        <v>1880.79802790878</v>
      </c>
      <c r="J72" s="192"/>
      <c r="K72" s="192"/>
      <c r="L72" s="192"/>
      <c r="M72" s="192"/>
      <c r="N72" s="477"/>
    </row>
    <row r="73" customFormat="false" ht="12.75" hidden="false" customHeight="false" outlineLevel="0" collapsed="false">
      <c r="B73" s="255"/>
      <c r="C73" s="192"/>
      <c r="D73" s="172"/>
      <c r="E73" s="192"/>
      <c r="F73" s="602"/>
      <c r="G73" s="590" t="s">
        <v>523</v>
      </c>
      <c r="H73" s="597" t="n">
        <f aca="false">H72/9.81</f>
        <v>134.441149802311</v>
      </c>
      <c r="I73" s="628" t="n">
        <f aca="false">I72/9.81</f>
        <v>191.722530877551</v>
      </c>
      <c r="J73" s="192"/>
      <c r="K73" s="192"/>
      <c r="L73" s="192"/>
      <c r="M73" s="192"/>
      <c r="N73" s="477"/>
    </row>
    <row r="74" customFormat="false" ht="12.75" hidden="false" customHeight="false" outlineLevel="0" collapsed="false">
      <c r="B74" s="482"/>
      <c r="C74" s="483"/>
      <c r="D74" s="483"/>
      <c r="E74" s="483"/>
      <c r="F74" s="483"/>
      <c r="G74" s="483"/>
      <c r="H74" s="483"/>
      <c r="I74" s="483"/>
      <c r="J74" s="483"/>
      <c r="K74" s="483"/>
      <c r="L74" s="483"/>
      <c r="M74" s="483"/>
      <c r="N74" s="484"/>
    </row>
    <row r="76" customFormat="false" ht="12.75" hidden="false" customHeight="false" outlineLevel="0" collapsed="false"/>
    <row r="77" customFormat="false" ht="12" hidden="false" customHeight="false" outlineLevel="0" collapsed="false">
      <c r="B77" s="520"/>
      <c r="C77" s="475"/>
      <c r="D77" s="475"/>
      <c r="E77" s="475"/>
      <c r="F77" s="475"/>
      <c r="G77" s="475"/>
      <c r="H77" s="475"/>
      <c r="I77" s="475"/>
      <c r="J77" s="475"/>
      <c r="K77" s="475"/>
      <c r="L77" s="475"/>
      <c r="M77" s="475"/>
      <c r="N77" s="476"/>
    </row>
    <row r="78" customFormat="false" ht="12.75" hidden="false" customHeight="false" outlineLevel="0" collapsed="false">
      <c r="B78" s="255"/>
      <c r="C78" s="192"/>
      <c r="D78" s="172" t="s">
        <v>524</v>
      </c>
      <c r="E78" s="192"/>
      <c r="F78" s="192"/>
      <c r="G78" s="192"/>
      <c r="H78" s="192"/>
      <c r="I78" s="192"/>
      <c r="J78" s="192"/>
      <c r="K78" s="192"/>
      <c r="L78" s="192"/>
      <c r="M78" s="192"/>
      <c r="N78" s="477"/>
    </row>
    <row r="79" customFormat="false" ht="12.75" hidden="false" customHeight="true" outlineLevel="0" collapsed="false">
      <c r="B79" s="255"/>
      <c r="C79" s="192"/>
      <c r="D79" s="192"/>
      <c r="E79" s="518"/>
      <c r="F79" s="519"/>
      <c r="G79" s="629" t="s">
        <v>525</v>
      </c>
      <c r="H79" s="192"/>
      <c r="I79" s="630"/>
      <c r="J79" s="518"/>
      <c r="K79" s="518"/>
      <c r="L79" s="192"/>
      <c r="M79" s="192"/>
      <c r="N79" s="477"/>
    </row>
    <row r="80" customFormat="false" ht="12.75" hidden="false" customHeight="false" outlineLevel="0" collapsed="false">
      <c r="B80" s="255"/>
      <c r="C80" s="527" t="s">
        <v>526</v>
      </c>
      <c r="D80" s="528" t="str">
        <f aca="false">Nom</f>
        <v>Ma fusée</v>
      </c>
      <c r="E80" s="518"/>
      <c r="F80" s="519"/>
      <c r="G80" s="518"/>
      <c r="H80" s="518"/>
      <c r="I80" s="518"/>
      <c r="J80" s="518"/>
      <c r="K80" s="518"/>
      <c r="L80" s="192"/>
      <c r="M80" s="192"/>
      <c r="N80" s="477"/>
    </row>
    <row r="81" customFormat="false" ht="13.5" hidden="false" customHeight="false" outlineLevel="0" collapsed="false">
      <c r="B81" s="255"/>
      <c r="C81" s="533" t="s">
        <v>6</v>
      </c>
      <c r="D81" s="534" t="str">
        <f aca="false">Club</f>
        <v>Mon club</v>
      </c>
      <c r="E81" s="518"/>
      <c r="F81" s="519"/>
      <c r="G81" s="518"/>
      <c r="H81" s="518"/>
      <c r="I81" s="518"/>
      <c r="J81" s="518"/>
      <c r="K81" s="518"/>
      <c r="L81" s="192"/>
      <c r="M81" s="192"/>
      <c r="N81" s="477"/>
    </row>
    <row r="82" customFormat="false" ht="13.5" hidden="false" customHeight="false" outlineLevel="0" collapsed="false">
      <c r="B82" s="255"/>
      <c r="C82" s="631" t="s">
        <v>527</v>
      </c>
      <c r="D82" s="534" t="s">
        <v>11</v>
      </c>
      <c r="E82" s="521" t="s">
        <v>411</v>
      </c>
      <c r="F82" s="522" t="n">
        <f aca="false">Long_ogive</f>
        <v>40</v>
      </c>
      <c r="G82" s="518"/>
      <c r="H82" s="518"/>
      <c r="I82" s="518"/>
      <c r="J82" s="518"/>
      <c r="K82" s="518"/>
      <c r="L82" s="192"/>
      <c r="M82" s="192"/>
      <c r="N82" s="477"/>
    </row>
    <row r="83" customFormat="false" ht="12.75" hidden="false" customHeight="false" outlineLevel="0" collapsed="false">
      <c r="B83" s="255"/>
      <c r="C83" s="602" t="s">
        <v>528</v>
      </c>
      <c r="D83" s="632" t="n">
        <f aca="true">TODAY()</f>
        <v>45115</v>
      </c>
      <c r="E83" s="518"/>
      <c r="F83" s="402"/>
      <c r="G83" s="518"/>
      <c r="H83" s="518"/>
      <c r="I83" s="518"/>
      <c r="J83" s="518"/>
      <c r="K83" s="518"/>
      <c r="L83" s="192"/>
      <c r="M83" s="192"/>
      <c r="N83" s="477"/>
    </row>
    <row r="84" customFormat="false" ht="12.75" hidden="false" customHeight="false" outlineLevel="0" collapsed="false">
      <c r="B84" s="255"/>
      <c r="C84" s="192"/>
      <c r="D84" s="192"/>
      <c r="E84" s="518"/>
      <c r="F84" s="402"/>
      <c r="G84" s="518"/>
      <c r="H84" s="518"/>
      <c r="I84" s="518"/>
      <c r="J84" s="532" t="n">
        <f aca="false">IF(RIGHT(Nb_diam,1)=",", "", X_j)</f>
        <v>40</v>
      </c>
      <c r="K84" s="518"/>
      <c r="L84" s="192"/>
      <c r="M84" s="192"/>
      <c r="N84" s="477"/>
    </row>
    <row r="85" customFormat="false" ht="13.5" hidden="false" customHeight="false" outlineLevel="0" collapsed="false">
      <c r="B85" s="255"/>
      <c r="C85" s="527" t="s">
        <v>529</v>
      </c>
      <c r="D85" s="528" t="str">
        <f aca="false">Propu</f>
        <v>Barasinga (Pro54-5G C)</v>
      </c>
      <c r="E85" s="521" t="s">
        <v>425</v>
      </c>
      <c r="F85" s="522" t="n">
        <f aca="false">D_og</f>
        <v>80</v>
      </c>
      <c r="G85" s="518"/>
      <c r="H85" s="518"/>
      <c r="I85" s="518"/>
      <c r="J85" s="402"/>
      <c r="K85" s="518"/>
      <c r="L85" s="192"/>
      <c r="M85" s="192"/>
      <c r="N85" s="477"/>
    </row>
    <row r="86" customFormat="false" ht="12.75" hidden="false" customHeight="false" outlineLevel="0" collapsed="false">
      <c r="B86" s="255"/>
      <c r="C86" s="602" t="s">
        <v>530</v>
      </c>
      <c r="D86" s="603" t="s">
        <v>11</v>
      </c>
      <c r="E86" s="518"/>
      <c r="F86" s="402"/>
      <c r="G86" s="518"/>
      <c r="H86" s="518"/>
      <c r="I86" s="518"/>
      <c r="J86" s="532" t="n">
        <f aca="false">IF(RIGHT(Nb_diam,1)=",", "", X_r)</f>
        <v>2152</v>
      </c>
      <c r="K86" s="518"/>
      <c r="L86" s="192"/>
      <c r="M86" s="192"/>
      <c r="N86" s="477"/>
    </row>
    <row r="87" customFormat="false" ht="12" hidden="false" customHeight="false" outlineLevel="0" collapsed="false">
      <c r="B87" s="255"/>
      <c r="C87" s="192"/>
      <c r="D87" s="192"/>
      <c r="E87" s="518"/>
      <c r="F87" s="402"/>
      <c r="G87" s="518"/>
      <c r="H87" s="518"/>
      <c r="I87" s="518"/>
      <c r="J87" s="402"/>
      <c r="K87" s="518"/>
      <c r="L87" s="192"/>
      <c r="M87" s="192"/>
      <c r="N87" s="477"/>
    </row>
    <row r="88" customFormat="false" ht="12" hidden="false" customHeight="false" outlineLevel="0" collapsed="false">
      <c r="B88" s="255"/>
      <c r="C88" s="192"/>
      <c r="D88" s="192"/>
      <c r="E88" s="518"/>
      <c r="F88" s="402"/>
      <c r="G88" s="518"/>
      <c r="H88" s="518"/>
      <c r="I88" s="518"/>
      <c r="J88" s="532" t="n">
        <f aca="false">IF(RIGHT(Nb_diam,1)=",", "", l_j)</f>
        <v>150</v>
      </c>
      <c r="K88" s="518"/>
      <c r="L88" s="192"/>
      <c r="M88" s="192"/>
      <c r="N88" s="477"/>
    </row>
    <row r="89" customFormat="false" ht="12.75" hidden="false" customHeight="false" outlineLevel="0" collapsed="false">
      <c r="B89" s="255"/>
      <c r="C89" s="192"/>
      <c r="D89" s="192"/>
      <c r="E89" s="518"/>
      <c r="F89" s="402"/>
      <c r="G89" s="518"/>
      <c r="H89" s="518"/>
      <c r="I89" s="518"/>
      <c r="J89" s="402"/>
      <c r="K89" s="518"/>
      <c r="L89" s="192"/>
      <c r="M89" s="192"/>
      <c r="N89" s="477"/>
    </row>
    <row r="90" customFormat="false" ht="13.5" hidden="false" customHeight="false" outlineLevel="0" collapsed="false">
      <c r="B90" s="255"/>
      <c r="C90" s="192"/>
      <c r="D90" s="192"/>
      <c r="E90" s="540" t="s">
        <v>436</v>
      </c>
      <c r="F90" s="532" t="n">
        <f aca="false">IF(RIGHT(Nb_diam,1)=",", "", D2j)</f>
        <v>100</v>
      </c>
      <c r="G90" s="518"/>
      <c r="H90" s="518"/>
      <c r="I90" s="518"/>
      <c r="J90" s="522" t="n">
        <f aca="false">X_ail-m_ail</f>
        <v>1892</v>
      </c>
      <c r="K90" s="633"/>
      <c r="L90" s="192"/>
      <c r="M90" s="192"/>
      <c r="N90" s="477"/>
    </row>
    <row r="91" customFormat="false" ht="12" hidden="false" customHeight="false" outlineLevel="0" collapsed="false">
      <c r="B91" s="255"/>
      <c r="C91" s="192"/>
      <c r="D91" s="192"/>
      <c r="E91" s="518"/>
      <c r="F91" s="402"/>
      <c r="G91" s="518"/>
      <c r="H91" s="518"/>
      <c r="I91" s="518"/>
      <c r="J91" s="402"/>
      <c r="K91" s="518"/>
      <c r="L91" s="192"/>
      <c r="M91" s="192"/>
      <c r="N91" s="477"/>
    </row>
    <row r="92" customFormat="false" ht="12" hidden="false" customHeight="false" outlineLevel="0" collapsed="false">
      <c r="B92" s="255"/>
      <c r="C92" s="192"/>
      <c r="D92" s="192"/>
      <c r="E92" s="518"/>
      <c r="F92" s="402"/>
      <c r="G92" s="518"/>
      <c r="H92" s="518"/>
      <c r="I92" s="518"/>
      <c r="J92" s="532" t="n">
        <f aca="false">IF(RIGHT(Nb_diam,1)=",", "", l_r)</f>
        <v>0</v>
      </c>
      <c r="K92" s="518"/>
      <c r="L92" s="192"/>
      <c r="M92" s="192"/>
      <c r="N92" s="477"/>
    </row>
    <row r="93" customFormat="false" ht="12" hidden="false" customHeight="false" outlineLevel="0" collapsed="false">
      <c r="B93" s="255"/>
      <c r="C93" s="192"/>
      <c r="D93" s="192"/>
      <c r="E93" s="518"/>
      <c r="F93" s="402"/>
      <c r="G93" s="518"/>
      <c r="H93" s="518"/>
      <c r="I93" s="518"/>
      <c r="J93" s="402"/>
      <c r="K93" s="518"/>
      <c r="L93" s="192"/>
      <c r="M93" s="192"/>
      <c r="N93" s="477"/>
    </row>
    <row r="94" customFormat="false" ht="12" hidden="false" customHeight="false" outlineLevel="0" collapsed="false">
      <c r="B94" s="255"/>
      <c r="C94" s="192"/>
      <c r="D94" s="192"/>
      <c r="E94" s="540" t="s">
        <v>531</v>
      </c>
      <c r="F94" s="532" t="n">
        <f aca="false">IF(RIGHT(Nb_diam,1)=",", "", D2r)</f>
        <v>100</v>
      </c>
      <c r="G94" s="518"/>
      <c r="H94" s="518"/>
      <c r="I94" s="518"/>
      <c r="J94" s="402"/>
      <c r="K94" s="518"/>
      <c r="L94" s="192"/>
      <c r="M94" s="192"/>
      <c r="N94" s="477"/>
    </row>
    <row r="95" customFormat="false" ht="12" hidden="false" customHeight="false" outlineLevel="0" collapsed="false">
      <c r="B95" s="255"/>
      <c r="C95" s="192"/>
      <c r="D95" s="192"/>
      <c r="E95" s="518"/>
      <c r="F95" s="402"/>
      <c r="G95" s="518"/>
      <c r="H95" s="518"/>
      <c r="I95" s="518"/>
      <c r="J95" s="402"/>
      <c r="K95" s="518"/>
      <c r="L95" s="192"/>
      <c r="M95" s="192"/>
      <c r="N95" s="477"/>
    </row>
    <row r="96" customFormat="false" ht="12.75" hidden="false" customHeight="false" outlineLevel="0" collapsed="false">
      <c r="B96" s="255"/>
      <c r="C96" s="192"/>
      <c r="D96" s="192"/>
      <c r="E96" s="518"/>
      <c r="F96" s="402"/>
      <c r="G96" s="518"/>
      <c r="H96" s="518"/>
      <c r="I96" s="518"/>
      <c r="J96" s="402"/>
      <c r="K96" s="518"/>
      <c r="L96" s="192"/>
      <c r="M96" s="192"/>
      <c r="N96" s="477"/>
    </row>
    <row r="97" customFormat="false" ht="13.5" hidden="false" customHeight="false" outlineLevel="0" collapsed="false">
      <c r="B97" s="255"/>
      <c r="C97" s="192"/>
      <c r="D97" s="192"/>
      <c r="E97" s="521" t="s">
        <v>471</v>
      </c>
      <c r="F97" s="522" t="n">
        <f aca="false">m_ail</f>
        <v>300</v>
      </c>
      <c r="G97" s="518"/>
      <c r="H97" s="518"/>
      <c r="I97" s="518"/>
      <c r="J97" s="522" t="n">
        <f aca="false">p_ail</f>
        <v>75</v>
      </c>
      <c r="K97" s="633"/>
      <c r="L97" s="192"/>
      <c r="M97" s="192"/>
      <c r="N97" s="477"/>
    </row>
    <row r="98" customFormat="false" ht="12" hidden="false" customHeight="false" outlineLevel="0" collapsed="false">
      <c r="B98" s="255"/>
      <c r="C98" s="192"/>
      <c r="D98" s="192"/>
      <c r="E98" s="518"/>
      <c r="F98" s="519"/>
      <c r="G98" s="518"/>
      <c r="H98" s="518"/>
      <c r="I98" s="518"/>
      <c r="J98" s="402"/>
      <c r="K98" s="518"/>
      <c r="L98" s="192"/>
      <c r="M98" s="192"/>
      <c r="N98" s="477"/>
    </row>
    <row r="99" customFormat="false" ht="12" hidden="false" customHeight="false" outlineLevel="0" collapsed="false">
      <c r="B99" s="255"/>
      <c r="C99" s="192"/>
      <c r="D99" s="192"/>
      <c r="E99" s="518"/>
      <c r="F99" s="519"/>
      <c r="G99" s="518"/>
      <c r="H99" s="518"/>
      <c r="I99" s="518"/>
      <c r="J99" s="402"/>
      <c r="K99" s="518"/>
      <c r="L99" s="192"/>
      <c r="M99" s="192"/>
      <c r="N99" s="477"/>
    </row>
    <row r="100" customFormat="false" ht="13.5" hidden="false" customHeight="false" outlineLevel="0" collapsed="false">
      <c r="B100" s="255"/>
      <c r="C100" s="192"/>
      <c r="D100" s="634" t="s">
        <v>532</v>
      </c>
      <c r="E100" s="587" t="n">
        <f aca="false">Q_ail</f>
        <v>4</v>
      </c>
      <c r="F100" s="635"/>
      <c r="G100" s="518"/>
      <c r="H100" s="518"/>
      <c r="I100" s="518"/>
      <c r="J100" s="402"/>
      <c r="K100" s="518"/>
      <c r="L100" s="192"/>
      <c r="M100" s="192"/>
      <c r="N100" s="477"/>
    </row>
    <row r="101" customFormat="false" ht="13.5" hidden="false" customHeight="false" outlineLevel="0" collapsed="false">
      <c r="B101" s="255"/>
      <c r="C101" s="192"/>
      <c r="D101" s="636" t="s">
        <v>533</v>
      </c>
      <c r="E101" s="182" t="n">
        <f aca="false">XpropuRef-Long_propu</f>
        <v>1704</v>
      </c>
      <c r="F101" s="637"/>
      <c r="G101" s="518"/>
      <c r="H101" s="518"/>
      <c r="I101" s="518"/>
      <c r="J101" s="522" t="n">
        <f aca="false">n_ail</f>
        <v>150</v>
      </c>
      <c r="K101" s="633"/>
      <c r="L101" s="192"/>
      <c r="M101" s="192"/>
      <c r="N101" s="477"/>
    </row>
    <row r="102" customFormat="false" ht="12.75" hidden="false" customHeight="false" outlineLevel="0" collapsed="false">
      <c r="B102" s="255"/>
      <c r="C102" s="192"/>
      <c r="D102" s="636" t="s">
        <v>534</v>
      </c>
      <c r="E102" s="182" t="n">
        <f aca="false">IF(LEFT(Forme_ogive,4)="Ogiv",1,0)</f>
        <v>0</v>
      </c>
      <c r="F102" s="637" t="s">
        <v>535</v>
      </c>
      <c r="G102" s="518"/>
      <c r="H102" s="518"/>
      <c r="I102" s="518"/>
      <c r="J102" s="402"/>
      <c r="K102" s="518"/>
      <c r="L102" s="192"/>
      <c r="M102" s="192"/>
      <c r="N102" s="477"/>
    </row>
    <row r="103" customFormat="false" ht="12.75" hidden="false" customHeight="false" outlineLevel="0" collapsed="false">
      <c r="B103" s="255"/>
      <c r="C103" s="192"/>
      <c r="D103" s="636"/>
      <c r="E103" s="182" t="n">
        <f aca="false">IF(LEFT(Forme_ogive,3)="Con",1,0)</f>
        <v>0</v>
      </c>
      <c r="F103" s="637" t="s">
        <v>70</v>
      </c>
      <c r="G103" s="518"/>
      <c r="H103" s="518"/>
      <c r="I103" s="518"/>
      <c r="J103" s="402"/>
      <c r="K103" s="518"/>
      <c r="L103" s="192"/>
      <c r="M103" s="192"/>
      <c r="N103" s="477"/>
    </row>
    <row r="104" customFormat="false" ht="13.5" hidden="false" customHeight="false" outlineLevel="0" collapsed="false">
      <c r="B104" s="255"/>
      <c r="C104" s="192"/>
      <c r="D104" s="638"/>
      <c r="E104" s="596" t="n">
        <f aca="false">IF(LEFT(Forme_ogive,5)="Parab",1,0)</f>
        <v>1</v>
      </c>
      <c r="F104" s="616" t="s">
        <v>536</v>
      </c>
      <c r="G104" s="518"/>
      <c r="H104" s="518"/>
      <c r="I104" s="518"/>
      <c r="J104" s="402" t="s">
        <v>537</v>
      </c>
      <c r="K104" s="518"/>
      <c r="L104" s="192"/>
      <c r="M104" s="192"/>
      <c r="N104" s="477"/>
    </row>
    <row r="105" customFormat="false" ht="13.5" hidden="false" customHeight="false" outlineLevel="0" collapsed="false">
      <c r="B105" s="255"/>
      <c r="C105" s="192"/>
      <c r="D105" s="172"/>
      <c r="E105" s="172"/>
      <c r="F105" s="172"/>
      <c r="G105" s="521"/>
      <c r="H105" s="522" t="n">
        <f aca="false">E_ail</f>
        <v>130</v>
      </c>
      <c r="I105" s="521"/>
      <c r="J105" s="522" t="n">
        <f aca="false">ep_ail</f>
        <v>2</v>
      </c>
      <c r="K105" s="518"/>
      <c r="L105" s="192"/>
      <c r="M105" s="192"/>
      <c r="N105" s="477"/>
    </row>
    <row r="106" customFormat="false" ht="12.75" hidden="false" customHeight="false" outlineLevel="0" collapsed="false">
      <c r="B106" s="255"/>
      <c r="C106" s="192"/>
      <c r="D106" s="634"/>
      <c r="E106" s="587" t="s">
        <v>538</v>
      </c>
      <c r="F106" s="528" t="s">
        <v>539</v>
      </c>
      <c r="G106" s="192"/>
      <c r="H106" s="192"/>
      <c r="I106" s="192"/>
      <c r="J106" s="192"/>
      <c r="K106" s="192"/>
      <c r="L106" s="192"/>
      <c r="M106" s="192"/>
      <c r="N106" s="477"/>
    </row>
    <row r="107" customFormat="false" ht="12.75" hidden="false" customHeight="false" outlineLevel="0" collapsed="false">
      <c r="B107" s="255"/>
      <c r="C107" s="192"/>
      <c r="D107" s="636" t="s">
        <v>540</v>
      </c>
      <c r="E107" s="182" t="n">
        <f aca="false">MasseSans</f>
        <v>8</v>
      </c>
      <c r="F107" s="534" t="n">
        <f aca="false">MassePlein</f>
        <v>9.685</v>
      </c>
      <c r="G107" s="192"/>
      <c r="H107" s="192"/>
      <c r="I107" s="192"/>
      <c r="J107" s="192"/>
      <c r="K107" s="192"/>
      <c r="L107" s="192"/>
      <c r="M107" s="192"/>
      <c r="N107" s="477"/>
    </row>
    <row r="108" customFormat="false" ht="12.75" hidden="false" customHeight="false" outlineLevel="0" collapsed="false">
      <c r="B108" s="255"/>
      <c r="C108" s="192"/>
      <c r="D108" s="638" t="s">
        <v>541</v>
      </c>
      <c r="E108" s="596" t="n">
        <f aca="false">XcgSans</f>
        <v>1150</v>
      </c>
      <c r="F108" s="603" t="n">
        <f aca="false">XcgPlein</f>
        <v>1289.88022715539</v>
      </c>
      <c r="G108" s="192"/>
      <c r="H108" s="192"/>
      <c r="I108" s="192"/>
      <c r="J108" s="192"/>
      <c r="K108" s="192"/>
      <c r="L108" s="192"/>
      <c r="M108" s="192"/>
      <c r="N108" s="477"/>
    </row>
    <row r="109" customFormat="false" ht="12" hidden="false" customHeight="false" outlineLevel="0" collapsed="false">
      <c r="B109" s="255"/>
      <c r="C109" s="192"/>
      <c r="D109" s="192"/>
      <c r="E109" s="192"/>
      <c r="F109" s="192"/>
      <c r="G109" s="192"/>
      <c r="H109" s="192"/>
      <c r="I109" s="192"/>
      <c r="J109" s="192"/>
      <c r="K109" s="192"/>
      <c r="L109" s="192"/>
      <c r="M109" s="192"/>
      <c r="N109" s="477"/>
    </row>
    <row r="110" customFormat="false" ht="12.75" hidden="false" customHeight="false" outlineLevel="0" collapsed="false">
      <c r="B110" s="255"/>
      <c r="C110" s="192"/>
      <c r="D110" s="639" t="s">
        <v>542</v>
      </c>
      <c r="E110" s="640" t="n">
        <f aca="false">MasseVide</f>
        <v>8.652</v>
      </c>
      <c r="F110" s="192"/>
      <c r="G110" s="634" t="s">
        <v>543</v>
      </c>
      <c r="H110" s="588"/>
      <c r="I110" s="588"/>
      <c r="J110" s="600"/>
      <c r="K110" s="192"/>
      <c r="L110" s="192"/>
      <c r="M110" s="192"/>
      <c r="N110" s="477"/>
    </row>
    <row r="111" customFormat="false" ht="12.75" hidden="false" customHeight="false" outlineLevel="0" collapsed="false">
      <c r="B111" s="255"/>
      <c r="C111" s="192"/>
      <c r="D111" s="192"/>
      <c r="E111" s="192"/>
      <c r="F111" s="192"/>
      <c r="G111" s="533" t="s">
        <v>496</v>
      </c>
      <c r="H111" s="182" t="n">
        <f aca="false">Beta_rampe</f>
        <v>80</v>
      </c>
      <c r="I111" s="182" t="n">
        <v>80</v>
      </c>
      <c r="J111" s="534" t="n">
        <v>90</v>
      </c>
      <c r="K111" s="192"/>
      <c r="L111" s="192"/>
      <c r="M111" s="192"/>
      <c r="N111" s="477"/>
    </row>
    <row r="112" customFormat="false" ht="12.75" hidden="false" customHeight="false" outlineLevel="0" collapsed="false">
      <c r="B112" s="255"/>
      <c r="C112" s="192"/>
      <c r="D112" s="192"/>
      <c r="E112" s="192"/>
      <c r="F112" s="192"/>
      <c r="G112" s="604" t="s">
        <v>498</v>
      </c>
      <c r="H112" s="536" t="n">
        <f aca="false">Temps_culmi</f>
        <v>17.2999999999999</v>
      </c>
      <c r="I112" s="605"/>
      <c r="J112" s="606"/>
      <c r="K112" s="192"/>
      <c r="L112" s="192"/>
      <c r="M112" s="192"/>
      <c r="N112" s="477"/>
    </row>
    <row r="113" customFormat="false" ht="12.75" hidden="false" customHeight="true" outlineLevel="0" collapsed="false">
      <c r="B113" s="255"/>
      <c r="C113" s="192"/>
      <c r="D113" s="629" t="s">
        <v>544</v>
      </c>
      <c r="E113" s="518"/>
      <c r="F113" s="192"/>
      <c r="G113" s="604" t="s">
        <v>499</v>
      </c>
      <c r="H113" s="607" t="n">
        <f aca="false">Altitude_culmi</f>
        <v>1422.92722994048</v>
      </c>
      <c r="I113" s="605"/>
      <c r="J113" s="606"/>
      <c r="K113" s="192"/>
      <c r="L113" s="192"/>
      <c r="M113" s="192"/>
      <c r="N113" s="477"/>
    </row>
    <row r="114" customFormat="false" ht="12.75" hidden="false" customHeight="true" outlineLevel="0" collapsed="false">
      <c r="B114" s="255"/>
      <c r="C114" s="192"/>
      <c r="D114" s="518"/>
      <c r="E114" s="518"/>
      <c r="F114" s="629"/>
      <c r="G114" s="604" t="s">
        <v>501</v>
      </c>
      <c r="H114" s="578" t="n">
        <f aca="false">Vit_culmi</f>
        <v>29.7850604961553</v>
      </c>
      <c r="I114" s="605"/>
      <c r="J114" s="606"/>
      <c r="K114" s="192"/>
      <c r="L114" s="192"/>
      <c r="M114" s="192"/>
      <c r="N114" s="477"/>
    </row>
    <row r="115" customFormat="false" ht="12.75" hidden="false" customHeight="false" outlineLevel="0" collapsed="false">
      <c r="B115" s="255"/>
      <c r="C115" s="641" t="s">
        <v>545</v>
      </c>
      <c r="D115" s="642"/>
      <c r="E115" s="643" t="n">
        <v>0.1</v>
      </c>
      <c r="F115" s="192"/>
      <c r="G115" s="604" t="s">
        <v>459</v>
      </c>
      <c r="H115" s="576" t="n">
        <f aca="false">Portee_balistique</f>
        <v>1017.12580762709</v>
      </c>
      <c r="I115" s="605"/>
      <c r="J115" s="606"/>
      <c r="K115" s="192"/>
      <c r="L115" s="192"/>
      <c r="M115" s="192"/>
      <c r="N115" s="477"/>
    </row>
    <row r="116" customFormat="false" ht="12.75" hidden="false" customHeight="true" outlineLevel="0" collapsed="false">
      <c r="B116" s="255"/>
      <c r="C116" s="644" t="s">
        <v>546</v>
      </c>
      <c r="D116" s="645"/>
      <c r="E116" s="646" t="n">
        <f aca="false">E_ail*(m_ail+n_ail)/2</f>
        <v>29250</v>
      </c>
      <c r="F116" s="192"/>
      <c r="G116" s="604" t="s">
        <v>463</v>
      </c>
      <c r="H116" s="578" t="n">
        <f aca="false">Vit_max</f>
        <v>176.528323408766</v>
      </c>
      <c r="I116" s="605"/>
      <c r="J116" s="606"/>
      <c r="K116" s="192"/>
      <c r="L116" s="192"/>
      <c r="M116" s="192"/>
      <c r="N116" s="477"/>
    </row>
    <row r="117" customFormat="false" ht="12.75" hidden="false" customHeight="true" outlineLevel="0" collapsed="false">
      <c r="B117" s="255"/>
      <c r="C117" s="192"/>
      <c r="D117" s="518"/>
      <c r="E117" s="518"/>
      <c r="F117" s="518"/>
      <c r="G117" s="604" t="s">
        <v>462</v>
      </c>
      <c r="H117" s="576" t="n">
        <f aca="false">Acc_max</f>
        <v>82.5828910827605</v>
      </c>
      <c r="I117" s="605"/>
      <c r="J117" s="606"/>
      <c r="K117" s="192"/>
      <c r="L117" s="192"/>
      <c r="M117" s="192"/>
      <c r="N117" s="477"/>
    </row>
    <row r="118" customFormat="false" ht="12.75" hidden="false" customHeight="false" outlineLevel="0" collapsed="false">
      <c r="B118" s="255"/>
      <c r="C118" s="647" t="s">
        <v>547</v>
      </c>
      <c r="D118" s="648"/>
      <c r="E118" s="649"/>
      <c r="F118" s="650" t="n">
        <f aca="false">J90/100</f>
        <v>18.92</v>
      </c>
      <c r="G118" s="533" t="s">
        <v>159</v>
      </c>
      <c r="H118" s="182" t="n">
        <f aca="false">Cx</f>
        <v>0.5</v>
      </c>
      <c r="I118" s="605"/>
      <c r="J118" s="606"/>
      <c r="K118" s="192"/>
      <c r="L118" s="192"/>
      <c r="M118" s="192"/>
      <c r="N118" s="477"/>
    </row>
    <row r="119" customFormat="false" ht="12.75" hidden="false" customHeight="false" outlineLevel="0" collapsed="false">
      <c r="B119" s="255"/>
      <c r="C119" s="651" t="s">
        <v>548</v>
      </c>
      <c r="D119" s="652"/>
      <c r="E119" s="653" t="n">
        <f aca="false">2*Acc_max*MasseSans</f>
        <v>1321.32625732417</v>
      </c>
      <c r="F119" s="654" t="n">
        <f aca="false">E119/g</f>
        <v>134.691769350068</v>
      </c>
      <c r="G119" s="544" t="s">
        <v>507</v>
      </c>
      <c r="H119" s="610"/>
      <c r="I119" s="610"/>
      <c r="J119" s="545"/>
      <c r="K119" s="192"/>
      <c r="L119" s="192"/>
      <c r="M119" s="192"/>
      <c r="N119" s="477"/>
    </row>
    <row r="120" customFormat="false" ht="12.75" hidden="false" customHeight="false" outlineLevel="0" collapsed="false">
      <c r="B120" s="255"/>
      <c r="C120" s="651" t="s">
        <v>549</v>
      </c>
      <c r="D120" s="652"/>
      <c r="E120" s="653" t="n">
        <f aca="false">2*Acc_max*E115</f>
        <v>16.5165782165521</v>
      </c>
      <c r="F120" s="654" t="n">
        <f aca="false">E120/g</f>
        <v>1.68364711687585</v>
      </c>
      <c r="G120" s="192"/>
      <c r="H120" s="192"/>
      <c r="I120" s="192"/>
      <c r="J120" s="192"/>
      <c r="K120" s="192"/>
      <c r="L120" s="192"/>
      <c r="M120" s="192"/>
      <c r="N120" s="477"/>
    </row>
    <row r="121" customFormat="false" ht="12.75" hidden="false" customHeight="false" outlineLevel="0" collapsed="false">
      <c r="B121" s="255"/>
      <c r="C121" s="655" t="s">
        <v>550</v>
      </c>
      <c r="D121" s="656"/>
      <c r="E121" s="657" t="n">
        <f aca="false">0.104*E116/1000000*Vit_max^2</f>
        <v>94.7955613530809</v>
      </c>
      <c r="F121" s="658" t="n">
        <f aca="false">E121/g</f>
        <v>9.66315610123149</v>
      </c>
      <c r="G121" s="518"/>
      <c r="H121" s="518"/>
      <c r="I121" s="518"/>
      <c r="J121" s="518"/>
      <c r="K121" s="192"/>
      <c r="L121" s="192"/>
      <c r="M121" s="192"/>
      <c r="N121" s="477"/>
    </row>
    <row r="122" customFormat="false" ht="12.75" hidden="false" customHeight="true" outlineLevel="0" collapsed="false">
      <c r="B122" s="255"/>
      <c r="C122" s="192"/>
      <c r="D122" s="192"/>
      <c r="E122" s="192"/>
      <c r="F122" s="192"/>
      <c r="G122" s="192"/>
      <c r="H122" s="518"/>
      <c r="I122" s="518"/>
      <c r="J122" s="518"/>
      <c r="K122" s="192"/>
      <c r="L122" s="192"/>
      <c r="M122" s="192"/>
      <c r="N122" s="477"/>
    </row>
    <row r="123" customFormat="false" ht="12.75" hidden="false" customHeight="true" outlineLevel="0" collapsed="false">
      <c r="B123" s="255"/>
      <c r="C123" s="192"/>
      <c r="D123" s="192"/>
      <c r="E123" s="192"/>
      <c r="F123" s="192"/>
      <c r="G123" s="629"/>
      <c r="H123" s="629"/>
      <c r="I123" s="629"/>
      <c r="J123" s="518"/>
      <c r="K123" s="192"/>
      <c r="L123" s="192"/>
      <c r="M123" s="192"/>
      <c r="N123" s="477"/>
    </row>
    <row r="124" customFormat="false" ht="12.75" hidden="false" customHeight="true" outlineLevel="0" collapsed="false">
      <c r="B124" s="255"/>
      <c r="C124" s="519"/>
      <c r="D124" s="629" t="s">
        <v>551</v>
      </c>
      <c r="E124" s="630"/>
      <c r="F124" s="192"/>
      <c r="G124" s="192"/>
      <c r="H124" s="192"/>
      <c r="I124" s="192"/>
      <c r="J124" s="518"/>
      <c r="K124" s="518"/>
      <c r="L124" s="192"/>
      <c r="M124" s="192"/>
      <c r="N124" s="477"/>
    </row>
    <row r="125" customFormat="false" ht="12.75" hidden="false" customHeight="false" outlineLevel="0" collapsed="false">
      <c r="B125" s="255"/>
      <c r="C125" s="659" t="s">
        <v>552</v>
      </c>
      <c r="D125" s="660"/>
      <c r="E125" s="660"/>
      <c r="F125" s="660"/>
      <c r="G125" s="660"/>
      <c r="H125" s="192"/>
      <c r="I125" s="192"/>
      <c r="J125" s="518"/>
      <c r="K125" s="518"/>
      <c r="L125" s="192"/>
      <c r="M125" s="192"/>
      <c r="N125" s="477"/>
    </row>
    <row r="126" customFormat="false" ht="12.75" hidden="false" customHeight="false" outlineLevel="0" collapsed="false">
      <c r="B126" s="255"/>
      <c r="C126" s="647" t="s">
        <v>553</v>
      </c>
      <c r="D126" s="648"/>
      <c r="E126" s="661" t="n">
        <v>4</v>
      </c>
      <c r="F126" s="660"/>
      <c r="G126" s="518"/>
      <c r="H126" s="192"/>
      <c r="I126" s="192"/>
      <c r="J126" s="518"/>
      <c r="K126" s="192"/>
      <c r="L126" s="192"/>
      <c r="M126" s="192"/>
      <c r="N126" s="477"/>
    </row>
    <row r="127" customFormat="false" ht="12.75" hidden="false" customHeight="false" outlineLevel="0" collapsed="false">
      <c r="B127" s="255"/>
      <c r="C127" s="655" t="s">
        <v>554</v>
      </c>
      <c r="D127" s="656"/>
      <c r="E127" s="662" t="n">
        <f aca="false">S_para</f>
        <v>2</v>
      </c>
      <c r="F127" s="660"/>
      <c r="G127" s="518"/>
      <c r="H127" s="192"/>
      <c r="I127" s="192"/>
      <c r="J127" s="518"/>
      <c r="K127" s="192"/>
      <c r="L127" s="192"/>
      <c r="M127" s="192"/>
      <c r="N127" s="477"/>
    </row>
    <row r="128" customFormat="false" ht="12.75" hidden="false" customHeight="false" outlineLevel="0" collapsed="false">
      <c r="B128" s="255"/>
      <c r="C128" s="663" t="s">
        <v>555</v>
      </c>
      <c r="D128" s="663"/>
      <c r="E128" s="664" t="n">
        <f aca="false">0.5*Rho_moyen*S_para*Vit_culmi^2</f>
        <v>1086.75854023055</v>
      </c>
      <c r="F128" s="665" t="n">
        <f aca="false">E128/g</f>
        <v>110.780687077528</v>
      </c>
      <c r="G128" s="660"/>
      <c r="H128" s="518"/>
      <c r="I128" s="518"/>
      <c r="J128" s="518"/>
      <c r="K128" s="518"/>
      <c r="L128" s="192"/>
      <c r="M128" s="192"/>
      <c r="N128" s="477"/>
    </row>
    <row r="129" customFormat="false" ht="12.75" hidden="false" customHeight="false" outlineLevel="0" collapsed="false">
      <c r="B129" s="255"/>
      <c r="C129" s="666" t="s">
        <v>556</v>
      </c>
      <c r="D129" s="666"/>
      <c r="E129" s="657" t="n">
        <f aca="false">E128/E126*2</f>
        <v>543.379270115274</v>
      </c>
      <c r="F129" s="658" t="n">
        <f aca="false">E129/g</f>
        <v>55.390343538764</v>
      </c>
      <c r="G129" s="660"/>
      <c r="H129" s="518"/>
      <c r="I129" s="518"/>
      <c r="J129" s="518"/>
      <c r="K129" s="518"/>
      <c r="L129" s="192"/>
      <c r="M129" s="192"/>
      <c r="N129" s="477"/>
    </row>
    <row r="130" customFormat="false" ht="12" hidden="false" customHeight="false" outlineLevel="0" collapsed="false">
      <c r="B130" s="255"/>
      <c r="C130" s="667"/>
      <c r="D130" s="667"/>
      <c r="E130" s="668"/>
      <c r="F130" s="669"/>
      <c r="G130" s="660"/>
      <c r="H130" s="518"/>
      <c r="I130" s="518"/>
      <c r="J130" s="518"/>
      <c r="K130" s="518"/>
      <c r="L130" s="192"/>
      <c r="M130" s="192"/>
      <c r="N130" s="477"/>
    </row>
    <row r="131" customFormat="false" ht="12.75" hidden="false" customHeight="false" outlineLevel="0" collapsed="false">
      <c r="B131" s="255"/>
      <c r="C131" s="659" t="s">
        <v>557</v>
      </c>
      <c r="D131" s="518"/>
      <c r="E131" s="518"/>
      <c r="F131" s="518"/>
      <c r="G131" s="518"/>
      <c r="H131" s="518"/>
      <c r="I131" s="518"/>
      <c r="J131" s="518"/>
      <c r="K131" s="518"/>
      <c r="L131" s="192"/>
      <c r="M131" s="192"/>
      <c r="N131" s="477"/>
    </row>
    <row r="132" customFormat="false" ht="12.75" hidden="false" customHeight="false" outlineLevel="0" collapsed="false">
      <c r="B132" s="255"/>
      <c r="C132" s="663" t="s">
        <v>558</v>
      </c>
      <c r="D132" s="663"/>
      <c r="E132" s="670" t="n">
        <v>1</v>
      </c>
      <c r="F132" s="518"/>
      <c r="G132" s="518"/>
      <c r="H132" s="518"/>
      <c r="I132" s="518"/>
      <c r="J132" s="671"/>
      <c r="K132" s="518"/>
      <c r="L132" s="192"/>
      <c r="M132" s="192"/>
      <c r="N132" s="477"/>
    </row>
    <row r="133" customFormat="false" ht="12.75" hidden="false" customHeight="false" outlineLevel="0" collapsed="false">
      <c r="B133" s="255"/>
      <c r="C133" s="672" t="s">
        <v>559</v>
      </c>
      <c r="D133" s="672"/>
      <c r="E133" s="673" t="n">
        <f aca="false">2*E132*Acc_max/g</f>
        <v>16.8364711687585</v>
      </c>
      <c r="F133" s="519"/>
      <c r="G133" s="519"/>
      <c r="H133" s="519"/>
      <c r="I133" s="519"/>
      <c r="J133" s="518"/>
      <c r="K133" s="518"/>
      <c r="L133" s="192"/>
      <c r="M133" s="192"/>
      <c r="N133" s="477"/>
    </row>
    <row r="134" customFormat="false" ht="12.75" hidden="false" customHeight="false" outlineLevel="0" collapsed="false">
      <c r="B134" s="482"/>
      <c r="C134" s="674"/>
      <c r="D134" s="674"/>
      <c r="E134" s="674"/>
      <c r="F134" s="674"/>
      <c r="G134" s="674"/>
      <c r="H134" s="674"/>
      <c r="I134" s="674"/>
      <c r="J134" s="675"/>
      <c r="K134" s="675"/>
      <c r="L134" s="483"/>
      <c r="M134" s="483"/>
      <c r="N134" s="484"/>
    </row>
  </sheetData>
  <sheetProtection sheet="true" password="c6ac"/>
  <mergeCells count="22">
    <mergeCell ref="H11:I11"/>
    <mergeCell ref="H12:I12"/>
    <mergeCell ref="H13:I13"/>
    <mergeCell ref="H17:I17"/>
    <mergeCell ref="H18:I18"/>
    <mergeCell ref="H19:I19"/>
    <mergeCell ref="C29:C30"/>
    <mergeCell ref="D29:D30"/>
    <mergeCell ref="E29:G30"/>
    <mergeCell ref="H29:K29"/>
    <mergeCell ref="L29:L30"/>
    <mergeCell ref="M29:M30"/>
    <mergeCell ref="H30:I30"/>
    <mergeCell ref="E31:G31"/>
    <mergeCell ref="H31:I31"/>
    <mergeCell ref="H44:I44"/>
    <mergeCell ref="H45:I45"/>
    <mergeCell ref="H46:I46"/>
    <mergeCell ref="C128:D128"/>
    <mergeCell ref="C129:D129"/>
    <mergeCell ref="C132:D132"/>
    <mergeCell ref="C133:D133"/>
  </mergeCells>
  <conditionalFormatting sqref="F18:I19">
    <cfRule type="expression" priority="2" aboveAverage="0" equalAverage="0" bottom="0" percent="0" rank="0" text="" dxfId="53">
      <formula>IF(Propu="Cariacou",1,0)</formula>
    </cfRule>
  </conditionalFormatting>
  <conditionalFormatting sqref="D18:E18">
    <cfRule type="expression" priority="3" aboveAverage="0" equalAverage="0" bottom="0" percent="0" rank="0" text="" dxfId="54">
      <formula>IF(Propu="Cariacou",0,1)</formula>
    </cfRule>
  </conditionalFormatting>
  <conditionalFormatting sqref="I68:I73 I16">
    <cfRule type="expression" priority="4" aboveAverage="0" equalAverage="0" bottom="0" percent="0" rank="0" text="" dxfId="55">
      <formula>Nb_sat="0 satellite"</formula>
    </cfRule>
  </conditionalFormatting>
  <printOptions headings="false" gridLines="false" gridLinesSet="true" horizontalCentered="false" verticalCentered="false"/>
  <pageMargins left="0.39375" right="0.39375" top="0.39375" bottom="0.39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8</TotalTime>
  <Application>LibreOffice/7.5.4.2$Windows_X86_64 LibreOffice_project/36ccfdc35048b057fd9854c757a8b67ec53977b6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2008-11-03T20:48:06Z</dcterms:created>
  <dc:creator>Léo Côme;Sylvain Besson</dc:creator>
  <dc:description/>
  <dc:language>en-GB</dc:language>
  <cp:lastModifiedBy/>
  <cp:lastPrinted>2011-11-08T21:12:34Z</cp:lastPrinted>
  <dcterms:modified xsi:type="dcterms:W3CDTF">2023-07-08T18:42:56Z</dcterms:modified>
  <cp:revision>1</cp:revision>
  <dc:subject/>
  <dc:title>StabTraj</dc:title>
</cp:coreProperties>
</file>

<file path=docProps/custom.xml><?xml version="1.0" encoding="utf-8"?>
<Properties xmlns="http://schemas.openxmlformats.org/officeDocument/2006/custom-properties" xmlns:vt="http://schemas.openxmlformats.org/officeDocument/2006/docPropsVTypes"/>
</file>